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Financial Reports/"/>
    </mc:Choice>
  </mc:AlternateContent>
  <bookViews>
    <workbookView xWindow="0" yWindow="0" windowWidth="28800" windowHeight="135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12" sheetId="72" r:id="rId59"/>
    <sheet name="331" sheetId="30" r:id="rId60"/>
    <sheet name="315" sheetId="75" r:id="rId61"/>
    <sheet name="326" sheetId="85" r:id="rId62"/>
    <sheet name="332" sheetId="33" r:id="rId63"/>
    <sheet name="316" sheetId="76" r:id="rId64"/>
    <sheet name="320" sheetId="79" r:id="rId65"/>
    <sheet name="Div 6" sheetId="51" r:id="rId66"/>
    <sheet name="317" sheetId="77" r:id="rId67"/>
    <sheet name="310" sheetId="21" r:id="rId68"/>
    <sheet name="309" sheetId="70" r:id="rId69"/>
    <sheet name="313" sheetId="73" r:id="rId70"/>
    <sheet name="321" sheetId="80" r:id="rId71"/>
    <sheet name="322" sheetId="81" r:id="rId72"/>
    <sheet name="325" sheetId="84" r:id="rId73"/>
    <sheet name="327" sheetId="86" r:id="rId74"/>
    <sheet name="Div 4" sheetId="36" r:id="rId75"/>
    <sheet name="310 &amp; 491" sheetId="39" r:id="rId76"/>
    <sheet name="491" sheetId="42" r:id="rId77"/>
    <sheet name="405" sheetId="88" r:id="rId78"/>
    <sheet name="406" sheetId="89" r:id="rId79"/>
    <sheet name="411" sheetId="92" r:id="rId80"/>
    <sheet name="412" sheetId="93" r:id="rId81"/>
    <sheet name="413" sheetId="94" r:id="rId82"/>
    <sheet name="414" sheetId="95" r:id="rId83"/>
    <sheet name="415" sheetId="96" r:id="rId84"/>
    <sheet name="418" sheetId="98" r:id="rId85"/>
    <sheet name="420" sheetId="99" r:id="rId86"/>
    <sheet name="423" sheetId="100" r:id="rId87"/>
    <sheet name="424" sheetId="101" r:id="rId88"/>
    <sheet name="425" sheetId="102" r:id="rId89"/>
    <sheet name="455" sheetId="109" r:id="rId90"/>
    <sheet name="492" sheetId="45" r:id="rId91"/>
    <sheet name="430" sheetId="103" r:id="rId92"/>
    <sheet name="433" sheetId="104" r:id="rId93"/>
    <sheet name="435" sheetId="105" r:id="rId94"/>
    <sheet name="444" sheetId="106" r:id="rId95"/>
    <sheet name="445" sheetId="107" r:id="rId96"/>
    <sheet name="450" sheetId="108" r:id="rId97"/>
    <sheet name="Div 5" sheetId="48" r:id="rId98"/>
    <sheet name="501" sheetId="110" r:id="rId99"/>
    <sheet name="Dept" sheetId="111" state="hidden" r:id="rId100"/>
    <sheet name="OSR_Dept_Y0WUKY" sheetId="112" state="hidden" r:id="rId101"/>
    <sheet name="OSR_Summary (...56e5d78f_5JEYZH" sheetId="113" state="hidden" r:id="rId102"/>
  </sheets>
  <definedNames>
    <definedName name="OSRRefD13x_0" localSheetId="48">'300'!$D$13:$D$79</definedName>
    <definedName name="OSRRefD13x_0" localSheetId="49">'300 &amp; 317'!$D$13:$D$94</definedName>
    <definedName name="OSRRefD13x_0" localSheetId="53">'307'!$D$13:$D$33</definedName>
    <definedName name="OSRRefD13x_0" localSheetId="55">'308'!$D$13:$D$30</definedName>
    <definedName name="OSRRefD13x_0" localSheetId="68">'309'!$D$13:$D$15</definedName>
    <definedName name="OSRRefD13x_0" localSheetId="67">'310'!$D$13:$D$22</definedName>
    <definedName name="OSRRefD13x_0" localSheetId="75">'310 &amp; 491'!$D$13:$D$29</definedName>
    <definedName name="OSRRefD13x_0" localSheetId="56">'311'!$D$13:$D$30</definedName>
    <definedName name="OSRRefD13x_0" localSheetId="69">'313'!$D$13:$D$18</definedName>
    <definedName name="OSRRefD13x_0" localSheetId="54">'314'!$D$13:$D$30</definedName>
    <definedName name="OSRRefD13x_0" localSheetId="60">'315'!$D$13:$D$28</definedName>
    <definedName name="OSRRefD13x_0" localSheetId="63">'316'!$D$13:$D$24</definedName>
    <definedName name="OSRRefD13x_0" localSheetId="66">'317'!$D$13:$D$32</definedName>
    <definedName name="OSRRefD13x_0" localSheetId="64">'320'!$D$13:$D$15</definedName>
    <definedName name="OSRRefD13x_0" localSheetId="70">'321'!$D$13:$D$15</definedName>
    <definedName name="OSRRefD13x_0" localSheetId="71">'322'!$D$13:$D$15</definedName>
    <definedName name="OSRRefD13x_0" localSheetId="57">'324'!$D$13:$D$15</definedName>
    <definedName name="OSRRefD13x_0" localSheetId="72">'325'!$D$13:$D$15</definedName>
    <definedName name="OSRRefD13x_0" localSheetId="61">'326'!$D$13:$D$25</definedName>
    <definedName name="OSRRefD13x_0" localSheetId="73">'327'!$D$13:$D$14</definedName>
    <definedName name="OSRRefD13x_0" localSheetId="52">'330'!$D$13:$D$41</definedName>
    <definedName name="OSRRefD13x_0" localSheetId="59">'331'!$D$13:$D$31</definedName>
    <definedName name="OSRRefD13x_0" localSheetId="62">'332'!$D$13:$D$27</definedName>
    <definedName name="OSRRefD13x_0" localSheetId="77">'405'!$D$13:$D$15</definedName>
    <definedName name="OSRRefD13x_0" localSheetId="80">'412'!$D$13:$D$16</definedName>
    <definedName name="OSRRefD13x_0" localSheetId="81">'413'!$D$13:$D$16</definedName>
    <definedName name="OSRRefD13x_0" localSheetId="82">'414'!$D$13:$D$16</definedName>
    <definedName name="OSRRefD13x_0" localSheetId="83">'415'!$D$13:$D$15</definedName>
    <definedName name="OSRRefD13x_0" localSheetId="84">'418'!$D$13:$D$16</definedName>
    <definedName name="OSRRefD13x_0" localSheetId="87">'424'!$D$13</definedName>
    <definedName name="OSRRefD13x_0" localSheetId="88">'425'!$D$13:$D$16</definedName>
    <definedName name="OSRRefD13x_0" localSheetId="92">'433'!$D$13:$D$16</definedName>
    <definedName name="OSRRefD13x_0" localSheetId="93">'435'!$D$13</definedName>
    <definedName name="OSRRefD13x_0" localSheetId="94">'444'!$D$13:$D$16</definedName>
    <definedName name="OSRRefD13x_0" localSheetId="96">'450'!$D$13:$D$14</definedName>
    <definedName name="OSRRefD13x_0" localSheetId="76">'491'!$D$13:$D$23</definedName>
    <definedName name="OSRRefD13x_0" localSheetId="90">'492'!$D$13:$D$16</definedName>
    <definedName name="OSRRefD13x_0" localSheetId="98">'501'!$D$13</definedName>
    <definedName name="OSRRefD13x_0" localSheetId="47">'Div 3'!$D$13:$D$83</definedName>
    <definedName name="OSRRefD13x_0" localSheetId="74">'Div 4'!$D$13:$D$24</definedName>
    <definedName name="OSRRefD13x_0" localSheetId="97">'Div 5'!$D$13</definedName>
    <definedName name="OSRRefD13x_0" localSheetId="65">'Div 6'!$D$13:$D$32</definedName>
    <definedName name="OSRRefD13x_0" localSheetId="2">Summary!$D$13:$D$105</definedName>
    <definedName name="OSRRefD16x_0" localSheetId="48">'300'!$D$82:$D$118</definedName>
    <definedName name="OSRRefD16x_0" localSheetId="49">'300 &amp; 317'!$D$97:$D$140</definedName>
    <definedName name="OSRRefD16x_0" localSheetId="53">'307'!$D$36:$D$45</definedName>
    <definedName name="OSRRefD16x_0" localSheetId="55">'308'!$D$33:$D$45</definedName>
    <definedName name="OSRRefD16x_0" localSheetId="68">'309'!$D$18:$D$20</definedName>
    <definedName name="OSRRefD16x_0" localSheetId="67">'310'!$D$25:$D$27</definedName>
    <definedName name="OSRRefD16x_0" localSheetId="75">'310 &amp; 491'!$D$32:$D$34</definedName>
    <definedName name="OSRRefD16x_0" localSheetId="56">'311'!$D$33:$D$45</definedName>
    <definedName name="OSRRefD16x_0" localSheetId="69">'313'!$D$21:$D$23</definedName>
    <definedName name="OSRRefD16x_0" localSheetId="54">'314'!$D$33:$D$43</definedName>
    <definedName name="OSRRefD16x_0" localSheetId="60">'315'!$D$31:$D$44</definedName>
    <definedName name="OSRRefD16x_0" localSheetId="66">'317'!$D$35:$D$44</definedName>
    <definedName name="OSRRefD16x_0" localSheetId="64">'320'!$D$18:$D$21</definedName>
    <definedName name="OSRRefD16x_0" localSheetId="70">'321'!$D$18:$D$20</definedName>
    <definedName name="OSRRefD16x_0" localSheetId="71">'322'!$D$18:$D$20</definedName>
    <definedName name="OSRRefD16x_0" localSheetId="57">'324'!$D$18:$D$20</definedName>
    <definedName name="OSRRefD16x_0" localSheetId="72">'325'!$D$18:$D$20</definedName>
    <definedName name="OSRRefD16x_0" localSheetId="61">'326'!$D$28:$D$39</definedName>
    <definedName name="OSRRefD16x_0" localSheetId="73">'327'!$D$17:$D$18</definedName>
    <definedName name="OSRRefD16x_0" localSheetId="52">'330'!$D$44:$D$57</definedName>
    <definedName name="OSRRefD16x_0" localSheetId="59">'331'!$D$34:$D$51</definedName>
    <definedName name="OSRRefD16x_0" localSheetId="62">'332'!$D$30:$D$33</definedName>
    <definedName name="OSRRefD16x_0" localSheetId="77">'405'!$D$18:$D$20</definedName>
    <definedName name="OSRRefD16x_0" localSheetId="78">'406'!$D$15:$D$16</definedName>
    <definedName name="OSRRefD16x_0" localSheetId="80">'412'!$D$19:$D$20</definedName>
    <definedName name="OSRRefD16x_0" localSheetId="81">'413'!$D$19:$D$21</definedName>
    <definedName name="OSRRefD16x_0" localSheetId="82">'414'!$D$19:$D$21</definedName>
    <definedName name="OSRRefD16x_0" localSheetId="83">'415'!$D$18:$D$20</definedName>
    <definedName name="OSRRefD16x_0" localSheetId="84">'418'!$D$19:$D$21</definedName>
    <definedName name="OSRRefD16x_0" localSheetId="87">'424'!$D$16:$D$17</definedName>
    <definedName name="OSRRefD16x_0" localSheetId="88">'425'!$D$19:$D$21</definedName>
    <definedName name="OSRRefD16x_0" localSheetId="92">'433'!$D$19:$D$21</definedName>
    <definedName name="OSRRefD16x_0" localSheetId="93">'435'!$D$16</definedName>
    <definedName name="OSRRefD16x_0" localSheetId="94">'444'!$D$19:$D$21</definedName>
    <definedName name="OSRRefD16x_0" localSheetId="96">'450'!$D$17:$D$18</definedName>
    <definedName name="OSRRefD16x_0" localSheetId="76">'491'!$D$26:$D$28</definedName>
    <definedName name="OSRRefD16x_0" localSheetId="90">'492'!$D$19:$D$21</definedName>
    <definedName name="OSRRefD16x_0" localSheetId="47">'Div 3'!$D$86:$D$124</definedName>
    <definedName name="OSRRefD16x_0" localSheetId="74">'Div 4'!$D$27:$D$29</definedName>
    <definedName name="OSRRefD16x_0" localSheetId="65">'Div 6'!$D$35:$D$44</definedName>
    <definedName name="OSRRefD16x_0" localSheetId="2">Summary!$D$108:$D$153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'300'!$D$124:$D$133</definedName>
    <definedName name="OSRRefD22_0x_0" localSheetId="49">'300 &amp; 317'!$D$146:$D$155</definedName>
    <definedName name="OSRRefD22_0x_0" localSheetId="50">'301'!$D$20:$D$28</definedName>
    <definedName name="OSRRefD22_0x_0" localSheetId="51">'306'!$D$20:$D$28</definedName>
    <definedName name="OSRRefD22_0x_0" localSheetId="53">'307'!$D$51:$D$59</definedName>
    <definedName name="OSRRefD22_0x_0" localSheetId="55">'308'!$D$51:$D$60</definedName>
    <definedName name="OSRRefD22_0x_0" localSheetId="68">'309'!$D$26:$D$34</definedName>
    <definedName name="OSRRefD22_0x_0" localSheetId="67">'310'!$D$33:$D$41</definedName>
    <definedName name="OSRRefD22_0x_0" localSheetId="75">'310 &amp; 491'!$D$40:$D$49</definedName>
    <definedName name="OSRRefD22_0x_0" localSheetId="56">'311'!$D$51:$D$60</definedName>
    <definedName name="OSRRefD22_0x_0" localSheetId="69">'313'!$D$29:$D$37</definedName>
    <definedName name="OSRRefD22_0x_0" localSheetId="54">'314'!$D$49:$D$56</definedName>
    <definedName name="OSRRefD22_0x_0" localSheetId="60">'315'!$D$50:$D$58</definedName>
    <definedName name="OSRRefD22_0x_0" localSheetId="63">'316'!$D$32:$D$40</definedName>
    <definedName name="OSRRefD22_0x_0" localSheetId="66">'317'!$D$50:$D$59</definedName>
    <definedName name="OSRRefD22_0x_0" localSheetId="64">'320'!$D$27:$D$34</definedName>
    <definedName name="OSRRefD22_0x_0" localSheetId="70">'321'!$D$26:$D$33</definedName>
    <definedName name="OSRRefD22_0x_0" localSheetId="71">'322'!$D$26:$D$34</definedName>
    <definedName name="OSRRefD22_0x_0" localSheetId="72">'325'!$D$26:$D$34</definedName>
    <definedName name="OSRRefD22_0x_0" localSheetId="61">'326'!$D$45:$D$52</definedName>
    <definedName name="OSRRefD22_0x_0" localSheetId="73">'327'!$D$24</definedName>
    <definedName name="OSRRefD22_0x_0" localSheetId="52">'330'!$D$63:$D$71</definedName>
    <definedName name="OSRRefD22_0x_0" localSheetId="59">'331'!$D$57:$D$65</definedName>
    <definedName name="OSRRefD22_0x_0" localSheetId="62">'332'!$D$39:$D$47</definedName>
    <definedName name="OSRRefD22_0x_0" localSheetId="77">'405'!$D$26:$D$34</definedName>
    <definedName name="OSRRefD22_0x_0" localSheetId="78">'406'!$D$22:$D$30</definedName>
    <definedName name="OSRRefD22_0x_0" localSheetId="79">'411'!$D$20:$D$29</definedName>
    <definedName name="OSRRefD22_0x_0" localSheetId="80">'412'!$D$26:$D$34</definedName>
    <definedName name="OSRRefD22_0x_0" localSheetId="81">'413'!$D$27:$D$35</definedName>
    <definedName name="OSRRefD22_0x_0" localSheetId="82">'414'!$D$27:$D$35</definedName>
    <definedName name="OSRRefD22_0x_0" localSheetId="83">'415'!$D$26:$D$34</definedName>
    <definedName name="OSRRefD22_0x_0" localSheetId="84">'418'!$D$27:$D$35</definedName>
    <definedName name="OSRRefD22_0x_0" localSheetId="86">'423'!$D$20:$D$28</definedName>
    <definedName name="OSRRefD22_0x_0" localSheetId="87">'424'!$D$23:$D$30</definedName>
    <definedName name="OSRRefD22_0x_0" localSheetId="88">'425'!$D$27:$D$35</definedName>
    <definedName name="OSRRefD22_0x_0" localSheetId="91">'430'!$D$20:$D$28</definedName>
    <definedName name="OSRRefD22_0x_0" localSheetId="92">'433'!$D$27:$D$36</definedName>
    <definedName name="OSRRefD22_0x_0" localSheetId="93">'435'!$D$22:$D$29</definedName>
    <definedName name="OSRRefD22_0x_0" localSheetId="94">'444'!$D$27:$D$36</definedName>
    <definedName name="OSRRefD22_0x_0" localSheetId="96">'450'!$D$24:$D$33</definedName>
    <definedName name="OSRRefD22_0x_0" localSheetId="89">'455'!$D$20:$D$27</definedName>
    <definedName name="OSRRefD22_0x_0" localSheetId="76">'491'!$D$34:$D$43</definedName>
    <definedName name="OSRRefD22_0x_0" localSheetId="90">'492'!$D$27:$D$36</definedName>
    <definedName name="OSRRefD22_0x_0" localSheetId="98">'501'!$D$21:$D$29</definedName>
    <definedName name="OSRRefD22_0x_0" localSheetId="39">'Div 2'!$D$20:$D$30</definedName>
    <definedName name="OSRRefD22_0x_0" localSheetId="47">'Div 3'!$D$130:$D$139</definedName>
    <definedName name="OSRRefD22_0x_0" localSheetId="74">'Div 4'!$D$35:$D$44</definedName>
    <definedName name="OSRRefD22_0x_0" localSheetId="97">'Div 5'!$D$21:$D$29</definedName>
    <definedName name="OSRRefD22_0x_0" localSheetId="65">'Div 6'!$D$50:$D$59</definedName>
    <definedName name="OSRRefD22_0x_0" localSheetId="2">Summary!$D$159:$D$168</definedName>
    <definedName name="OSRRefD22_10x_0" localSheetId="41">'201'!$D$59</definedName>
    <definedName name="OSRRefD22_10x_0" localSheetId="42">'202'!$D$59</definedName>
    <definedName name="OSRRefD22_10x_0" localSheetId="43">'203'!$D$60</definedName>
    <definedName name="OSRRefD22_10x_0" localSheetId="44">'204'!$D$62</definedName>
    <definedName name="OSRRefD22_10x_0" localSheetId="48">'300'!$D$167:$D$168</definedName>
    <definedName name="OSRRefD22_10x_0" localSheetId="49">'300 &amp; 317'!$D$189:$D$190</definedName>
    <definedName name="OSRRefD22_10x_0" localSheetId="50">'301'!$D$61</definedName>
    <definedName name="OSRRefD22_10x_0" localSheetId="53">'307'!$D$89</definedName>
    <definedName name="OSRRefD22_10x_0" localSheetId="55">'308'!$D$90</definedName>
    <definedName name="OSRRefD22_10x_0" localSheetId="68">'309'!$D$63:$D$64</definedName>
    <definedName name="OSRRefD22_10x_0" localSheetId="67">'310'!$D$71</definedName>
    <definedName name="OSRRefD22_10x_0" localSheetId="75">'310 &amp; 491'!$D$81:$D$82</definedName>
    <definedName name="OSRRefD22_10x_0" localSheetId="56">'311'!$D$90</definedName>
    <definedName name="OSRRefD22_10x_0" localSheetId="69">'313'!$D$66</definedName>
    <definedName name="OSRRefD22_10x_0" localSheetId="60">'315'!$D$87:$D$89</definedName>
    <definedName name="OSRRefD22_10x_0" localSheetId="63">'316'!$D$69:$D$70</definedName>
    <definedName name="OSRRefD22_10x_0" localSheetId="70">'321'!$D$62</definedName>
    <definedName name="OSRRefD22_10x_0" localSheetId="71">'322'!$D$63:$D$64</definedName>
    <definedName name="OSRRefD22_10x_0" localSheetId="72">'325'!$D$64</definedName>
    <definedName name="OSRRefD22_10x_0" localSheetId="61">'326'!$D$82</definedName>
    <definedName name="OSRRefD22_10x_0" localSheetId="52">'330'!$D$101</definedName>
    <definedName name="OSRRefD22_10x_0" localSheetId="59">'331'!$D$95</definedName>
    <definedName name="OSRRefD22_10x_0" localSheetId="62">'332'!$D$77:$D$78</definedName>
    <definedName name="OSRRefD22_10x_0" localSheetId="77">'405'!$D$64:$D$66</definedName>
    <definedName name="OSRRefD22_10x_0" localSheetId="78">'406'!$D$64:$D$65</definedName>
    <definedName name="OSRRefD22_10x_0" localSheetId="79">'411'!$D$66:$D$70</definedName>
    <definedName name="OSRRefD22_10x_0" localSheetId="80">'412'!$D$63:$D$64</definedName>
    <definedName name="OSRRefD22_10x_0" localSheetId="81">'413'!$D$66:$D$67</definedName>
    <definedName name="OSRRefD22_10x_0" localSheetId="82">'414'!$D$65</definedName>
    <definedName name="OSRRefD22_10x_0" localSheetId="83">'415'!$D$64</definedName>
    <definedName name="OSRRefD22_10x_0" localSheetId="84">'418'!$D$67:$D$69</definedName>
    <definedName name="OSRRefD22_10x_0" localSheetId="88">'425'!$D$65:$D$68</definedName>
    <definedName name="OSRRefD22_10x_0" localSheetId="92">'433'!$D$65:$D$68</definedName>
    <definedName name="OSRRefD22_10x_0" localSheetId="94">'444'!$D$65:$D$67</definedName>
    <definedName name="OSRRefD22_10x_0" localSheetId="96">'450'!$D$63:$D$65</definedName>
    <definedName name="OSRRefD22_10x_0" localSheetId="76">'491'!$D$76</definedName>
    <definedName name="OSRRefD22_10x_0" localSheetId="90">'492'!$D$66</definedName>
    <definedName name="OSRRefD22_10x_0" localSheetId="98">'501'!$D$58:$D$59</definedName>
    <definedName name="OSRRefD22_10x_0" localSheetId="39">'Div 2'!$D$59</definedName>
    <definedName name="OSRRefD22_10x_0" localSheetId="47">'Div 3'!$D$173:$D$174</definedName>
    <definedName name="OSRRefD22_10x_0" localSheetId="74">'Div 4'!$D$77:$D$78</definedName>
    <definedName name="OSRRefD22_10x_0" localSheetId="97">'Div 5'!$D$58:$D$59</definedName>
    <definedName name="OSRRefD22_10x_0" localSheetId="2">Summary!$D$204:$D$205</definedName>
    <definedName name="OSRRefD22_11x_0" localSheetId="41">'201'!$D$61:$D$63</definedName>
    <definedName name="OSRRefD22_11x_0" localSheetId="42">'202'!$D$61</definedName>
    <definedName name="OSRRefD22_11x_0" localSheetId="43">'203'!$D$62:$D$64</definedName>
    <definedName name="OSRRefD22_11x_0" localSheetId="44">'204'!$D$64</definedName>
    <definedName name="OSRRefD22_11x_0" localSheetId="48">'300'!$D$170</definedName>
    <definedName name="OSRRefD22_11x_0" localSheetId="49">'300 &amp; 317'!$D$192</definedName>
    <definedName name="OSRRefD22_11x_0" localSheetId="50">'301'!$D$63</definedName>
    <definedName name="OSRRefD22_11x_0" localSheetId="53">'307'!$D$91</definedName>
    <definedName name="OSRRefD22_11x_0" localSheetId="55">'308'!$D$92:$D$94</definedName>
    <definedName name="OSRRefD22_11x_0" localSheetId="68">'309'!$D$66</definedName>
    <definedName name="OSRRefD22_11x_0" localSheetId="67">'310'!$D$73</definedName>
    <definedName name="OSRRefD22_11x_0" localSheetId="75">'310 &amp; 491'!$D$84</definedName>
    <definedName name="OSRRefD22_11x_0" localSheetId="56">'311'!$D$92:$D$94</definedName>
    <definedName name="OSRRefD22_11x_0" localSheetId="69">'313'!$D$68:$D$70</definedName>
    <definedName name="OSRRefD22_11x_0" localSheetId="60">'315'!$D$91:$D$92</definedName>
    <definedName name="OSRRefD22_11x_0" localSheetId="63">'316'!$D$72:$D$74</definedName>
    <definedName name="OSRRefD22_11x_0" localSheetId="70">'321'!$D$64:$D$65</definedName>
    <definedName name="OSRRefD22_11x_0" localSheetId="71">'322'!$D$66:$D$68</definedName>
    <definedName name="OSRRefD22_11x_0" localSheetId="72">'325'!$D$66</definedName>
    <definedName name="OSRRefD22_11x_0" localSheetId="61">'326'!$D$84</definedName>
    <definedName name="OSRRefD22_11x_0" localSheetId="52">'330'!$D$103</definedName>
    <definedName name="OSRRefD22_11x_0" localSheetId="59">'331'!$D$97</definedName>
    <definedName name="OSRRefD22_11x_0" localSheetId="62">'332'!$D$80:$D$82</definedName>
    <definedName name="OSRRefD22_11x_0" localSheetId="77">'405'!$D$68</definedName>
    <definedName name="OSRRefD22_11x_0" localSheetId="78">'406'!$D$67</definedName>
    <definedName name="OSRRefD22_11x_0" localSheetId="79">'411'!$D$72</definedName>
    <definedName name="OSRRefD22_11x_0" localSheetId="80">'412'!$D$66:$D$71</definedName>
    <definedName name="OSRRefD22_11x_0" localSheetId="82">'414'!$D$67</definedName>
    <definedName name="OSRRefD22_11x_0" localSheetId="83">'415'!$D$66</definedName>
    <definedName name="OSRRefD22_11x_0" localSheetId="84">'418'!$D$71</definedName>
    <definedName name="OSRRefD22_11x_0" localSheetId="88">'425'!$D$70</definedName>
    <definedName name="OSRRefD22_11x_0" localSheetId="92">'433'!$D$70:$D$76</definedName>
    <definedName name="OSRRefD22_11x_0" localSheetId="94">'444'!$D$69:$D$72</definedName>
    <definedName name="OSRRefD22_11x_0" localSheetId="96">'450'!$D$67:$D$71</definedName>
    <definedName name="OSRRefD22_11x_0" localSheetId="76">'491'!$D$78</definedName>
    <definedName name="OSRRefD22_11x_0" localSheetId="90">'492'!$D$68</definedName>
    <definedName name="OSRRefD22_11x_0" localSheetId="98">'501'!$D$61:$D$62</definedName>
    <definedName name="OSRRefD22_11x_0" localSheetId="39">'Div 2'!$D$61</definedName>
    <definedName name="OSRRefD22_11x_0" localSheetId="47">'Div 3'!$D$176</definedName>
    <definedName name="OSRRefD22_11x_0" localSheetId="74">'Div 4'!$D$80</definedName>
    <definedName name="OSRRefD22_11x_0" localSheetId="97">'Div 5'!$D$61:$D$62</definedName>
    <definedName name="OSRRefD22_11x_0" localSheetId="2">Summary!$D$207:$D$208</definedName>
    <definedName name="OSRRefD22_12x_0" localSheetId="41">'201'!$D$65</definedName>
    <definedName name="OSRRefD22_12x_0" localSheetId="42">'202'!$D$63</definedName>
    <definedName name="OSRRefD22_12x_0" localSheetId="43">'203'!$D$66</definedName>
    <definedName name="OSRRefD22_12x_0" localSheetId="48">'300'!$D$172</definedName>
    <definedName name="OSRRefD22_12x_0" localSheetId="49">'300 &amp; 317'!$D$194</definedName>
    <definedName name="OSRRefD22_12x_0" localSheetId="50">'301'!$D$65</definedName>
    <definedName name="OSRRefD22_12x_0" localSheetId="53">'307'!$D$93</definedName>
    <definedName name="OSRRefD22_12x_0" localSheetId="55">'308'!$D$96:$D$97</definedName>
    <definedName name="OSRRefD22_12x_0" localSheetId="67">'310'!$D$75</definedName>
    <definedName name="OSRRefD22_12x_0" localSheetId="75">'310 &amp; 491'!$D$86</definedName>
    <definedName name="OSRRefD22_12x_0" localSheetId="56">'311'!$D$96:$D$97</definedName>
    <definedName name="OSRRefD22_12x_0" localSheetId="69">'313'!$D$72</definedName>
    <definedName name="OSRRefD22_12x_0" localSheetId="60">'315'!$D$94:$D$97</definedName>
    <definedName name="OSRRefD22_12x_0" localSheetId="63">'316'!$D$76:$D$77</definedName>
    <definedName name="OSRRefD22_12x_0" localSheetId="70">'321'!$D$67:$D$68</definedName>
    <definedName name="OSRRefD22_12x_0" localSheetId="71">'322'!$D$70</definedName>
    <definedName name="OSRRefD22_12x_0" localSheetId="72">'325'!$D$68:$D$71</definedName>
    <definedName name="OSRRefD22_12x_0" localSheetId="61">'326'!$D$86</definedName>
    <definedName name="OSRRefD22_12x_0" localSheetId="52">'330'!$D$105</definedName>
    <definedName name="OSRRefD22_12x_0" localSheetId="59">'331'!$D$99</definedName>
    <definedName name="OSRRefD22_12x_0" localSheetId="62">'332'!$D$84:$D$85</definedName>
    <definedName name="OSRRefD22_12x_0" localSheetId="77">'405'!$D$70:$D$72</definedName>
    <definedName name="OSRRefD22_12x_0" localSheetId="78">'406'!$D$69</definedName>
    <definedName name="OSRRefD22_12x_0" localSheetId="79">'411'!$D$74</definedName>
    <definedName name="OSRRefD22_12x_0" localSheetId="80">'412'!$D$73</definedName>
    <definedName name="OSRRefD22_12x_0" localSheetId="82">'414'!$D$69:$D$72</definedName>
    <definedName name="OSRRefD22_12x_0" localSheetId="83">'415'!$D$68:$D$72</definedName>
    <definedName name="OSRRefD22_12x_0" localSheetId="84">'418'!$D$73:$D$76</definedName>
    <definedName name="OSRRefD22_12x_0" localSheetId="88">'425'!$D$72</definedName>
    <definedName name="OSRRefD22_12x_0" localSheetId="92">'433'!$D$78</definedName>
    <definedName name="OSRRefD22_12x_0" localSheetId="94">'444'!$D$74:$D$78</definedName>
    <definedName name="OSRRefD22_12x_0" localSheetId="96">'450'!$D$73</definedName>
    <definedName name="OSRRefD22_12x_0" localSheetId="76">'491'!$D$80:$D$83</definedName>
    <definedName name="OSRRefD22_12x_0" localSheetId="90">'492'!$D$70:$D$72</definedName>
    <definedName name="OSRRefD22_12x_0" localSheetId="98">'501'!$D$64</definedName>
    <definedName name="OSRRefD22_12x_0" localSheetId="39">'Div 2'!$D$63:$D$65</definedName>
    <definedName name="OSRRefD22_12x_0" localSheetId="47">'Div 3'!$D$178</definedName>
    <definedName name="OSRRefD22_12x_0" localSheetId="74">'Div 4'!$D$82</definedName>
    <definedName name="OSRRefD22_12x_0" localSheetId="97">'Div 5'!$D$64</definedName>
    <definedName name="OSRRefD22_12x_0" localSheetId="2">Summary!$D$210</definedName>
    <definedName name="OSRRefD22_13x_0" localSheetId="41">'201'!$D$67</definedName>
    <definedName name="OSRRefD22_13x_0" localSheetId="42">'202'!$D$65</definedName>
    <definedName name="OSRRefD22_13x_0" localSheetId="43">'203'!$D$68</definedName>
    <definedName name="OSRRefD22_13x_0" localSheetId="48">'300'!$D$174</definedName>
    <definedName name="OSRRefD22_13x_0" localSheetId="49">'300 &amp; 317'!$D$196</definedName>
    <definedName name="OSRRefD22_13x_0" localSheetId="50">'301'!$D$67</definedName>
    <definedName name="OSRRefD22_13x_0" localSheetId="55">'308'!$D$99</definedName>
    <definedName name="OSRRefD22_13x_0" localSheetId="67">'310'!$D$77</definedName>
    <definedName name="OSRRefD22_13x_0" localSheetId="75">'310 &amp; 491'!$D$88</definedName>
    <definedName name="OSRRefD22_13x_0" localSheetId="56">'311'!$D$99</definedName>
    <definedName name="OSRRefD22_13x_0" localSheetId="60">'315'!$D$99</definedName>
    <definedName name="OSRRefD22_13x_0" localSheetId="70">'321'!$D$70</definedName>
    <definedName name="OSRRefD22_13x_0" localSheetId="71">'322'!$D$72</definedName>
    <definedName name="OSRRefD22_13x_0" localSheetId="72">'325'!$D$73</definedName>
    <definedName name="OSRRefD22_13x_0" localSheetId="61">'326'!$D$88:$D$89</definedName>
    <definedName name="OSRRefD22_13x_0" localSheetId="59">'331'!$D$101</definedName>
    <definedName name="OSRRefD22_13x_0" localSheetId="77">'405'!$D$74:$D$81</definedName>
    <definedName name="OSRRefD22_13x_0" localSheetId="79">'411'!$D$76:$D$78</definedName>
    <definedName name="OSRRefD22_13x_0" localSheetId="82">'414'!$D$74</definedName>
    <definedName name="OSRRefD22_13x_0" localSheetId="83">'415'!$D$74</definedName>
    <definedName name="OSRRefD22_13x_0" localSheetId="84">'418'!$D$78</definedName>
    <definedName name="OSRRefD22_13x_0" localSheetId="92">'433'!$D$80</definedName>
    <definedName name="OSRRefD22_13x_0" localSheetId="94">'444'!$D$80</definedName>
    <definedName name="OSRRefD22_13x_0" localSheetId="96">'450'!$D$75</definedName>
    <definedName name="OSRRefD22_13x_0" localSheetId="76">'491'!$D$85:$D$86</definedName>
    <definedName name="OSRRefD22_13x_0" localSheetId="90">'492'!$D$74:$D$77</definedName>
    <definedName name="OSRRefD22_13x_0" localSheetId="39">'Div 2'!$D$67:$D$70</definedName>
    <definedName name="OSRRefD22_13x_0" localSheetId="47">'Div 3'!$D$180</definedName>
    <definedName name="OSRRefD22_13x_0" localSheetId="74">'Div 4'!$D$84</definedName>
    <definedName name="OSRRefD22_13x_0" localSheetId="2">Summary!$D$212</definedName>
    <definedName name="OSRRefD22_14x_0" localSheetId="42">'202'!$D$67</definedName>
    <definedName name="OSRRefD22_14x_0" localSheetId="43">'203'!$D$70</definedName>
    <definedName name="OSRRefD22_14x_0" localSheetId="48">'300'!$D$176</definedName>
    <definedName name="OSRRefD22_14x_0" localSheetId="49">'300 &amp; 317'!$D$198</definedName>
    <definedName name="OSRRefD22_14x_0" localSheetId="50">'301'!$D$69</definedName>
    <definedName name="OSRRefD22_14x_0" localSheetId="55">'308'!$D$101</definedName>
    <definedName name="OSRRefD22_14x_0" localSheetId="67">'310'!$D$79</definedName>
    <definedName name="OSRRefD22_14x_0" localSheetId="75">'310 &amp; 491'!$D$90</definedName>
    <definedName name="OSRRefD22_14x_0" localSheetId="56">'311'!$D$101</definedName>
    <definedName name="OSRRefD22_14x_0" localSheetId="60">'315'!$D$101</definedName>
    <definedName name="OSRRefD22_14x_0" localSheetId="70">'321'!$D$72</definedName>
    <definedName name="OSRRefD22_14x_0" localSheetId="72">'325'!$D$75:$D$80</definedName>
    <definedName name="OSRRefD22_14x_0" localSheetId="61">'326'!$D$91:$D$93</definedName>
    <definedName name="OSRRefD22_14x_0" localSheetId="59">'331'!$D$103:$D$104</definedName>
    <definedName name="OSRRefD22_14x_0" localSheetId="77">'405'!$D$83</definedName>
    <definedName name="OSRRefD22_14x_0" localSheetId="79">'411'!$D$80</definedName>
    <definedName name="OSRRefD22_14x_0" localSheetId="82">'414'!$D$76</definedName>
    <definedName name="OSRRefD22_14x_0" localSheetId="83">'415'!$D$76:$D$82</definedName>
    <definedName name="OSRRefD22_14x_0" localSheetId="84">'418'!$D$80</definedName>
    <definedName name="OSRRefD22_14x_0" localSheetId="92">'433'!$D$82:$D$83</definedName>
    <definedName name="OSRRefD22_14x_0" localSheetId="94">'444'!$D$82</definedName>
    <definedName name="OSRRefD22_14x_0" localSheetId="96">'450'!$D$77:$D$78</definedName>
    <definedName name="OSRRefD22_14x_0" localSheetId="76">'491'!$D$88:$D$92</definedName>
    <definedName name="OSRRefD22_14x_0" localSheetId="90">'492'!$D$79:$D$87</definedName>
    <definedName name="OSRRefD22_14x_0" localSheetId="39">'Div 2'!$D$72:$D$75</definedName>
    <definedName name="OSRRefD22_14x_0" localSheetId="47">'Div 3'!$D$182</definedName>
    <definedName name="OSRRefD22_14x_0" localSheetId="74">'Div 4'!$D$86</definedName>
    <definedName name="OSRRefD22_14x_0" localSheetId="2">Summary!$D$214</definedName>
    <definedName name="OSRRefD22_15x_0" localSheetId="48">'300'!$D$178</definedName>
    <definedName name="OSRRefD22_15x_0" localSheetId="49">'300 &amp; 317'!$D$200</definedName>
    <definedName name="OSRRefD22_15x_0" localSheetId="50">'301'!$D$71:$D$73</definedName>
    <definedName name="OSRRefD22_15x_0" localSheetId="67">'310'!$D$81</definedName>
    <definedName name="OSRRefD22_15x_0" localSheetId="75">'310 &amp; 491'!$D$92:$D$95</definedName>
    <definedName name="OSRRefD22_15x_0" localSheetId="60">'315'!$D$103</definedName>
    <definedName name="OSRRefD22_15x_0" localSheetId="72">'325'!$D$82</definedName>
    <definedName name="OSRRefD22_15x_0" localSheetId="61">'326'!$D$95:$D$96</definedName>
    <definedName name="OSRRefD22_15x_0" localSheetId="59">'331'!$D$106:$D$108</definedName>
    <definedName name="OSRRefD22_15x_0" localSheetId="77">'405'!$D$85</definedName>
    <definedName name="OSRRefD22_15x_0" localSheetId="83">'415'!$D$84</definedName>
    <definedName name="OSRRefD22_15x_0" localSheetId="84">'418'!$D$82</definedName>
    <definedName name="OSRRefD22_15x_0" localSheetId="94">'444'!$D$84</definedName>
    <definedName name="OSRRefD22_15x_0" localSheetId="76">'491'!$D$94</definedName>
    <definedName name="OSRRefD22_15x_0" localSheetId="90">'492'!$D$89</definedName>
    <definedName name="OSRRefD22_15x_0" localSheetId="39">'Div 2'!$D$77:$D$78</definedName>
    <definedName name="OSRRefD22_15x_0" localSheetId="47">'Div 3'!$D$184</definedName>
    <definedName name="OSRRefD22_15x_0" localSheetId="74">'Div 4'!$D$88:$D$91</definedName>
    <definedName name="OSRRefD22_15x_0" localSheetId="2">Summary!$D$216</definedName>
    <definedName name="OSRRefD22_16x_0" localSheetId="48">'300'!$D$180:$D$182</definedName>
    <definedName name="OSRRefD22_16x_0" localSheetId="49">'300 &amp; 317'!$D$202:$D$204</definedName>
    <definedName name="OSRRefD22_16x_0" localSheetId="50">'301'!$D$75:$D$77</definedName>
    <definedName name="OSRRefD22_16x_0" localSheetId="67">'310'!$D$83</definedName>
    <definedName name="OSRRefD22_16x_0" localSheetId="75">'310 &amp; 491'!$D$97:$D$98</definedName>
    <definedName name="OSRRefD22_16x_0" localSheetId="72">'325'!$D$84</definedName>
    <definedName name="OSRRefD22_16x_0" localSheetId="61">'326'!$D$98:$D$102</definedName>
    <definedName name="OSRRefD22_16x_0" localSheetId="59">'331'!$D$110:$D$112</definedName>
    <definedName name="OSRRefD22_16x_0" localSheetId="77">'405'!$D$87</definedName>
    <definedName name="OSRRefD22_16x_0" localSheetId="83">'415'!$D$86:$D$87</definedName>
    <definedName name="OSRRefD22_16x_0" localSheetId="76">'491'!$D$96:$D$105</definedName>
    <definedName name="OSRRefD22_16x_0" localSheetId="90">'492'!$D$91</definedName>
    <definedName name="OSRRefD22_16x_0" localSheetId="39">'Div 2'!$D$80:$D$81</definedName>
    <definedName name="OSRRefD22_16x_0" localSheetId="47">'Div 3'!$D$186</definedName>
    <definedName name="OSRRefD22_16x_0" localSheetId="74">'Div 4'!$D$93:$D$94</definedName>
    <definedName name="OSRRefD22_16x_0" localSheetId="2">Summary!$D$218</definedName>
    <definedName name="OSRRefD22_17x_0" localSheetId="48">'300'!$D$184:$D$187</definedName>
    <definedName name="OSRRefD22_17x_0" localSheetId="49">'300 &amp; 317'!$D$206:$D$209</definedName>
    <definedName name="OSRRefD22_17x_0" localSheetId="50">'301'!$D$79:$D$80</definedName>
    <definedName name="OSRRefD22_17x_0" localSheetId="67">'310'!$D$85:$D$89</definedName>
    <definedName name="OSRRefD22_17x_0" localSheetId="75">'310 &amp; 491'!$D$100:$D$105</definedName>
    <definedName name="OSRRefD22_17x_0" localSheetId="61">'326'!$D$104:$D$105</definedName>
    <definedName name="OSRRefD22_17x_0" localSheetId="59">'331'!$D$114:$D$115</definedName>
    <definedName name="OSRRefD22_17x_0" localSheetId="83">'415'!$D$89</definedName>
    <definedName name="OSRRefD22_17x_0" localSheetId="76">'491'!$D$107:$D$108</definedName>
    <definedName name="OSRRefD22_17x_0" localSheetId="90">'492'!$D$93:$D$94</definedName>
    <definedName name="OSRRefD22_17x_0" localSheetId="39">'Div 2'!$D$83:$D$86</definedName>
    <definedName name="OSRRefD22_17x_0" localSheetId="47">'Div 3'!$D$188</definedName>
    <definedName name="OSRRefD22_17x_0" localSheetId="74">'Div 4'!$D$96:$D$100</definedName>
    <definedName name="OSRRefD22_17x_0" localSheetId="2">Summary!$D$220</definedName>
    <definedName name="OSRRefD22_18x_0" localSheetId="48">'300'!$D$189:$D$192</definedName>
    <definedName name="OSRRefD22_18x_0" localSheetId="49">'300 &amp; 317'!$D$211:$D$214</definedName>
    <definedName name="OSRRefD22_18x_0" localSheetId="50">'301'!$D$82:$D$86</definedName>
    <definedName name="OSRRefD22_18x_0" localSheetId="67">'310'!$D$91</definedName>
    <definedName name="OSRRefD22_18x_0" localSheetId="75">'310 &amp; 491'!$D$107</definedName>
    <definedName name="OSRRefD22_18x_0" localSheetId="61">'326'!$D$107</definedName>
    <definedName name="OSRRefD22_18x_0" localSheetId="59">'331'!$D$117:$D$121</definedName>
    <definedName name="OSRRefD22_18x_0" localSheetId="76">'491'!$D$110</definedName>
    <definedName name="OSRRefD22_18x_0" localSheetId="39">'Div 2'!$D$88:$D$89</definedName>
    <definedName name="OSRRefD22_18x_0" localSheetId="47">'Div 3'!$D$190:$D$192</definedName>
    <definedName name="OSRRefD22_18x_0" localSheetId="74">'Div 4'!$D$102</definedName>
    <definedName name="OSRRefD22_18x_0" localSheetId="2">Summary!$D$222:$D$225</definedName>
    <definedName name="OSRRefD22_19x_0" localSheetId="48">'300'!$D$194:$D$195</definedName>
    <definedName name="OSRRefD22_19x_0" localSheetId="49">'300 &amp; 317'!$D$216:$D$217</definedName>
    <definedName name="OSRRefD22_19x_0" localSheetId="50">'301'!$D$88</definedName>
    <definedName name="OSRRefD22_19x_0" localSheetId="67">'310'!$D$93:$D$98</definedName>
    <definedName name="OSRRefD22_19x_0" localSheetId="75">'310 &amp; 491'!$D$109:$D$118</definedName>
    <definedName name="OSRRefD22_19x_0" localSheetId="61">'326'!$D$109</definedName>
    <definedName name="OSRRefD22_19x_0" localSheetId="59">'331'!$D$123:$D$124</definedName>
    <definedName name="OSRRefD22_19x_0" localSheetId="76">'491'!$D$112:$D$114</definedName>
    <definedName name="OSRRefD22_19x_0" localSheetId="39">'Div 2'!$D$91</definedName>
    <definedName name="OSRRefD22_19x_0" localSheetId="47">'Div 3'!$D$194:$D$197</definedName>
    <definedName name="OSRRefD22_19x_0" localSheetId="74">'Div 4'!$D$104:$D$113</definedName>
    <definedName name="OSRRefD22_19x_0" localSheetId="2">Summary!$D$227:$D$230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'300'!$D$135:$D$144</definedName>
    <definedName name="OSRRefD22_1x_0" localSheetId="49">'300 &amp; 317'!$D$157:$D$166</definedName>
    <definedName name="OSRRefD22_1x_0" localSheetId="50">'301'!$D$30:$D$39</definedName>
    <definedName name="OSRRefD22_1x_0" localSheetId="51">'306'!$D$30:$D$39</definedName>
    <definedName name="OSRRefD22_1x_0" localSheetId="53">'307'!$D$61:$D$70</definedName>
    <definedName name="OSRRefD22_1x_0" localSheetId="55">'308'!$D$62:$D$71</definedName>
    <definedName name="OSRRefD22_1x_0" localSheetId="68">'309'!$D$36:$D$45</definedName>
    <definedName name="OSRRefD22_1x_0" localSheetId="67">'310'!$D$43:$D$52</definedName>
    <definedName name="OSRRefD22_1x_0" localSheetId="75">'310 &amp; 491'!$D$51:$D$60</definedName>
    <definedName name="OSRRefD22_1x_0" localSheetId="56">'311'!$D$62:$D$71</definedName>
    <definedName name="OSRRefD22_1x_0" localSheetId="69">'313'!$D$39:$D$48</definedName>
    <definedName name="OSRRefD22_1x_0" localSheetId="54">'314'!$D$58:$D$67</definedName>
    <definedName name="OSRRefD22_1x_0" localSheetId="60">'315'!$D$60:$D$69</definedName>
    <definedName name="OSRRefD22_1x_0" localSheetId="63">'316'!$D$42:$D$51</definedName>
    <definedName name="OSRRefD22_1x_0" localSheetId="66">'317'!$D$61:$D$70</definedName>
    <definedName name="OSRRefD22_1x_0" localSheetId="64">'320'!$D$36:$D$45</definedName>
    <definedName name="OSRRefD22_1x_0" localSheetId="70">'321'!$D$35:$D$44</definedName>
    <definedName name="OSRRefD22_1x_0" localSheetId="71">'322'!$D$36:$D$45</definedName>
    <definedName name="OSRRefD22_1x_0" localSheetId="72">'325'!$D$36:$D$45</definedName>
    <definedName name="OSRRefD22_1x_0" localSheetId="61">'326'!$D$54:$D$63</definedName>
    <definedName name="OSRRefD22_1x_0" localSheetId="52">'330'!$D$73:$D$82</definedName>
    <definedName name="OSRRefD22_1x_0" localSheetId="59">'331'!$D$67:$D$76</definedName>
    <definedName name="OSRRefD22_1x_0" localSheetId="62">'332'!$D$49:$D$58</definedName>
    <definedName name="OSRRefD22_1x_0" localSheetId="77">'405'!$D$36:$D$45</definedName>
    <definedName name="OSRRefD22_1x_0" localSheetId="78">'406'!$D$32:$D$41</definedName>
    <definedName name="OSRRefD22_1x_0" localSheetId="79">'411'!$D$31:$D$40</definedName>
    <definedName name="OSRRefD22_1x_0" localSheetId="80">'412'!$D$36:$D$45</definedName>
    <definedName name="OSRRefD22_1x_0" localSheetId="81">'413'!$D$37:$D$46</definedName>
    <definedName name="OSRRefD22_1x_0" localSheetId="82">'414'!$D$37:$D$46</definedName>
    <definedName name="OSRRefD22_1x_0" localSheetId="83">'415'!$D$36:$D$45</definedName>
    <definedName name="OSRRefD22_1x_0" localSheetId="84">'418'!$D$37:$D$46</definedName>
    <definedName name="OSRRefD22_1x_0" localSheetId="86">'423'!$D$30:$D$39</definedName>
    <definedName name="OSRRefD22_1x_0" localSheetId="87">'424'!$D$32:$D$41</definedName>
    <definedName name="OSRRefD22_1x_0" localSheetId="88">'425'!$D$37:$D$46</definedName>
    <definedName name="OSRRefD22_1x_0" localSheetId="91">'430'!$D$30:$D$39</definedName>
    <definedName name="OSRRefD22_1x_0" localSheetId="92">'433'!$D$38:$D$47</definedName>
    <definedName name="OSRRefD22_1x_0" localSheetId="93">'435'!$D$31:$D$40</definedName>
    <definedName name="OSRRefD22_1x_0" localSheetId="94">'444'!$D$38:$D$47</definedName>
    <definedName name="OSRRefD22_1x_0" localSheetId="96">'450'!$D$35:$D$44</definedName>
    <definedName name="OSRRefD22_1x_0" localSheetId="89">'455'!$D$29:$D$38</definedName>
    <definedName name="OSRRefD22_1x_0" localSheetId="76">'491'!$D$45:$D$54</definedName>
    <definedName name="OSRRefD22_1x_0" localSheetId="90">'492'!$D$38:$D$47</definedName>
    <definedName name="OSRRefD22_1x_0" localSheetId="98">'501'!$D$31:$D$40</definedName>
    <definedName name="OSRRefD22_1x_0" localSheetId="39">'Div 2'!$D$32:$D$41</definedName>
    <definedName name="OSRRefD22_1x_0" localSheetId="47">'Div 3'!$D$141:$D$150</definedName>
    <definedName name="OSRRefD22_1x_0" localSheetId="74">'Div 4'!$D$46:$D$55</definedName>
    <definedName name="OSRRefD22_1x_0" localSheetId="97">'Div 5'!$D$31:$D$40</definedName>
    <definedName name="OSRRefD22_1x_0" localSheetId="65">'Div 6'!$D$61:$D$70</definedName>
    <definedName name="OSRRefD22_1x_0" localSheetId="2">Summary!$D$170:$D$179</definedName>
    <definedName name="OSRRefD22_20x_0" localSheetId="48">'300'!$D$197:$D$203</definedName>
    <definedName name="OSRRefD22_20x_0" localSheetId="49">'300 &amp; 317'!$D$219:$D$225</definedName>
    <definedName name="OSRRefD22_20x_0" localSheetId="50">'301'!$D$90</definedName>
    <definedName name="OSRRefD22_20x_0" localSheetId="67">'310'!$D$100</definedName>
    <definedName name="OSRRefD22_20x_0" localSheetId="75">'310 &amp; 491'!$D$120:$D$121</definedName>
    <definedName name="OSRRefD22_20x_0" localSheetId="61">'326'!$D$111</definedName>
    <definedName name="OSRRefD22_20x_0" localSheetId="59">'331'!$D$126</definedName>
    <definedName name="OSRRefD22_20x_0" localSheetId="76">'491'!$D$116</definedName>
    <definedName name="OSRRefD22_20x_0" localSheetId="39">'Div 2'!$D$93</definedName>
    <definedName name="OSRRefD22_20x_0" localSheetId="47">'Div 3'!$D$199:$D$204</definedName>
    <definedName name="OSRRefD22_20x_0" localSheetId="74">'Div 4'!$D$115:$D$116</definedName>
    <definedName name="OSRRefD22_20x_0" localSheetId="2">Summary!$D$232:$D$237</definedName>
    <definedName name="OSRRefD22_21x_0" localSheetId="48">'300'!$D$205:$D$206</definedName>
    <definedName name="OSRRefD22_21x_0" localSheetId="49">'300 &amp; 317'!$D$227:$D$228</definedName>
    <definedName name="OSRRefD22_21x_0" localSheetId="50">'301'!$D$92:$D$93</definedName>
    <definedName name="OSRRefD22_21x_0" localSheetId="67">'310'!$D$102</definedName>
    <definedName name="OSRRefD22_21x_0" localSheetId="75">'310 &amp; 491'!$D$123</definedName>
    <definedName name="OSRRefD22_21x_0" localSheetId="59">'331'!$D$128</definedName>
    <definedName name="OSRRefD22_21x_0" localSheetId="47">'Div 3'!$D$206:$D$207</definedName>
    <definedName name="OSRRefD22_21x_0" localSheetId="74">'Div 4'!$D$118</definedName>
    <definedName name="OSRRefD22_21x_0" localSheetId="2">Summary!$D$239:$D$240</definedName>
    <definedName name="OSRRefD22_22x_0" localSheetId="48">'300'!$D$208</definedName>
    <definedName name="OSRRefD22_22x_0" localSheetId="49">'300 &amp; 317'!$D$230</definedName>
    <definedName name="OSRRefD22_22x_0" localSheetId="50">'301'!$D$95</definedName>
    <definedName name="OSRRefD22_22x_0" localSheetId="75">'310 &amp; 491'!$D$125:$D$127</definedName>
    <definedName name="OSRRefD22_22x_0" localSheetId="59">'331'!$D$130</definedName>
    <definedName name="OSRRefD22_22x_0" localSheetId="47">'Div 3'!$D$209:$D$216</definedName>
    <definedName name="OSRRefD22_22x_0" localSheetId="74">'Div 4'!$D$120:$D$122</definedName>
    <definedName name="OSRRefD22_22x_0" localSheetId="2">Summary!$D$242:$D$251</definedName>
    <definedName name="OSRRefD22_23x_0" localSheetId="48">'300'!$D$210:$D$212</definedName>
    <definedName name="OSRRefD22_23x_0" localSheetId="49">'300 &amp; 317'!$D$232:$D$234</definedName>
    <definedName name="OSRRefD22_23x_0" localSheetId="75">'310 &amp; 491'!$D$129</definedName>
    <definedName name="OSRRefD22_23x_0" localSheetId="47">'Div 3'!$D$218:$D$219</definedName>
    <definedName name="OSRRefD22_23x_0" localSheetId="74">'Div 4'!$D$124</definedName>
    <definedName name="OSRRefD22_23x_0" localSheetId="2">Summary!$D$253:$D$254</definedName>
    <definedName name="OSRRefD22_24x_0" localSheetId="48">'300'!$D$214</definedName>
    <definedName name="OSRRefD22_24x_0" localSheetId="49">'300 &amp; 317'!$D$236</definedName>
    <definedName name="OSRRefD22_24x_0" localSheetId="47">'Div 3'!$D$221</definedName>
    <definedName name="OSRRefD22_24x_0" localSheetId="2">Summary!$D$256</definedName>
    <definedName name="OSRRefD22_25x_0" localSheetId="47">'Div 3'!$D$223:$D$225</definedName>
    <definedName name="OSRRefD22_25x_0" localSheetId="2">Summary!$D$258:$D$260</definedName>
    <definedName name="OSRRefD22_26x_0" localSheetId="47">'Div 3'!$D$227</definedName>
    <definedName name="OSRRefD22_26x_0" localSheetId="2">Summary!$D$262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'300'!$D$146</definedName>
    <definedName name="OSRRefD22_2x_0" localSheetId="49">'300 &amp; 317'!$D$168</definedName>
    <definedName name="OSRRefD22_2x_0" localSheetId="50">'301'!$D$41</definedName>
    <definedName name="OSRRefD22_2x_0" localSheetId="51">'306'!$D$41</definedName>
    <definedName name="OSRRefD22_2x_0" localSheetId="53">'307'!$D$72</definedName>
    <definedName name="OSRRefD22_2x_0" localSheetId="55">'308'!$D$73</definedName>
    <definedName name="OSRRefD22_2x_0" localSheetId="68">'309'!$D$47</definedName>
    <definedName name="OSRRefD22_2x_0" localSheetId="67">'310'!$D$54</definedName>
    <definedName name="OSRRefD22_2x_0" localSheetId="75">'310 &amp; 491'!$D$62</definedName>
    <definedName name="OSRRefD22_2x_0" localSheetId="56">'311'!$D$73</definedName>
    <definedName name="OSRRefD22_2x_0" localSheetId="69">'313'!$D$50</definedName>
    <definedName name="OSRRefD22_2x_0" localSheetId="54">'314'!$D$69</definedName>
    <definedName name="OSRRefD22_2x_0" localSheetId="60">'315'!$D$71</definedName>
    <definedName name="OSRRefD22_2x_0" localSheetId="63">'316'!$D$53</definedName>
    <definedName name="OSRRefD22_2x_0" localSheetId="66">'317'!$D$72</definedName>
    <definedName name="OSRRefD22_2x_0" localSheetId="64">'320'!$D$47</definedName>
    <definedName name="OSRRefD22_2x_0" localSheetId="70">'321'!$D$46</definedName>
    <definedName name="OSRRefD22_2x_0" localSheetId="71">'322'!$D$47</definedName>
    <definedName name="OSRRefD22_2x_0" localSheetId="72">'325'!$D$47</definedName>
    <definedName name="OSRRefD22_2x_0" localSheetId="61">'326'!$D$65</definedName>
    <definedName name="OSRRefD22_2x_0" localSheetId="52">'330'!$D$84</definedName>
    <definedName name="OSRRefD22_2x_0" localSheetId="59">'331'!$D$78</definedName>
    <definedName name="OSRRefD22_2x_0" localSheetId="62">'332'!$D$60</definedName>
    <definedName name="OSRRefD22_2x_0" localSheetId="77">'405'!$D$47</definedName>
    <definedName name="OSRRefD22_2x_0" localSheetId="78">'406'!$D$43</definedName>
    <definedName name="OSRRefD22_2x_0" localSheetId="79">'411'!$D$42</definedName>
    <definedName name="OSRRefD22_2x_0" localSheetId="80">'412'!$D$47</definedName>
    <definedName name="OSRRefD22_2x_0" localSheetId="81">'413'!$D$48</definedName>
    <definedName name="OSRRefD22_2x_0" localSheetId="82">'414'!$D$48</definedName>
    <definedName name="OSRRefD22_2x_0" localSheetId="83">'415'!$D$47</definedName>
    <definedName name="OSRRefD22_2x_0" localSheetId="84">'418'!$D$48</definedName>
    <definedName name="OSRRefD22_2x_0" localSheetId="86">'423'!$D$41</definedName>
    <definedName name="OSRRefD22_2x_0" localSheetId="87">'424'!$D$43</definedName>
    <definedName name="OSRRefD22_2x_0" localSheetId="88">'425'!$D$48</definedName>
    <definedName name="OSRRefD22_2x_0" localSheetId="91">'430'!$D$41</definedName>
    <definedName name="OSRRefD22_2x_0" localSheetId="92">'433'!$D$49</definedName>
    <definedName name="OSRRefD22_2x_0" localSheetId="93">'435'!$D$42</definedName>
    <definedName name="OSRRefD22_2x_0" localSheetId="94">'444'!$D$49</definedName>
    <definedName name="OSRRefD22_2x_0" localSheetId="96">'450'!$D$46</definedName>
    <definedName name="OSRRefD22_2x_0" localSheetId="76">'491'!$D$56</definedName>
    <definedName name="OSRRefD22_2x_0" localSheetId="90">'492'!$D$49</definedName>
    <definedName name="OSRRefD22_2x_0" localSheetId="98">'501'!$D$42</definedName>
    <definedName name="OSRRefD22_2x_0" localSheetId="39">'Div 2'!$D$43</definedName>
    <definedName name="OSRRefD22_2x_0" localSheetId="47">'Div 3'!$D$152</definedName>
    <definedName name="OSRRefD22_2x_0" localSheetId="74">'Div 4'!$D$57</definedName>
    <definedName name="OSRRefD22_2x_0" localSheetId="97">'Div 5'!$D$42</definedName>
    <definedName name="OSRRefD22_2x_0" localSheetId="65">'Div 6'!$D$72</definedName>
    <definedName name="OSRRefD22_2x_0" localSheetId="2">Summary!$D$181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'204'!$D$44</definedName>
    <definedName name="OSRRefD22_3x_0" localSheetId="45">'205'!$D$43</definedName>
    <definedName name="OSRRefD22_3x_0" localSheetId="46">'206'!$D$43</definedName>
    <definedName name="OSRRefD22_3x_0" localSheetId="48">'300'!$D$148:$D$149</definedName>
    <definedName name="OSRRefD22_3x_0" localSheetId="49">'300 &amp; 317'!$D$170:$D$171</definedName>
    <definedName name="OSRRefD22_3x_0" localSheetId="50">'301'!$D$43</definedName>
    <definedName name="OSRRefD22_3x_0" localSheetId="51">'306'!$D$43</definedName>
    <definedName name="OSRRefD22_3x_0" localSheetId="53">'307'!$D$74</definedName>
    <definedName name="OSRRefD22_3x_0" localSheetId="55">'308'!$D$75</definedName>
    <definedName name="OSRRefD22_3x_0" localSheetId="68">'309'!$D$49</definedName>
    <definedName name="OSRRefD22_3x_0" localSheetId="67">'310'!$D$56</definedName>
    <definedName name="OSRRefD22_3x_0" localSheetId="75">'310 &amp; 491'!$D$64</definedName>
    <definedName name="OSRRefD22_3x_0" localSheetId="56">'311'!$D$75</definedName>
    <definedName name="OSRRefD22_3x_0" localSheetId="69">'313'!$D$52</definedName>
    <definedName name="OSRRefD22_3x_0" localSheetId="54">'314'!$D$71</definedName>
    <definedName name="OSRRefD22_3x_0" localSheetId="60">'315'!$D$73</definedName>
    <definedName name="OSRRefD22_3x_0" localSheetId="63">'316'!$D$55</definedName>
    <definedName name="OSRRefD22_3x_0" localSheetId="66">'317'!$D$74</definedName>
    <definedName name="OSRRefD22_3x_0" localSheetId="64">'320'!$D$49:$D$50</definedName>
    <definedName name="OSRRefD22_3x_0" localSheetId="70">'321'!$D$48</definedName>
    <definedName name="OSRRefD22_3x_0" localSheetId="71">'322'!$D$49</definedName>
    <definedName name="OSRRefD22_3x_0" localSheetId="72">'325'!$D$49</definedName>
    <definedName name="OSRRefD22_3x_0" localSheetId="61">'326'!$D$67:$D$68</definedName>
    <definedName name="OSRRefD22_3x_0" localSheetId="52">'330'!$D$86</definedName>
    <definedName name="OSRRefD22_3x_0" localSheetId="59">'331'!$D$80:$D$81</definedName>
    <definedName name="OSRRefD22_3x_0" localSheetId="62">'332'!$D$62</definedName>
    <definedName name="OSRRefD22_3x_0" localSheetId="77">'405'!$D$49</definedName>
    <definedName name="OSRRefD22_3x_0" localSheetId="78">'406'!$D$45</definedName>
    <definedName name="OSRRefD22_3x_0" localSheetId="79">'411'!$D$44:$D$46</definedName>
    <definedName name="OSRRefD22_3x_0" localSheetId="80">'412'!$D$49</definedName>
    <definedName name="OSRRefD22_3x_0" localSheetId="81">'413'!$D$50</definedName>
    <definedName name="OSRRefD22_3x_0" localSheetId="82">'414'!$D$50</definedName>
    <definedName name="OSRRefD22_3x_0" localSheetId="83">'415'!$D$49</definedName>
    <definedName name="OSRRefD22_3x_0" localSheetId="84">'418'!$D$50</definedName>
    <definedName name="OSRRefD22_3x_0" localSheetId="86">'423'!$D$43</definedName>
    <definedName name="OSRRefD22_3x_0" localSheetId="87">'424'!$D$45</definedName>
    <definedName name="OSRRefD22_3x_0" localSheetId="88">'425'!$D$50</definedName>
    <definedName name="OSRRefD22_3x_0" localSheetId="91">'430'!$D$43</definedName>
    <definedName name="OSRRefD22_3x_0" localSheetId="92">'433'!$D$51</definedName>
    <definedName name="OSRRefD22_3x_0" localSheetId="93">'435'!$D$44</definedName>
    <definedName name="OSRRefD22_3x_0" localSheetId="94">'444'!$D$51</definedName>
    <definedName name="OSRRefD22_3x_0" localSheetId="96">'450'!$D$48:$D$49</definedName>
    <definedName name="OSRRefD22_3x_0" localSheetId="76">'491'!$D$58</definedName>
    <definedName name="OSRRefD22_3x_0" localSheetId="90">'492'!$D$51:$D$52</definedName>
    <definedName name="OSRRefD22_3x_0" localSheetId="98">'501'!$D$44</definedName>
    <definedName name="OSRRefD22_3x_0" localSheetId="39">'Div 2'!$D$45</definedName>
    <definedName name="OSRRefD22_3x_0" localSheetId="47">'Div 3'!$D$154:$D$155</definedName>
    <definedName name="OSRRefD22_3x_0" localSheetId="74">'Div 4'!$D$59:$D$60</definedName>
    <definedName name="OSRRefD22_3x_0" localSheetId="97">'Div 5'!$D$44</definedName>
    <definedName name="OSRRefD22_3x_0" localSheetId="65">'Div 6'!$D$74</definedName>
    <definedName name="OSRRefD22_3x_0" localSheetId="2">Summary!$D$183:$D$184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</definedName>
    <definedName name="OSRRefD22_4x_0" localSheetId="46">'206'!$D$45</definedName>
    <definedName name="OSRRefD22_4x_0" localSheetId="48">'300'!$D$151</definedName>
    <definedName name="OSRRefD22_4x_0" localSheetId="49">'300 &amp; 317'!$D$173</definedName>
    <definedName name="OSRRefD22_4x_0" localSheetId="50">'301'!$D$45</definedName>
    <definedName name="OSRRefD22_4x_0" localSheetId="51">'306'!$D$45</definedName>
    <definedName name="OSRRefD22_4x_0" localSheetId="53">'307'!$D$76</definedName>
    <definedName name="OSRRefD22_4x_0" localSheetId="55">'308'!$D$77</definedName>
    <definedName name="OSRRefD22_4x_0" localSheetId="68">'309'!$D$51</definedName>
    <definedName name="OSRRefD22_4x_0" localSheetId="67">'310'!$D$58</definedName>
    <definedName name="OSRRefD22_4x_0" localSheetId="75">'310 &amp; 491'!$D$66</definedName>
    <definedName name="OSRRefD22_4x_0" localSheetId="56">'311'!$D$77</definedName>
    <definedName name="OSRRefD22_4x_0" localSheetId="69">'313'!$D$54</definedName>
    <definedName name="OSRRefD22_4x_0" localSheetId="54">'314'!$D$73</definedName>
    <definedName name="OSRRefD22_4x_0" localSheetId="60">'315'!$D$75</definedName>
    <definedName name="OSRRefD22_4x_0" localSheetId="63">'316'!$D$57</definedName>
    <definedName name="OSRRefD22_4x_0" localSheetId="66">'317'!$D$76</definedName>
    <definedName name="OSRRefD22_4x_0" localSheetId="64">'320'!$D$52</definedName>
    <definedName name="OSRRefD22_4x_0" localSheetId="70">'321'!$D$50</definedName>
    <definedName name="OSRRefD22_4x_0" localSheetId="71">'322'!$D$51</definedName>
    <definedName name="OSRRefD22_4x_0" localSheetId="72">'325'!$D$51</definedName>
    <definedName name="OSRRefD22_4x_0" localSheetId="61">'326'!$D$70</definedName>
    <definedName name="OSRRefD22_4x_0" localSheetId="52">'330'!$D$88</definedName>
    <definedName name="OSRRefD22_4x_0" localSheetId="59">'331'!$D$83</definedName>
    <definedName name="OSRRefD22_4x_0" localSheetId="62">'332'!$D$64</definedName>
    <definedName name="OSRRefD22_4x_0" localSheetId="77">'405'!$D$51</definedName>
    <definedName name="OSRRefD22_4x_0" localSheetId="78">'406'!$D$47</definedName>
    <definedName name="OSRRefD22_4x_0" localSheetId="79">'411'!$D$48</definedName>
    <definedName name="OSRRefD22_4x_0" localSheetId="80">'412'!$D$51</definedName>
    <definedName name="OSRRefD22_4x_0" localSheetId="81">'413'!$D$52</definedName>
    <definedName name="OSRRefD22_4x_0" localSheetId="82">'414'!$D$52</definedName>
    <definedName name="OSRRefD22_4x_0" localSheetId="83">'415'!$D$51</definedName>
    <definedName name="OSRRefD22_4x_0" localSheetId="84">'418'!$D$52</definedName>
    <definedName name="OSRRefD22_4x_0" localSheetId="86">'423'!$D$45</definedName>
    <definedName name="OSRRefD22_4x_0" localSheetId="87">'424'!$D$47</definedName>
    <definedName name="OSRRefD22_4x_0" localSheetId="88">'425'!$D$52</definedName>
    <definedName name="OSRRefD22_4x_0" localSheetId="91">'430'!$D$45</definedName>
    <definedName name="OSRRefD22_4x_0" localSheetId="92">'433'!$D$53</definedName>
    <definedName name="OSRRefD22_4x_0" localSheetId="93">'435'!$D$46</definedName>
    <definedName name="OSRRefD22_4x_0" localSheetId="94">'444'!$D$53</definedName>
    <definedName name="OSRRefD22_4x_0" localSheetId="96">'450'!$D$51</definedName>
    <definedName name="OSRRefD22_4x_0" localSheetId="76">'491'!$D$60</definedName>
    <definedName name="OSRRefD22_4x_0" localSheetId="90">'492'!$D$54</definedName>
    <definedName name="OSRRefD22_4x_0" localSheetId="98">'501'!$D$46</definedName>
    <definedName name="OSRRefD22_4x_0" localSheetId="39">'Div 2'!$D$47</definedName>
    <definedName name="OSRRefD22_4x_0" localSheetId="47">'Div 3'!$D$157</definedName>
    <definedName name="OSRRefD22_4x_0" localSheetId="74">'Div 4'!$D$62</definedName>
    <definedName name="OSRRefD22_4x_0" localSheetId="97">'Div 5'!$D$46</definedName>
    <definedName name="OSRRefD22_4x_0" localSheetId="65">'Div 6'!$D$76</definedName>
    <definedName name="OSRRefD22_4x_0" localSheetId="2">Summary!$D$186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</definedName>
    <definedName name="OSRRefD22_5x_0" localSheetId="45">'205'!$D$47</definedName>
    <definedName name="OSRRefD22_5x_0" localSheetId="46">'206'!$D$47</definedName>
    <definedName name="OSRRefD22_5x_0" localSheetId="48">'300'!$D$153:$D$155</definedName>
    <definedName name="OSRRefD22_5x_0" localSheetId="49">'300 &amp; 317'!$D$175:$D$177</definedName>
    <definedName name="OSRRefD22_5x_0" localSheetId="50">'301'!$D$47:$D$49</definedName>
    <definedName name="OSRRefD22_5x_0" localSheetId="51">'306'!$D$47</definedName>
    <definedName name="OSRRefD22_5x_0" localSheetId="53">'307'!$D$78</definedName>
    <definedName name="OSRRefD22_5x_0" localSheetId="55">'308'!$D$79</definedName>
    <definedName name="OSRRefD22_5x_0" localSheetId="68">'309'!$D$53</definedName>
    <definedName name="OSRRefD22_5x_0" localSheetId="67">'310'!$D$60:$D$61</definedName>
    <definedName name="OSRRefD22_5x_0" localSheetId="75">'310 &amp; 491'!$D$68:$D$71</definedName>
    <definedName name="OSRRefD22_5x_0" localSheetId="56">'311'!$D$79</definedName>
    <definedName name="OSRRefD22_5x_0" localSheetId="69">'313'!$D$56</definedName>
    <definedName name="OSRRefD22_5x_0" localSheetId="54">'314'!$D$75</definedName>
    <definedName name="OSRRefD22_5x_0" localSheetId="60">'315'!$D$77</definedName>
    <definedName name="OSRRefD22_5x_0" localSheetId="63">'316'!$D$59</definedName>
    <definedName name="OSRRefD22_5x_0" localSheetId="66">'317'!$D$78</definedName>
    <definedName name="OSRRefD22_5x_0" localSheetId="64">'320'!$D$54</definedName>
    <definedName name="OSRRefD22_5x_0" localSheetId="70">'321'!$D$52</definedName>
    <definedName name="OSRRefD22_5x_0" localSheetId="71">'322'!$D$53</definedName>
    <definedName name="OSRRefD22_5x_0" localSheetId="72">'325'!$D$53:$D$54</definedName>
    <definedName name="OSRRefD22_5x_0" localSheetId="61">'326'!$D$72</definedName>
    <definedName name="OSRRefD22_5x_0" localSheetId="52">'330'!$D$90</definedName>
    <definedName name="OSRRefD22_5x_0" localSheetId="59">'331'!$D$85</definedName>
    <definedName name="OSRRefD22_5x_0" localSheetId="62">'332'!$D$66</definedName>
    <definedName name="OSRRefD22_5x_0" localSheetId="77">'405'!$D$53:$D$54</definedName>
    <definedName name="OSRRefD22_5x_0" localSheetId="78">'406'!$D$49</definedName>
    <definedName name="OSRRefD22_5x_0" localSheetId="79">'411'!$D$50</definedName>
    <definedName name="OSRRefD22_5x_0" localSheetId="80">'412'!$D$53</definedName>
    <definedName name="OSRRefD22_5x_0" localSheetId="81">'413'!$D$54</definedName>
    <definedName name="OSRRefD22_5x_0" localSheetId="82">'414'!$D$54:$D$55</definedName>
    <definedName name="OSRRefD22_5x_0" localSheetId="83">'415'!$D$53:$D$54</definedName>
    <definedName name="OSRRefD22_5x_0" localSheetId="84">'418'!$D$54:$D$56</definedName>
    <definedName name="OSRRefD22_5x_0" localSheetId="86">'423'!$D$47</definedName>
    <definedName name="OSRRefD22_5x_0" localSheetId="87">'424'!$D$49</definedName>
    <definedName name="OSRRefD22_5x_0" localSheetId="88">'425'!$D$54</definedName>
    <definedName name="OSRRefD22_5x_0" localSheetId="91">'430'!$D$47</definedName>
    <definedName name="OSRRefD22_5x_0" localSheetId="92">'433'!$D$55</definedName>
    <definedName name="OSRRefD22_5x_0" localSheetId="93">'435'!$D$48</definedName>
    <definedName name="OSRRefD22_5x_0" localSheetId="94">'444'!$D$55</definedName>
    <definedName name="OSRRefD22_5x_0" localSheetId="96">'450'!$D$53</definedName>
    <definedName name="OSRRefD22_5x_0" localSheetId="76">'491'!$D$62:$D$65</definedName>
    <definedName name="OSRRefD22_5x_0" localSheetId="90">'492'!$D$56</definedName>
    <definedName name="OSRRefD22_5x_0" localSheetId="98">'501'!$D$48</definedName>
    <definedName name="OSRRefD22_5x_0" localSheetId="39">'Div 2'!$D$49</definedName>
    <definedName name="OSRRefD22_5x_0" localSheetId="47">'Div 3'!$D$159:$D$161</definedName>
    <definedName name="OSRRefD22_5x_0" localSheetId="74">'Div 4'!$D$64:$D$67</definedName>
    <definedName name="OSRRefD22_5x_0" localSheetId="97">'Div 5'!$D$48</definedName>
    <definedName name="OSRRefD22_5x_0" localSheetId="65">'Div 6'!$D$78</definedName>
    <definedName name="OSRRefD22_5x_0" localSheetId="2">Summary!$D$188:$D$191</definedName>
    <definedName name="OSRRefD22_6x_0" localSheetId="41">'201'!$D$49</definedName>
    <definedName name="OSRRefD22_6x_0" localSheetId="42">'202'!$D$49</definedName>
    <definedName name="OSRRefD22_6x_0" localSheetId="43">'203'!$D$50</definedName>
    <definedName name="OSRRefD22_6x_0" localSheetId="44">'204'!$D$50:$D$53</definedName>
    <definedName name="OSRRefD22_6x_0" localSheetId="45">'205'!$D$49</definedName>
    <definedName name="OSRRefD22_6x_0" localSheetId="46">'206'!$D$49:$D$50</definedName>
    <definedName name="OSRRefD22_6x_0" localSheetId="48">'300'!$D$157:$D$158</definedName>
    <definedName name="OSRRefD22_6x_0" localSheetId="49">'300 &amp; 317'!$D$179:$D$180</definedName>
    <definedName name="OSRRefD22_6x_0" localSheetId="50">'301'!$D$51:$D$52</definedName>
    <definedName name="OSRRefD22_6x_0" localSheetId="51">'306'!$D$49</definedName>
    <definedName name="OSRRefD22_6x_0" localSheetId="53">'307'!$D$80</definedName>
    <definedName name="OSRRefD22_6x_0" localSheetId="55">'308'!$D$81</definedName>
    <definedName name="OSRRefD22_6x_0" localSheetId="68">'309'!$D$55</definedName>
    <definedName name="OSRRefD22_6x_0" localSheetId="67">'310'!$D$63</definedName>
    <definedName name="OSRRefD22_6x_0" localSheetId="75">'310 &amp; 491'!$D$73</definedName>
    <definedName name="OSRRefD22_6x_0" localSheetId="56">'311'!$D$81</definedName>
    <definedName name="OSRRefD22_6x_0" localSheetId="69">'313'!$D$58</definedName>
    <definedName name="OSRRefD22_6x_0" localSheetId="60">'315'!$D$79</definedName>
    <definedName name="OSRRefD22_6x_0" localSheetId="63">'316'!$D$61</definedName>
    <definedName name="OSRRefD22_6x_0" localSheetId="66">'317'!$D$80</definedName>
    <definedName name="OSRRefD22_6x_0" localSheetId="70">'321'!$D$54</definedName>
    <definedName name="OSRRefD22_6x_0" localSheetId="71">'322'!$D$55</definedName>
    <definedName name="OSRRefD22_6x_0" localSheetId="72">'325'!$D$56</definedName>
    <definedName name="OSRRefD22_6x_0" localSheetId="61">'326'!$D$74</definedName>
    <definedName name="OSRRefD22_6x_0" localSheetId="52">'330'!$D$92</definedName>
    <definedName name="OSRRefD22_6x_0" localSheetId="59">'331'!$D$87</definedName>
    <definedName name="OSRRefD22_6x_0" localSheetId="62">'332'!$D$68</definedName>
    <definedName name="OSRRefD22_6x_0" localSheetId="77">'405'!$D$56</definedName>
    <definedName name="OSRRefD22_6x_0" localSheetId="78">'406'!$D$51</definedName>
    <definedName name="OSRRefD22_6x_0" localSheetId="79">'411'!$D$52</definedName>
    <definedName name="OSRRefD22_6x_0" localSheetId="80">'412'!$D$55</definedName>
    <definedName name="OSRRefD22_6x_0" localSheetId="81">'413'!$D$56</definedName>
    <definedName name="OSRRefD22_6x_0" localSheetId="82">'414'!$D$57</definedName>
    <definedName name="OSRRefD22_6x_0" localSheetId="83">'415'!$D$56</definedName>
    <definedName name="OSRRefD22_6x_0" localSheetId="84">'418'!$D$58</definedName>
    <definedName name="OSRRefD22_6x_0" localSheetId="87">'424'!$D$51</definedName>
    <definedName name="OSRRefD22_6x_0" localSheetId="88">'425'!$D$56</definedName>
    <definedName name="OSRRefD22_6x_0" localSheetId="91">'430'!$D$49:$D$51</definedName>
    <definedName name="OSRRefD22_6x_0" localSheetId="92">'433'!$D$57</definedName>
    <definedName name="OSRRefD22_6x_0" localSheetId="93">'435'!$D$50</definedName>
    <definedName name="OSRRefD22_6x_0" localSheetId="94">'444'!$D$57</definedName>
    <definedName name="OSRRefD22_6x_0" localSheetId="96">'450'!$D$55</definedName>
    <definedName name="OSRRefD22_6x_0" localSheetId="76">'491'!$D$67</definedName>
    <definedName name="OSRRefD22_6x_0" localSheetId="90">'492'!$D$58</definedName>
    <definedName name="OSRRefD22_6x_0" localSheetId="98">'501'!$D$50</definedName>
    <definedName name="OSRRefD22_6x_0" localSheetId="39">'Div 2'!$D$51</definedName>
    <definedName name="OSRRefD22_6x_0" localSheetId="47">'Div 3'!$D$163:$D$164</definedName>
    <definedName name="OSRRefD22_6x_0" localSheetId="74">'Div 4'!$D$69</definedName>
    <definedName name="OSRRefD22_6x_0" localSheetId="97">'Div 5'!$D$50</definedName>
    <definedName name="OSRRefD22_6x_0" localSheetId="65">'Div 6'!$D$80</definedName>
    <definedName name="OSRRefD22_6x_0" localSheetId="2">Summary!$D$193:$D$194</definedName>
    <definedName name="OSRRefD22_7x_0" localSheetId="41">'201'!$D$51</definedName>
    <definedName name="OSRRefD22_7x_0" localSheetId="42">'202'!$D$51</definedName>
    <definedName name="OSRRefD22_7x_0" localSheetId="43">'203'!$D$52</definedName>
    <definedName name="OSRRefD22_7x_0" localSheetId="44">'204'!$D$55</definedName>
    <definedName name="OSRRefD22_7x_0" localSheetId="45">'205'!$D$51:$D$52</definedName>
    <definedName name="OSRRefD22_7x_0" localSheetId="46">'206'!$D$52</definedName>
    <definedName name="OSRRefD22_7x_0" localSheetId="48">'300'!$D$160:$D$161</definedName>
    <definedName name="OSRRefD22_7x_0" localSheetId="49">'300 &amp; 317'!$D$182:$D$183</definedName>
    <definedName name="OSRRefD22_7x_0" localSheetId="50">'301'!$D$54:$D$55</definedName>
    <definedName name="OSRRefD22_7x_0" localSheetId="51">'306'!$D$51:$D$52</definedName>
    <definedName name="OSRRefD22_7x_0" localSheetId="53">'307'!$D$82</definedName>
    <definedName name="OSRRefD22_7x_0" localSheetId="55">'308'!$D$83</definedName>
    <definedName name="OSRRefD22_7x_0" localSheetId="68">'309'!$D$57</definedName>
    <definedName name="OSRRefD22_7x_0" localSheetId="67">'310'!$D$65</definedName>
    <definedName name="OSRRefD22_7x_0" localSheetId="75">'310 &amp; 491'!$D$75</definedName>
    <definedName name="OSRRefD22_7x_0" localSheetId="56">'311'!$D$83</definedName>
    <definedName name="OSRRefD22_7x_0" localSheetId="69">'313'!$D$60</definedName>
    <definedName name="OSRRefD22_7x_0" localSheetId="60">'315'!$D$81</definedName>
    <definedName name="OSRRefD22_7x_0" localSheetId="63">'316'!$D$63</definedName>
    <definedName name="OSRRefD22_7x_0" localSheetId="66">'317'!$D$82:$D$83</definedName>
    <definedName name="OSRRefD22_7x_0" localSheetId="70">'321'!$D$56</definedName>
    <definedName name="OSRRefD22_7x_0" localSheetId="71">'322'!$D$57</definedName>
    <definedName name="OSRRefD22_7x_0" localSheetId="72">'325'!$D$58</definedName>
    <definedName name="OSRRefD22_7x_0" localSheetId="61">'326'!$D$76</definedName>
    <definedName name="OSRRefD22_7x_0" localSheetId="52">'330'!$D$94</definedName>
    <definedName name="OSRRefD22_7x_0" localSheetId="59">'331'!$D$89</definedName>
    <definedName name="OSRRefD22_7x_0" localSheetId="62">'332'!$D$70:$D$71</definedName>
    <definedName name="OSRRefD22_7x_0" localSheetId="77">'405'!$D$58</definedName>
    <definedName name="OSRRefD22_7x_0" localSheetId="78">'406'!$D$53:$D$54</definedName>
    <definedName name="OSRRefD22_7x_0" localSheetId="79">'411'!$D$54</definedName>
    <definedName name="OSRRefD22_7x_0" localSheetId="80">'412'!$D$57</definedName>
    <definedName name="OSRRefD22_7x_0" localSheetId="81">'413'!$D$58</definedName>
    <definedName name="OSRRefD22_7x_0" localSheetId="82">'414'!$D$59</definedName>
    <definedName name="OSRRefD22_7x_0" localSheetId="83">'415'!$D$58</definedName>
    <definedName name="OSRRefD22_7x_0" localSheetId="84">'418'!$D$60</definedName>
    <definedName name="OSRRefD22_7x_0" localSheetId="87">'424'!$D$53:$D$54</definedName>
    <definedName name="OSRRefD22_7x_0" localSheetId="88">'425'!$D$58</definedName>
    <definedName name="OSRRefD22_7x_0" localSheetId="91">'430'!$D$53</definedName>
    <definedName name="OSRRefD22_7x_0" localSheetId="92">'433'!$D$59</definedName>
    <definedName name="OSRRefD22_7x_0" localSheetId="93">'435'!$D$52</definedName>
    <definedName name="OSRRefD22_7x_0" localSheetId="94">'444'!$D$59</definedName>
    <definedName name="OSRRefD22_7x_0" localSheetId="96">'450'!$D$57</definedName>
    <definedName name="OSRRefD22_7x_0" localSheetId="76">'491'!$D$69</definedName>
    <definedName name="OSRRefD22_7x_0" localSheetId="90">'492'!$D$60</definedName>
    <definedName name="OSRRefD22_7x_0" localSheetId="98">'501'!$D$52</definedName>
    <definedName name="OSRRefD22_7x_0" localSheetId="39">'Div 2'!$D$53</definedName>
    <definedName name="OSRRefD22_7x_0" localSheetId="47">'Div 3'!$D$166:$D$167</definedName>
    <definedName name="OSRRefD22_7x_0" localSheetId="74">'Div 4'!$D$71</definedName>
    <definedName name="OSRRefD22_7x_0" localSheetId="97">'Div 5'!$D$52</definedName>
    <definedName name="OSRRefD22_7x_0" localSheetId="65">'Div 6'!$D$82:$D$83</definedName>
    <definedName name="OSRRefD22_7x_0" localSheetId="2">Summary!$D$196:$D$198</definedName>
    <definedName name="OSRRefD22_8x_0" localSheetId="41">'201'!$D$53:$D$54</definedName>
    <definedName name="OSRRefD22_8x_0" localSheetId="42">'202'!$D$53:$D$55</definedName>
    <definedName name="OSRRefD22_8x_0" localSheetId="43">'203'!$D$54:$D$55</definedName>
    <definedName name="OSRRefD22_8x_0" localSheetId="44">'204'!$D$57</definedName>
    <definedName name="OSRRefD22_8x_0" localSheetId="45">'205'!$D$54</definedName>
    <definedName name="OSRRefD22_8x_0" localSheetId="46">'206'!$D$54</definedName>
    <definedName name="OSRRefD22_8x_0" localSheetId="48">'300'!$D$163</definedName>
    <definedName name="OSRRefD22_8x_0" localSheetId="49">'300 &amp; 317'!$D$185</definedName>
    <definedName name="OSRRefD22_8x_0" localSheetId="50">'301'!$D$57</definedName>
    <definedName name="OSRRefD22_8x_0" localSheetId="51">'306'!$D$54</definedName>
    <definedName name="OSRRefD22_8x_0" localSheetId="53">'307'!$D$84</definedName>
    <definedName name="OSRRefD22_8x_0" localSheetId="55">'308'!$D$85</definedName>
    <definedName name="OSRRefD22_8x_0" localSheetId="68">'309'!$D$59</definedName>
    <definedName name="OSRRefD22_8x_0" localSheetId="67">'310'!$D$67</definedName>
    <definedName name="OSRRefD22_8x_0" localSheetId="75">'310 &amp; 491'!$D$77</definedName>
    <definedName name="OSRRefD22_8x_0" localSheetId="56">'311'!$D$85</definedName>
    <definedName name="OSRRefD22_8x_0" localSheetId="69">'313'!$D$62</definedName>
    <definedName name="OSRRefD22_8x_0" localSheetId="60">'315'!$D$83</definedName>
    <definedName name="OSRRefD22_8x_0" localSheetId="63">'316'!$D$65</definedName>
    <definedName name="OSRRefD22_8x_0" localSheetId="66">'317'!$D$85:$D$86</definedName>
    <definedName name="OSRRefD22_8x_0" localSheetId="70">'321'!$D$58</definedName>
    <definedName name="OSRRefD22_8x_0" localSheetId="71">'322'!$D$59</definedName>
    <definedName name="OSRRefD22_8x_0" localSheetId="72">'325'!$D$60</definedName>
    <definedName name="OSRRefD22_8x_0" localSheetId="61">'326'!$D$78</definedName>
    <definedName name="OSRRefD22_8x_0" localSheetId="52">'330'!$D$96</definedName>
    <definedName name="OSRRefD22_8x_0" localSheetId="59">'331'!$D$91</definedName>
    <definedName name="OSRRefD22_8x_0" localSheetId="62">'332'!$D$73</definedName>
    <definedName name="OSRRefD22_8x_0" localSheetId="77">'405'!$D$60</definedName>
    <definedName name="OSRRefD22_8x_0" localSheetId="78">'406'!$D$56:$D$58</definedName>
    <definedName name="OSRRefD22_8x_0" localSheetId="79">'411'!$D$56:$D$58</definedName>
    <definedName name="OSRRefD22_8x_0" localSheetId="80">'412'!$D$59</definedName>
    <definedName name="OSRRefD22_8x_0" localSheetId="81">'413'!$D$60</definedName>
    <definedName name="OSRRefD22_8x_0" localSheetId="82">'414'!$D$61</definedName>
    <definedName name="OSRRefD22_8x_0" localSheetId="83">'415'!$D$60</definedName>
    <definedName name="OSRRefD22_8x_0" localSheetId="84">'418'!$D$62:$D$63</definedName>
    <definedName name="OSRRefD22_8x_0" localSheetId="88">'425'!$D$60</definedName>
    <definedName name="OSRRefD22_8x_0" localSheetId="91">'430'!$D$55</definedName>
    <definedName name="OSRRefD22_8x_0" localSheetId="92">'433'!$D$61</definedName>
    <definedName name="OSRRefD22_8x_0" localSheetId="94">'444'!$D$61</definedName>
    <definedName name="OSRRefD22_8x_0" localSheetId="96">'450'!$D$59</definedName>
    <definedName name="OSRRefD22_8x_0" localSheetId="76">'491'!$D$71:$D$72</definedName>
    <definedName name="OSRRefD22_8x_0" localSheetId="90">'492'!$D$62</definedName>
    <definedName name="OSRRefD22_8x_0" localSheetId="98">'501'!$D$54</definedName>
    <definedName name="OSRRefD22_8x_0" localSheetId="39">'Div 2'!$D$55</definedName>
    <definedName name="OSRRefD22_8x_0" localSheetId="47">'Div 3'!$D$169</definedName>
    <definedName name="OSRRefD22_8x_0" localSheetId="74">'Div 4'!$D$73</definedName>
    <definedName name="OSRRefD22_8x_0" localSheetId="97">'Div 5'!$D$54</definedName>
    <definedName name="OSRRefD22_8x_0" localSheetId="65">'Div 6'!$D$85:$D$86</definedName>
    <definedName name="OSRRefD22_8x_0" localSheetId="2">Summary!$D$200</definedName>
    <definedName name="OSRRefD22_9x_0" localSheetId="41">'201'!$D$56:$D$57</definedName>
    <definedName name="OSRRefD22_9x_0" localSheetId="42">'202'!$D$57</definedName>
    <definedName name="OSRRefD22_9x_0" localSheetId="43">'203'!$D$57:$D$58</definedName>
    <definedName name="OSRRefD22_9x_0" localSheetId="44">'204'!$D$59:$D$60</definedName>
    <definedName name="OSRRefD22_9x_0" localSheetId="46">'206'!$D$56</definedName>
    <definedName name="OSRRefD22_9x_0" localSheetId="48">'300'!$D$165</definedName>
    <definedName name="OSRRefD22_9x_0" localSheetId="49">'300 &amp; 317'!$D$187</definedName>
    <definedName name="OSRRefD22_9x_0" localSheetId="50">'301'!$D$59</definedName>
    <definedName name="OSRRefD22_9x_0" localSheetId="53">'307'!$D$86:$D$87</definedName>
    <definedName name="OSRRefD22_9x_0" localSheetId="55">'308'!$D$87:$D$88</definedName>
    <definedName name="OSRRefD22_9x_0" localSheetId="68">'309'!$D$61</definedName>
    <definedName name="OSRRefD22_9x_0" localSheetId="67">'310'!$D$69</definedName>
    <definedName name="OSRRefD22_9x_0" localSheetId="75">'310 &amp; 491'!$D$79</definedName>
    <definedName name="OSRRefD22_9x_0" localSheetId="56">'311'!$D$87:$D$88</definedName>
    <definedName name="OSRRefD22_9x_0" localSheetId="69">'313'!$D$64</definedName>
    <definedName name="OSRRefD22_9x_0" localSheetId="60">'315'!$D$85</definedName>
    <definedName name="OSRRefD22_9x_0" localSheetId="63">'316'!$D$67</definedName>
    <definedName name="OSRRefD22_9x_0" localSheetId="66">'317'!$D$88</definedName>
    <definedName name="OSRRefD22_9x_0" localSheetId="70">'321'!$D$60</definedName>
    <definedName name="OSRRefD22_9x_0" localSheetId="71">'322'!$D$61</definedName>
    <definedName name="OSRRefD22_9x_0" localSheetId="72">'325'!$D$62</definedName>
    <definedName name="OSRRefD22_9x_0" localSheetId="61">'326'!$D$80</definedName>
    <definedName name="OSRRefD22_9x_0" localSheetId="52">'330'!$D$98:$D$99</definedName>
    <definedName name="OSRRefD22_9x_0" localSheetId="59">'331'!$D$93</definedName>
    <definedName name="OSRRefD22_9x_0" localSheetId="62">'332'!$D$75</definedName>
    <definedName name="OSRRefD22_9x_0" localSheetId="77">'405'!$D$62</definedName>
    <definedName name="OSRRefD22_9x_0" localSheetId="78">'406'!$D$60:$D$62</definedName>
    <definedName name="OSRRefD22_9x_0" localSheetId="79">'411'!$D$60:$D$64</definedName>
    <definedName name="OSRRefD22_9x_0" localSheetId="80">'412'!$D$61</definedName>
    <definedName name="OSRRefD22_9x_0" localSheetId="81">'413'!$D$62:$D$64</definedName>
    <definedName name="OSRRefD22_9x_0" localSheetId="82">'414'!$D$63</definedName>
    <definedName name="OSRRefD22_9x_0" localSheetId="83">'415'!$D$62</definedName>
    <definedName name="OSRRefD22_9x_0" localSheetId="84">'418'!$D$65</definedName>
    <definedName name="OSRRefD22_9x_0" localSheetId="88">'425'!$D$62:$D$63</definedName>
    <definedName name="OSRRefD22_9x_0" localSheetId="91">'430'!$D$57</definedName>
    <definedName name="OSRRefD22_9x_0" localSheetId="92">'433'!$D$63</definedName>
    <definedName name="OSRRefD22_9x_0" localSheetId="94">'444'!$D$63</definedName>
    <definedName name="OSRRefD22_9x_0" localSheetId="96">'450'!$D$61</definedName>
    <definedName name="OSRRefD22_9x_0" localSheetId="76">'491'!$D$74</definedName>
    <definedName name="OSRRefD22_9x_0" localSheetId="90">'492'!$D$64</definedName>
    <definedName name="OSRRefD22_9x_0" localSheetId="98">'501'!$D$56</definedName>
    <definedName name="OSRRefD22_9x_0" localSheetId="39">'Div 2'!$D$57</definedName>
    <definedName name="OSRRefD22_9x_0" localSheetId="47">'Div 3'!$D$171</definedName>
    <definedName name="OSRRefD22_9x_0" localSheetId="74">'Div 4'!$D$75</definedName>
    <definedName name="OSRRefD22_9x_0" localSheetId="97">'Div 5'!$D$56</definedName>
    <definedName name="OSRRefD22_9x_0" localSheetId="65">'Div 6'!$D$88</definedName>
    <definedName name="OSRRefD22_9x_0" localSheetId="2">Summary!$D$202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'201'!$D$20:$D$28,'201'!$D$30:$D$39,'201'!$D$41,'201'!$D$43,'201'!$D$45,'201'!$D$47,'201'!$D$49,'201'!$D$51,'201'!$D$53:$D$54,'201'!$D$56:$D$57,'201'!$D$59,'201'!$D$61:$D$63,'201'!$D$65,'201'!$D$67</definedName>
    <definedName name="OSRRefD22x_0" localSheetId="42">'202'!$D$20:$D$28,'202'!$D$30:$D$39,'202'!$D$41,'202'!$D$43,'202'!$D$45,'202'!$D$47,'202'!$D$49,'202'!$D$51,'202'!$D$53:$D$55,'202'!$D$57,'202'!$D$59,'202'!$D$61,'202'!$D$63,'202'!$D$65,'202'!$D$67</definedName>
    <definedName name="OSRRefD22x_0" localSheetId="43">'203'!$D$20:$D$29,'203'!$D$31:$D$40,'203'!$D$42,'203'!$D$44,'203'!$D$46,'203'!$D$48,'203'!$D$50,'203'!$D$52,'203'!$D$54:$D$55,'203'!$D$57:$D$58,'203'!$D$60,'203'!$D$62:$D$64,'203'!$D$66,'203'!$D$68,'203'!$D$70</definedName>
    <definedName name="OSRRefD22x_0" localSheetId="44">'204'!$D$20:$D$29,'204'!$D$31:$D$40,'204'!$D$42,'204'!$D$44,'204'!$D$46,'204'!$D$48,'204'!$D$50:$D$53,'204'!$D$55,'204'!$D$57,'204'!$D$59:$D$60,'204'!$D$62,'204'!$D$64</definedName>
    <definedName name="OSRRefD22x_0" localSheetId="45">'205'!$D$20:$D$28,'205'!$D$30:$D$39,'205'!$D$41,'205'!$D$43,'205'!$D$45,'205'!$D$47,'205'!$D$49,'205'!$D$51:$D$52,'205'!$D$54</definedName>
    <definedName name="OSRRefD22x_0" localSheetId="46">'206'!$D$20:$D$28,'206'!$D$30:$D$39,'206'!$D$41,'206'!$D$43,'206'!$D$45,'206'!$D$47,'206'!$D$49:$D$50,'206'!$D$52,'206'!$D$54,'206'!$D$56</definedName>
    <definedName name="OSRRefD22x_0" localSheetId="48">'300'!$D$124:$D$133,'300'!$D$135:$D$144,'300'!$D$146,'300'!$D$148:$D$149,'300'!$D$151,'300'!$D$153:$D$155,'300'!$D$157:$D$158,'300'!$D$160:$D$161,'300'!$D$163,'300'!$D$165,'300'!$D$167:$D$168,'300'!$D$170,'300'!$D$172,'300'!$D$174,'300'!$D$176,'300'!$D$178,'300'!$D$180:$D$182,'300'!$D$184:$D$187,'300'!$D$189:$D$192,'300'!$D$194:$D$195,'300'!$D$197:$D$203,'300'!$D$205:$D$206,'300'!$D$208,'300'!$D$210:$D$212,'300'!$D$214</definedName>
    <definedName name="OSRRefD22x_0" localSheetId="49">'300 &amp; 317'!$D$146:$D$155,'300 &amp; 317'!$D$157:$D$166,'300 &amp; 317'!$D$168,'300 &amp; 317'!$D$170:$D$171,'300 &amp; 317'!$D$173,'300 &amp; 317'!$D$175:$D$177,'300 &amp; 317'!$D$179:$D$180,'300 &amp; 317'!$D$182:$D$183,'300 &amp; 317'!$D$185,'300 &amp; 317'!$D$187,'300 &amp; 317'!$D$189:$D$190,'300 &amp; 317'!$D$192,'300 &amp; 317'!$D$194,'300 &amp; 317'!$D$196,'300 &amp; 317'!$D$198,'300 &amp; 317'!$D$200,'300 &amp; 317'!$D$202:$D$204,'300 &amp; 317'!$D$206:$D$209,'300 &amp; 317'!$D$211:$D$214,'300 &amp; 317'!$D$216:$D$217,'300 &amp; 317'!$D$219:$D$225,'300 &amp; 317'!$D$227:$D$228,'300 &amp; 317'!$D$230,'300 &amp; 317'!$D$232:$D$234,'300 &amp; 317'!$D$236</definedName>
    <definedName name="OSRRefD22x_0" localSheetId="50">'301'!$D$20:$D$28,'301'!$D$30:$D$39,'301'!$D$41,'301'!$D$43,'301'!$D$45,'301'!$D$47:$D$49,'301'!$D$51:$D$52,'301'!$D$54:$D$55,'301'!$D$57,'301'!$D$59,'301'!$D$61,'301'!$D$63,'301'!$D$65,'301'!$D$67,'301'!$D$69,'301'!$D$71:$D$73,'301'!$D$75:$D$77,'301'!$D$79:$D$80,'301'!$D$82:$D$86,'301'!$D$88,'301'!$D$90,'301'!$D$92:$D$93,'301'!$D$95</definedName>
    <definedName name="OSRRefD22x_0" localSheetId="51">'306'!$D$20:$D$28,'306'!$D$30:$D$39,'306'!$D$41,'306'!$D$43,'306'!$D$45,'306'!$D$47,'306'!$D$49,'306'!$D$51:$D$52,'306'!$D$54</definedName>
    <definedName name="OSRRefD22x_0" localSheetId="53">'307'!$D$51:$D$59,'307'!$D$61:$D$70,'307'!$D$72,'307'!$D$74,'307'!$D$76,'307'!$D$78,'307'!$D$80,'307'!$D$82,'307'!$D$84,'307'!$D$86:$D$87,'307'!$D$89,'307'!$D$91,'307'!$D$93</definedName>
    <definedName name="OSRRefD22x_0" localSheetId="55">'308'!$D$51:$D$60,'308'!$D$62:$D$71,'308'!$D$73,'308'!$D$75,'308'!$D$77,'308'!$D$79,'308'!$D$81,'308'!$D$83,'308'!$D$85,'308'!$D$87:$D$88,'308'!$D$90,'308'!$D$92:$D$94,'308'!$D$96:$D$97,'308'!$D$99,'308'!$D$101</definedName>
    <definedName name="OSRRefD22x_0" localSheetId="68">'309'!$D$26:$D$34,'309'!$D$36:$D$45,'309'!$D$47,'309'!$D$49,'309'!$D$51,'309'!$D$53,'309'!$D$55,'309'!$D$57,'309'!$D$59,'309'!$D$61,'309'!$D$63:$D$64,'309'!$D$66</definedName>
    <definedName name="OSRRefD22x_0" localSheetId="67">'310'!$D$33:$D$41,'310'!$D$43:$D$52,'310'!$D$54,'310'!$D$56,'310'!$D$58,'310'!$D$60:$D$61,'310'!$D$63,'310'!$D$65,'310'!$D$67,'310'!$D$69,'310'!$D$71,'310'!$D$73,'310'!$D$75,'310'!$D$77,'310'!$D$79,'310'!$D$81,'310'!$D$83,'310'!$D$85:$D$89,'310'!$D$91,'310'!$D$93:$D$98,'310'!$D$100,'310'!$D$102</definedName>
    <definedName name="OSRRefD22x_0" localSheetId="75">'310 &amp; 491'!$D$40:$D$49,'310 &amp; 491'!$D$51:$D$60,'310 &amp; 491'!$D$62,'310 &amp; 491'!$D$64,'310 &amp; 491'!$D$66,'310 &amp; 491'!$D$68:$D$71,'310 &amp; 491'!$D$73,'310 &amp; 491'!$D$75,'310 &amp; 491'!$D$77,'310 &amp; 491'!$D$79,'310 &amp; 491'!$D$81:$D$82,'310 &amp; 491'!$D$84,'310 &amp; 491'!$D$86,'310 &amp; 491'!$D$88,'310 &amp; 491'!$D$90,'310 &amp; 491'!$D$92:$D$95,'310 &amp; 491'!$D$97:$D$98,'310 &amp; 491'!$D$100:$D$105,'310 &amp; 491'!$D$107,'310 &amp; 491'!$D$109:$D$118,'310 &amp; 491'!$D$120:$D$121,'310 &amp; 491'!$D$123,'310 &amp; 491'!$D$125:$D$127,'310 &amp; 491'!$D$129</definedName>
    <definedName name="OSRRefD22x_0" localSheetId="56">'311'!$D$51:$D$60,'311'!$D$62:$D$71,'311'!$D$73,'311'!$D$75,'311'!$D$77,'311'!$D$79,'311'!$D$81,'311'!$D$83,'311'!$D$85,'311'!$D$87:$D$88,'311'!$D$90,'311'!$D$92:$D$94,'311'!$D$96:$D$97,'311'!$D$99,'311'!$D$101</definedName>
    <definedName name="OSRRefD22x_0" localSheetId="69">'313'!$D$29:$D$37,'313'!$D$39:$D$48,'313'!$D$50,'313'!$D$52,'313'!$D$54,'313'!$D$56,'313'!$D$58,'313'!$D$60,'313'!$D$62,'313'!$D$64,'313'!$D$66,'313'!$D$68:$D$70,'313'!$D$72</definedName>
    <definedName name="OSRRefD22x_0" localSheetId="54">'314'!$D$49:$D$56,'314'!$D$58:$D$67,'314'!$D$69,'314'!$D$71,'314'!$D$73,'314'!$D$75</definedName>
    <definedName name="OSRRefD22x_0" localSheetId="60">'315'!$D$50:$D$58,'315'!$D$60:$D$69,'315'!$D$71,'315'!$D$73,'315'!$D$75,'315'!$D$77,'315'!$D$79,'315'!$D$81,'315'!$D$83,'315'!$D$85,'315'!$D$87:$D$89,'315'!$D$91:$D$92,'315'!$D$94:$D$97,'315'!$D$99,'315'!$D$101,'315'!$D$103</definedName>
    <definedName name="OSRRefD22x_0" localSheetId="63">'316'!$D$32:$D$40,'316'!$D$42:$D$51,'316'!$D$53,'316'!$D$55,'316'!$D$57,'316'!$D$59,'316'!$D$61,'316'!$D$63,'316'!$D$65,'316'!$D$67,'316'!$D$69:$D$70,'316'!$D$72:$D$74,'316'!$D$76:$D$77</definedName>
    <definedName name="OSRRefD22x_0" localSheetId="66">'317'!$D$50:$D$59,'317'!$D$61:$D$70,'317'!$D$72,'317'!$D$74,'317'!$D$76,'317'!$D$78,'317'!$D$80,'317'!$D$82:$D$83,'317'!$D$85:$D$86,'317'!$D$88</definedName>
    <definedName name="OSRRefD22x_0" localSheetId="64">'320'!$D$27:$D$34,'320'!$D$36:$D$45,'320'!$D$47,'320'!$D$49:$D$50,'320'!$D$52,'320'!$D$54</definedName>
    <definedName name="OSRRefD22x_0" localSheetId="70">'321'!$D$26:$D$33,'321'!$D$35:$D$44,'321'!$D$46,'321'!$D$48,'321'!$D$50,'321'!$D$52,'321'!$D$54,'321'!$D$56,'321'!$D$58,'321'!$D$60,'321'!$D$62,'321'!$D$64:$D$65,'321'!$D$67:$D$68,'321'!$D$70,'321'!$D$72</definedName>
    <definedName name="OSRRefD22x_0" localSheetId="71">'322'!$D$26:$D$34,'322'!$D$36:$D$45,'322'!$D$47,'322'!$D$49,'322'!$D$51,'322'!$D$53,'322'!$D$55,'322'!$D$57,'322'!$D$59,'322'!$D$61,'322'!$D$63:$D$64,'322'!$D$66:$D$68,'322'!$D$70,'322'!$D$72</definedName>
    <definedName name="OSRRefD22x_0" localSheetId="72">'325'!$D$26:$D$34,'325'!$D$36:$D$45,'325'!$D$47,'325'!$D$49,'325'!$D$51,'325'!$D$53:$D$54,'325'!$D$56,'325'!$D$58,'325'!$D$60,'325'!$D$62,'325'!$D$64,'325'!$D$66,'325'!$D$68:$D$71,'325'!$D$73,'325'!$D$75:$D$80,'325'!$D$82,'325'!$D$84</definedName>
    <definedName name="OSRRefD22x_0" localSheetId="61">'326'!$D$45:$D$52,'326'!$D$54:$D$63,'326'!$D$65,'326'!$D$67:$D$68,'326'!$D$70,'326'!$D$72,'326'!$D$74,'326'!$D$76,'326'!$D$78,'326'!$D$80,'326'!$D$82,'326'!$D$84,'326'!$D$86,'326'!$D$88:$D$89,'326'!$D$91:$D$93,'326'!$D$95:$D$96,'326'!$D$98:$D$102,'326'!$D$104:$D$105,'326'!$D$107,'326'!$D$109,'326'!$D$111</definedName>
    <definedName name="OSRRefD22x_0" localSheetId="73">'327'!$D$24</definedName>
    <definedName name="OSRRefD22x_0" localSheetId="52">'330'!$D$63:$D$71,'330'!$D$73:$D$82,'330'!$D$84,'330'!$D$86,'330'!$D$88,'330'!$D$90,'330'!$D$92,'330'!$D$94,'330'!$D$96,'330'!$D$98:$D$99,'330'!$D$101,'330'!$D$103,'330'!$D$105</definedName>
    <definedName name="OSRRefD22x_0" localSheetId="59">'331'!$D$57:$D$65,'331'!$D$67:$D$76,'331'!$D$78,'331'!$D$80:$D$81,'331'!$D$83,'331'!$D$85,'331'!$D$87,'331'!$D$89,'331'!$D$91,'331'!$D$93,'331'!$D$95,'331'!$D$97,'331'!$D$99,'331'!$D$101,'331'!$D$103:$D$104,'331'!$D$106:$D$108,'331'!$D$110:$D$112,'331'!$D$114:$D$115,'331'!$D$117:$D$121,'331'!$D$123:$D$124,'331'!$D$126,'331'!$D$128,'331'!$D$130</definedName>
    <definedName name="OSRRefD22x_0" localSheetId="62">'332'!$D$39:$D$47,'332'!$D$49:$D$58,'332'!$D$60,'332'!$D$62,'332'!$D$64,'332'!$D$66,'332'!$D$68,'332'!$D$70:$D$71,'332'!$D$73,'332'!$D$75,'332'!$D$77:$D$78,'332'!$D$80:$D$82,'332'!$D$84:$D$85</definedName>
    <definedName name="OSRRefD22x_0" localSheetId="77">'405'!$D$26:$D$34,'405'!$D$36:$D$45,'405'!$D$47,'405'!$D$49,'405'!$D$51,'405'!$D$53:$D$54,'405'!$D$56,'405'!$D$58,'405'!$D$60,'405'!$D$62,'405'!$D$64:$D$66,'405'!$D$68,'405'!$D$70:$D$72,'405'!$D$74:$D$81,'405'!$D$83,'405'!$D$85,'405'!$D$87</definedName>
    <definedName name="OSRRefD22x_0" localSheetId="78">'406'!$D$22:$D$30,'406'!$D$32:$D$41,'406'!$D$43,'406'!$D$45,'406'!$D$47,'406'!$D$49,'406'!$D$51,'406'!$D$53:$D$54,'406'!$D$56:$D$58,'406'!$D$60:$D$62,'406'!$D$64:$D$65,'406'!$D$67,'406'!$D$69</definedName>
    <definedName name="OSRRefD22x_0" localSheetId="79">'411'!$D$20:$D$29,'411'!$D$31:$D$40,'411'!$D$42,'411'!$D$44:$D$46,'411'!$D$48,'411'!$D$50,'411'!$D$52,'411'!$D$54,'411'!$D$56:$D$58,'411'!$D$60:$D$64,'411'!$D$66:$D$70,'411'!$D$72,'411'!$D$74,'411'!$D$76:$D$78,'411'!$D$80</definedName>
    <definedName name="OSRRefD22x_0" localSheetId="80">'412'!$D$26:$D$34,'412'!$D$36:$D$45,'412'!$D$47,'412'!$D$49,'412'!$D$51,'412'!$D$53,'412'!$D$55,'412'!$D$57,'412'!$D$59,'412'!$D$61,'412'!$D$63:$D$64,'412'!$D$66:$D$71,'412'!$D$73</definedName>
    <definedName name="OSRRefD22x_0" localSheetId="81">'413'!$D$27:$D$35,'413'!$D$37:$D$46,'413'!$D$48,'413'!$D$50,'413'!$D$52,'413'!$D$54,'413'!$D$56,'413'!$D$58,'413'!$D$60,'413'!$D$62:$D$64,'413'!$D$66:$D$67</definedName>
    <definedName name="OSRRefD22x_0" localSheetId="82">'414'!$D$27:$D$35,'414'!$D$37:$D$46,'414'!$D$48,'414'!$D$50,'414'!$D$52,'414'!$D$54:$D$55,'414'!$D$57,'414'!$D$59,'414'!$D$61,'414'!$D$63,'414'!$D$65,'414'!$D$67,'414'!$D$69:$D$72,'414'!$D$74,'414'!$D$76</definedName>
    <definedName name="OSRRefD22x_0" localSheetId="83">'415'!$D$26:$D$34,'415'!$D$36:$D$45,'415'!$D$47,'415'!$D$49,'415'!$D$51,'415'!$D$53:$D$54,'415'!$D$56,'415'!$D$58,'415'!$D$60,'415'!$D$62,'415'!$D$64,'415'!$D$66,'415'!$D$68:$D$72,'415'!$D$74,'415'!$D$76:$D$82,'415'!$D$84,'415'!$D$86:$D$87,'415'!$D$89</definedName>
    <definedName name="OSRRefD22x_0" localSheetId="84">'418'!$D$27:$D$35,'418'!$D$37:$D$46,'418'!$D$48,'418'!$D$50,'418'!$D$52,'418'!$D$54:$D$56,'418'!$D$58,'418'!$D$60,'418'!$D$62:$D$63,'418'!$D$65,'418'!$D$67:$D$69,'418'!$D$71,'418'!$D$73:$D$76,'418'!$D$78,'418'!$D$80,'418'!$D$82</definedName>
    <definedName name="OSRRefD22x_0" localSheetId="86">'423'!$D$20:$D$28,'423'!$D$30:$D$39,'423'!$D$41,'423'!$D$43,'423'!$D$45,'423'!$D$47</definedName>
    <definedName name="OSRRefD22x_0" localSheetId="87">'424'!$D$23:$D$30,'424'!$D$32:$D$41,'424'!$D$43,'424'!$D$45,'424'!$D$47,'424'!$D$49,'424'!$D$51,'424'!$D$53:$D$54</definedName>
    <definedName name="OSRRefD22x_0" localSheetId="88">'425'!$D$27:$D$35,'425'!$D$37:$D$46,'425'!$D$48,'425'!$D$50,'425'!$D$52,'425'!$D$54,'425'!$D$56,'425'!$D$58,'425'!$D$60,'425'!$D$62:$D$63,'425'!$D$65:$D$68,'425'!$D$70,'425'!$D$72</definedName>
    <definedName name="OSRRefD22x_0" localSheetId="91">'430'!$D$20:$D$28,'430'!$D$30:$D$39,'430'!$D$41,'430'!$D$43,'430'!$D$45,'430'!$D$47,'430'!$D$49:$D$51,'430'!$D$53,'430'!$D$55,'430'!$D$57</definedName>
    <definedName name="OSRRefD22x_0" localSheetId="92">'433'!$D$27:$D$36,'433'!$D$38:$D$47,'433'!$D$49,'433'!$D$51,'433'!$D$53,'433'!$D$55,'433'!$D$57,'433'!$D$59,'433'!$D$61,'433'!$D$63,'433'!$D$65:$D$68,'433'!$D$70:$D$76,'433'!$D$78,'433'!$D$80,'433'!$D$82:$D$83</definedName>
    <definedName name="OSRRefD22x_0" localSheetId="93">'435'!$D$22:$D$29,'435'!$D$31:$D$40,'435'!$D$42,'435'!$D$44,'435'!$D$46,'435'!$D$48,'435'!$D$50,'435'!$D$52</definedName>
    <definedName name="OSRRefD22x_0" localSheetId="94">'444'!$D$27:$D$36,'444'!$D$38:$D$47,'444'!$D$49,'444'!$D$51,'444'!$D$53,'444'!$D$55,'444'!$D$57,'444'!$D$59,'444'!$D$61,'444'!$D$63,'444'!$D$65:$D$67,'444'!$D$69:$D$72,'444'!$D$74:$D$78,'444'!$D$80,'444'!$D$82,'444'!$D$84</definedName>
    <definedName name="OSRRefD22x_0" localSheetId="96">'450'!$D$24:$D$33,'450'!$D$35:$D$44,'450'!$D$46,'450'!$D$48:$D$49,'450'!$D$51,'450'!$D$53,'450'!$D$55,'450'!$D$57,'450'!$D$59,'450'!$D$61,'450'!$D$63:$D$65,'450'!$D$67:$D$71,'450'!$D$73,'450'!$D$75,'450'!$D$77:$D$78</definedName>
    <definedName name="OSRRefD22x_0" localSheetId="89">'455'!$D$20:$D$27,'455'!$D$29:$D$38</definedName>
    <definedName name="OSRRefD22x_0" localSheetId="76">'491'!$D$34:$D$43,'491'!$D$45:$D$54,'491'!$D$56,'491'!$D$58,'491'!$D$60,'491'!$D$62:$D$65,'491'!$D$67,'491'!$D$69,'491'!$D$71:$D$72,'491'!$D$74,'491'!$D$76,'491'!$D$78,'491'!$D$80:$D$83,'491'!$D$85:$D$86,'491'!$D$88:$D$92,'491'!$D$94,'491'!$D$96:$D$105,'491'!$D$107:$D$108,'491'!$D$110,'491'!$D$112:$D$114,'491'!$D$116</definedName>
    <definedName name="OSRRefD22x_0" localSheetId="90">'492'!$D$27:$D$36,'492'!$D$38:$D$47,'492'!$D$49,'492'!$D$51:$D$52,'492'!$D$54,'492'!$D$56,'492'!$D$58,'492'!$D$60,'492'!$D$62,'492'!$D$64,'492'!$D$66,'492'!$D$68,'492'!$D$70:$D$72,'492'!$D$74:$D$77,'492'!$D$79:$D$87,'492'!$D$89,'492'!$D$91,'492'!$D$93:$D$94</definedName>
    <definedName name="OSRRefD22x_0" localSheetId="98">'501'!$D$21:$D$29,'501'!$D$31:$D$40,'501'!$D$42,'501'!$D$44,'501'!$D$46,'501'!$D$48,'501'!$D$50,'501'!$D$52,'501'!$D$54,'501'!$D$56,'501'!$D$58:$D$59,'501'!$D$61:$D$62,'501'!$D$64</definedName>
    <definedName name="OSRRefD22x_0" localSheetId="39">'Div 2'!$D$20:$D$30,'Div 2'!$D$32:$D$41,'Div 2'!$D$43,'Div 2'!$D$45,'Div 2'!$D$47,'Div 2'!$D$49,'Div 2'!$D$51,'Div 2'!$D$53,'Div 2'!$D$55,'Div 2'!$D$57,'Div 2'!$D$59,'Div 2'!$D$61,'Div 2'!$D$63:$D$65,'Div 2'!$D$67:$D$70,'Div 2'!$D$72:$D$75,'Div 2'!$D$77:$D$78,'Div 2'!$D$80:$D$81,'Div 2'!$D$83:$D$86,'Div 2'!$D$88:$D$89,'Div 2'!$D$91,'Div 2'!$D$93</definedName>
    <definedName name="OSRRefD22x_0" localSheetId="47">'Div 3'!$D$130:$D$139,'Div 3'!$D$141:$D$150,'Div 3'!$D$152,'Div 3'!$D$154:$D$155,'Div 3'!$D$157,'Div 3'!$D$159:$D$161,'Div 3'!$D$163:$D$164,'Div 3'!$D$166:$D$167,'Div 3'!$D$169,'Div 3'!$D$171,'Div 3'!$D$173:$D$174,'Div 3'!$D$176,'Div 3'!$D$178,'Div 3'!$D$180,'Div 3'!$D$182,'Div 3'!$D$184,'Div 3'!$D$186,'Div 3'!$D$188,'Div 3'!$D$190:$D$192,'Div 3'!$D$194:$D$197,'Div 3'!$D$199:$D$204,'Div 3'!$D$206:$D$207,'Div 3'!$D$209:$D$216,'Div 3'!$D$218:$D$219,'Div 3'!$D$221,'Div 3'!$D$223:$D$225,'Div 3'!$D$227</definedName>
    <definedName name="OSRRefD22x_0" localSheetId="74">'Div 4'!$D$35:$D$44,'Div 4'!$D$46:$D$55,'Div 4'!$D$57,'Div 4'!$D$59:$D$60,'Div 4'!$D$62,'Div 4'!$D$64:$D$67,'Div 4'!$D$69,'Div 4'!$D$71,'Div 4'!$D$73,'Div 4'!$D$75,'Div 4'!$D$77:$D$78,'Div 4'!$D$80,'Div 4'!$D$82,'Div 4'!$D$84,'Div 4'!$D$86,'Div 4'!$D$88:$D$91,'Div 4'!$D$93:$D$94,'Div 4'!$D$96:$D$100,'Div 4'!$D$102,'Div 4'!$D$104:$D$113,'Div 4'!$D$115:$D$116,'Div 4'!$D$118,'Div 4'!$D$120:$D$122,'Div 4'!$D$124</definedName>
    <definedName name="OSRRefD22x_0" localSheetId="97">'Div 5'!$D$21:$D$29,'Div 5'!$D$31:$D$40,'Div 5'!$D$42,'Div 5'!$D$44,'Div 5'!$D$46,'Div 5'!$D$48,'Div 5'!$D$50,'Div 5'!$D$52,'Div 5'!$D$54,'Div 5'!$D$56,'Div 5'!$D$58:$D$59,'Div 5'!$D$61:$D$62,'Div 5'!$D$64</definedName>
    <definedName name="OSRRefD22x_0" localSheetId="65">'Div 6'!$D$50:$D$59,'Div 6'!$D$61:$D$70,'Div 6'!$D$72,'Div 6'!$D$74,'Div 6'!$D$76,'Div 6'!$D$78,'Div 6'!$D$80,'Div 6'!$D$82:$D$83,'Div 6'!$D$85:$D$86,'Div 6'!$D$88</definedName>
    <definedName name="OSRRefD22x_0" localSheetId="2">Summary!$D$159:$D$168,Summary!$D$170:$D$179,Summary!$D$181,Summary!$D$183:$D$184,Summary!$D$186,Summary!$D$188:$D$191,Summary!$D$193:$D$194,Summary!$D$196:$D$198,Summary!$D$200,Summary!$D$202,Summary!$D$204:$D$205,Summary!$D$207:$D$208,Summary!$D$210,Summary!$D$212,Summary!$D$214,Summary!$D$216,Summary!$D$218,Summary!$D$220,Summary!$D$222:$D$225,Summary!$D$227:$D$230,Summary!$D$232:$D$237,Summary!$D$239:$D$240,Summary!$D$242:$D$251,Summary!$D$253:$D$254,Summary!$D$256,Summary!$D$258:$D$260,Summary!$D$262</definedName>
    <definedName name="OSRRefD25x_0" localSheetId="48">'300'!$D$217:$D$221</definedName>
    <definedName name="OSRRefD25x_0" localSheetId="49">'300 &amp; 317'!$D$239:$D$245</definedName>
    <definedName name="OSRRefD25x_0" localSheetId="50">'301'!$D$98:$D$100</definedName>
    <definedName name="OSRRefD25x_0" localSheetId="55">'308'!$D$104:$D$105</definedName>
    <definedName name="OSRRefD25x_0" localSheetId="75">'310 &amp; 491'!$D$132:$D$135</definedName>
    <definedName name="OSRRefD25x_0" localSheetId="56">'311'!$D$104:$D$105</definedName>
    <definedName name="OSRRefD25x_0" localSheetId="60">'315'!$D$106:$D$108</definedName>
    <definedName name="OSRRefD25x_0" localSheetId="63">'316'!$D$80:$D$81</definedName>
    <definedName name="OSRRefD25x_0" localSheetId="66">'317'!$D$91:$D$93</definedName>
    <definedName name="OSRRefD25x_0" localSheetId="64">'320'!$D$57:$D$59</definedName>
    <definedName name="OSRRefD25x_0" localSheetId="59">'331'!$D$133:$D$135</definedName>
    <definedName name="OSRRefD25x_0" localSheetId="62">'332'!$D$88:$D$92</definedName>
    <definedName name="OSRRefD25x_0" localSheetId="79">'411'!$D$83:$D$84</definedName>
    <definedName name="OSRRefD25x_0" localSheetId="86">'423'!$D$50</definedName>
    <definedName name="OSRRefD25x_0" localSheetId="87">'424'!$D$57</definedName>
    <definedName name="OSRRefD25x_0" localSheetId="88">'425'!$D$75</definedName>
    <definedName name="OSRRefD25x_0" localSheetId="89">'455'!$D$41:$D$44</definedName>
    <definedName name="OSRRefD25x_0" localSheetId="76">'491'!$D$119:$D$122</definedName>
    <definedName name="OSRRefD25x_0" localSheetId="98">'501'!$D$67</definedName>
    <definedName name="OSRRefD25x_0" localSheetId="47">'Div 3'!$D$230:$D$234</definedName>
    <definedName name="OSRRefD25x_0" localSheetId="74">'Div 4'!$D$127:$D$130</definedName>
    <definedName name="OSRRefD25x_0" localSheetId="97">'Div 5'!$D$67</definedName>
    <definedName name="OSRRefD25x_0" localSheetId="65">'Div 6'!$D$91:$D$93</definedName>
    <definedName name="OSRRefD25x_0" localSheetId="2">Summary!$D$265:$D$272</definedName>
    <definedName name="OSRRefH13x_0" localSheetId="48">'300'!$H$13:$H$79</definedName>
    <definedName name="OSRRefH13x_0" localSheetId="49">'300 &amp; 317'!$H$13:$H$94</definedName>
    <definedName name="OSRRefH13x_0" localSheetId="53">'307'!$H$13:$H$33</definedName>
    <definedName name="OSRRefH13x_0" localSheetId="55">'308'!$H$13:$H$30</definedName>
    <definedName name="OSRRefH13x_0" localSheetId="68">'309'!$H$13:$H$15</definedName>
    <definedName name="OSRRefH13x_0" localSheetId="67">'310'!$H$13:$H$22</definedName>
    <definedName name="OSRRefH13x_0" localSheetId="75">'310 &amp; 491'!$H$13:$H$29</definedName>
    <definedName name="OSRRefH13x_0" localSheetId="56">'311'!$H$13:$H$30</definedName>
    <definedName name="OSRRefH13x_0" localSheetId="69">'313'!$H$13:$H$18</definedName>
    <definedName name="OSRRefH13x_0" localSheetId="54">'314'!$H$13:$H$30</definedName>
    <definedName name="OSRRefH13x_0" localSheetId="60">'315'!$H$13:$H$28</definedName>
    <definedName name="OSRRefH13x_0" localSheetId="63">'316'!$H$13:$H$24</definedName>
    <definedName name="OSRRefH13x_0" localSheetId="66">'317'!$H$13:$H$32</definedName>
    <definedName name="OSRRefH13x_0" localSheetId="64">'320'!$H$13:$H$15</definedName>
    <definedName name="OSRRefH13x_0" localSheetId="70">'321'!$H$13:$H$15</definedName>
    <definedName name="OSRRefH13x_0" localSheetId="71">'322'!$H$13:$H$15</definedName>
    <definedName name="OSRRefH13x_0" localSheetId="57">'324'!$H$13:$H$15</definedName>
    <definedName name="OSRRefH13x_0" localSheetId="72">'325'!$H$13:$H$15</definedName>
    <definedName name="OSRRefH13x_0" localSheetId="61">'326'!$H$13:$H$25</definedName>
    <definedName name="OSRRefH13x_0" localSheetId="73">'327'!$H$13:$H$14</definedName>
    <definedName name="OSRRefH13x_0" localSheetId="52">'330'!$H$13:$H$41</definedName>
    <definedName name="OSRRefH13x_0" localSheetId="59">'331'!$H$13:$H$31</definedName>
    <definedName name="OSRRefH13x_0" localSheetId="62">'332'!$H$13:$H$27</definedName>
    <definedName name="OSRRefH13x_0" localSheetId="77">'405'!$H$13:$H$15</definedName>
    <definedName name="OSRRefH13x_0" localSheetId="80">'412'!$H$13:$H$16</definedName>
    <definedName name="OSRRefH13x_0" localSheetId="81">'413'!$H$13:$H$16</definedName>
    <definedName name="OSRRefH13x_0" localSheetId="82">'414'!$H$13:$H$16</definedName>
    <definedName name="OSRRefH13x_0" localSheetId="83">'415'!$H$13:$H$15</definedName>
    <definedName name="OSRRefH13x_0" localSheetId="84">'418'!$H$13:$H$16</definedName>
    <definedName name="OSRRefH13x_0" localSheetId="87">'424'!$H$13</definedName>
    <definedName name="OSRRefH13x_0" localSheetId="88">'425'!$H$13:$H$16</definedName>
    <definedName name="OSRRefH13x_0" localSheetId="92">'433'!$H$13:$H$16</definedName>
    <definedName name="OSRRefH13x_0" localSheetId="93">'435'!$H$13</definedName>
    <definedName name="OSRRefH13x_0" localSheetId="94">'444'!$H$13:$H$16</definedName>
    <definedName name="OSRRefH13x_0" localSheetId="96">'450'!$H$13:$H$14</definedName>
    <definedName name="OSRRefH13x_0" localSheetId="76">'491'!$H$13:$H$23</definedName>
    <definedName name="OSRRefH13x_0" localSheetId="90">'492'!$H$13:$H$16</definedName>
    <definedName name="OSRRefH13x_0" localSheetId="98">'501'!$H$13</definedName>
    <definedName name="OSRRefH13x_0" localSheetId="47">'Div 3'!$H$13:$H$83</definedName>
    <definedName name="OSRRefH13x_0" localSheetId="74">'Div 4'!$H$13:$H$24</definedName>
    <definedName name="OSRRefH13x_0" localSheetId="97">'Div 5'!$H$13</definedName>
    <definedName name="OSRRefH13x_0" localSheetId="65">'Div 6'!$H$13:$H$32</definedName>
    <definedName name="OSRRefH13x_0" localSheetId="2">Summary!$H$13:$H$105</definedName>
    <definedName name="OSRRefH16x_0" localSheetId="48">'300'!$H$82:$H$118</definedName>
    <definedName name="OSRRefH16x_0" localSheetId="49">'300 &amp; 317'!$H$97:$H$140</definedName>
    <definedName name="OSRRefH16x_0" localSheetId="53">'307'!$H$36:$H$45</definedName>
    <definedName name="OSRRefH16x_0" localSheetId="55">'308'!$H$33:$H$45</definedName>
    <definedName name="OSRRefH16x_0" localSheetId="68">'309'!$H$18:$H$20</definedName>
    <definedName name="OSRRefH16x_0" localSheetId="67">'310'!$H$25:$H$27</definedName>
    <definedName name="OSRRefH16x_0" localSheetId="75">'310 &amp; 491'!$H$32:$H$34</definedName>
    <definedName name="OSRRefH16x_0" localSheetId="56">'311'!$H$33:$H$45</definedName>
    <definedName name="OSRRefH16x_0" localSheetId="69">'313'!$H$21:$H$23</definedName>
    <definedName name="OSRRefH16x_0" localSheetId="54">'314'!$H$33:$H$43</definedName>
    <definedName name="OSRRefH16x_0" localSheetId="60">'315'!$H$31:$H$44</definedName>
    <definedName name="OSRRefH16x_0" localSheetId="66">'317'!$H$35:$H$44</definedName>
    <definedName name="OSRRefH16x_0" localSheetId="64">'320'!$H$18:$H$21</definedName>
    <definedName name="OSRRefH16x_0" localSheetId="70">'321'!$H$18:$H$20</definedName>
    <definedName name="OSRRefH16x_0" localSheetId="71">'322'!$H$18:$H$20</definedName>
    <definedName name="OSRRefH16x_0" localSheetId="57">'324'!$H$18:$H$20</definedName>
    <definedName name="OSRRefH16x_0" localSheetId="72">'325'!$H$18:$H$20</definedName>
    <definedName name="OSRRefH16x_0" localSheetId="61">'326'!$H$28:$H$39</definedName>
    <definedName name="OSRRefH16x_0" localSheetId="73">'327'!$H$17:$H$18</definedName>
    <definedName name="OSRRefH16x_0" localSheetId="52">'330'!$H$44:$H$57</definedName>
    <definedName name="OSRRefH16x_0" localSheetId="59">'331'!$H$34:$H$51</definedName>
    <definedName name="OSRRefH16x_0" localSheetId="62">'332'!$H$30:$H$33</definedName>
    <definedName name="OSRRefH16x_0" localSheetId="77">'405'!$H$18:$H$20</definedName>
    <definedName name="OSRRefH16x_0" localSheetId="78">'406'!$H$15:$H$16</definedName>
    <definedName name="OSRRefH16x_0" localSheetId="80">'412'!$H$19:$H$20</definedName>
    <definedName name="OSRRefH16x_0" localSheetId="81">'413'!$H$19:$H$21</definedName>
    <definedName name="OSRRefH16x_0" localSheetId="82">'414'!$H$19:$H$21</definedName>
    <definedName name="OSRRefH16x_0" localSheetId="83">'415'!$H$18:$H$20</definedName>
    <definedName name="OSRRefH16x_0" localSheetId="84">'418'!$H$19:$H$21</definedName>
    <definedName name="OSRRefH16x_0" localSheetId="87">'424'!$H$16:$H$17</definedName>
    <definedName name="OSRRefH16x_0" localSheetId="88">'425'!$H$19:$H$21</definedName>
    <definedName name="OSRRefH16x_0" localSheetId="92">'433'!$H$19:$H$21</definedName>
    <definedName name="OSRRefH16x_0" localSheetId="93">'435'!$H$16</definedName>
    <definedName name="OSRRefH16x_0" localSheetId="94">'444'!$H$19:$H$21</definedName>
    <definedName name="OSRRefH16x_0" localSheetId="96">'450'!$H$17:$H$18</definedName>
    <definedName name="OSRRefH16x_0" localSheetId="76">'491'!$H$26:$H$28</definedName>
    <definedName name="OSRRefH16x_0" localSheetId="90">'492'!$H$19:$H$21</definedName>
    <definedName name="OSRRefH16x_0" localSheetId="47">'Div 3'!$H$86:$H$124</definedName>
    <definedName name="OSRRefH16x_0" localSheetId="74">'Div 4'!$H$27:$H$29</definedName>
    <definedName name="OSRRefH16x_0" localSheetId="65">'Div 6'!$H$35:$H$44</definedName>
    <definedName name="OSRRefH16x_0" localSheetId="2">Summary!$H$108:$H$153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'300'!$H$124:$H$133</definedName>
    <definedName name="OSRRefH22_0x_0" localSheetId="49">'300 &amp; 317'!$H$146:$H$155</definedName>
    <definedName name="OSRRefH22_0x_0" localSheetId="50">'301'!$H$20:$H$28</definedName>
    <definedName name="OSRRefH22_0x_0" localSheetId="51">'306'!$H$20:$H$28</definedName>
    <definedName name="OSRRefH22_0x_0" localSheetId="53">'307'!$H$51:$H$59</definedName>
    <definedName name="OSRRefH22_0x_0" localSheetId="55">'308'!$H$51:$H$60</definedName>
    <definedName name="OSRRefH22_0x_0" localSheetId="68">'309'!$H$26:$H$34</definedName>
    <definedName name="OSRRefH22_0x_0" localSheetId="67">'310'!$H$33:$H$41</definedName>
    <definedName name="OSRRefH22_0x_0" localSheetId="75">'310 &amp; 491'!$H$40:$H$49</definedName>
    <definedName name="OSRRefH22_0x_0" localSheetId="56">'311'!$H$51:$H$60</definedName>
    <definedName name="OSRRefH22_0x_0" localSheetId="69">'313'!$H$29:$H$37</definedName>
    <definedName name="OSRRefH22_0x_0" localSheetId="54">'314'!$H$49:$H$56</definedName>
    <definedName name="OSRRefH22_0x_0" localSheetId="60">'315'!$H$50:$H$58</definedName>
    <definedName name="OSRRefH22_0x_0" localSheetId="63">'316'!$H$32:$H$40</definedName>
    <definedName name="OSRRefH22_0x_0" localSheetId="66">'317'!$H$50:$H$59</definedName>
    <definedName name="OSRRefH22_0x_0" localSheetId="64">'320'!$H$27:$H$34</definedName>
    <definedName name="OSRRefH22_0x_0" localSheetId="70">'321'!$H$26:$H$33</definedName>
    <definedName name="OSRRefH22_0x_0" localSheetId="71">'322'!$H$26:$H$34</definedName>
    <definedName name="OSRRefH22_0x_0" localSheetId="72">'325'!$H$26:$H$34</definedName>
    <definedName name="OSRRefH22_0x_0" localSheetId="61">'326'!$H$45:$H$52</definedName>
    <definedName name="OSRRefH22_0x_0" localSheetId="73">'327'!$H$24</definedName>
    <definedName name="OSRRefH22_0x_0" localSheetId="52">'330'!$H$63:$H$71</definedName>
    <definedName name="OSRRefH22_0x_0" localSheetId="59">'331'!$H$57:$H$65</definedName>
    <definedName name="OSRRefH22_0x_0" localSheetId="62">'332'!$H$39:$H$47</definedName>
    <definedName name="OSRRefH22_0x_0" localSheetId="77">'405'!$H$26:$H$34</definedName>
    <definedName name="OSRRefH22_0x_0" localSheetId="78">'406'!$H$22:$H$30</definedName>
    <definedName name="OSRRefH22_0x_0" localSheetId="79">'411'!$H$20:$H$29</definedName>
    <definedName name="OSRRefH22_0x_0" localSheetId="80">'412'!$H$26:$H$34</definedName>
    <definedName name="OSRRefH22_0x_0" localSheetId="81">'413'!$H$27:$H$35</definedName>
    <definedName name="OSRRefH22_0x_0" localSheetId="82">'414'!$H$27:$H$35</definedName>
    <definedName name="OSRRefH22_0x_0" localSheetId="83">'415'!$H$26:$H$34</definedName>
    <definedName name="OSRRefH22_0x_0" localSheetId="84">'418'!$H$27:$H$35</definedName>
    <definedName name="OSRRefH22_0x_0" localSheetId="86">'423'!$H$20:$H$28</definedName>
    <definedName name="OSRRefH22_0x_0" localSheetId="87">'424'!$H$23:$H$30</definedName>
    <definedName name="OSRRefH22_0x_0" localSheetId="88">'425'!$H$27:$H$35</definedName>
    <definedName name="OSRRefH22_0x_0" localSheetId="91">'430'!$H$20:$H$28</definedName>
    <definedName name="OSRRefH22_0x_0" localSheetId="92">'433'!$H$27:$H$36</definedName>
    <definedName name="OSRRefH22_0x_0" localSheetId="93">'435'!$H$22:$H$29</definedName>
    <definedName name="OSRRefH22_0x_0" localSheetId="94">'444'!$H$27:$H$36</definedName>
    <definedName name="OSRRefH22_0x_0" localSheetId="96">'450'!$H$24:$H$33</definedName>
    <definedName name="OSRRefH22_0x_0" localSheetId="89">'455'!$H$20:$H$27</definedName>
    <definedName name="OSRRefH22_0x_0" localSheetId="76">'491'!$H$34:$H$43</definedName>
    <definedName name="OSRRefH22_0x_0" localSheetId="90">'492'!$H$27:$H$36</definedName>
    <definedName name="OSRRefH22_0x_0" localSheetId="98">'501'!$H$21:$H$29</definedName>
    <definedName name="OSRRefH22_0x_0" localSheetId="39">'Div 2'!$H$20:$H$30</definedName>
    <definedName name="OSRRefH22_0x_0" localSheetId="47">'Div 3'!$H$130:$H$139</definedName>
    <definedName name="OSRRefH22_0x_0" localSheetId="74">'Div 4'!$H$35:$H$44</definedName>
    <definedName name="OSRRefH22_0x_0" localSheetId="97">'Div 5'!$H$21:$H$29</definedName>
    <definedName name="OSRRefH22_0x_0" localSheetId="65">'Div 6'!$H$50:$H$59</definedName>
    <definedName name="OSRRefH22_0x_0" localSheetId="2">Summary!$H$159:$H$168</definedName>
    <definedName name="OSRRefH22_10x_0" localSheetId="41">'201'!$H$59</definedName>
    <definedName name="OSRRefH22_10x_0" localSheetId="42">'202'!$H$59</definedName>
    <definedName name="OSRRefH22_10x_0" localSheetId="43">'203'!$H$60</definedName>
    <definedName name="OSRRefH22_10x_0" localSheetId="44">'204'!$H$62</definedName>
    <definedName name="OSRRefH22_10x_0" localSheetId="48">'300'!$H$167:$H$168</definedName>
    <definedName name="OSRRefH22_10x_0" localSheetId="49">'300 &amp; 317'!$H$189:$H$190</definedName>
    <definedName name="OSRRefH22_10x_0" localSheetId="50">'301'!$H$61</definedName>
    <definedName name="OSRRefH22_10x_0" localSheetId="53">'307'!$H$89</definedName>
    <definedName name="OSRRefH22_10x_0" localSheetId="55">'308'!$H$90</definedName>
    <definedName name="OSRRefH22_10x_0" localSheetId="68">'309'!$H$63:$H$64</definedName>
    <definedName name="OSRRefH22_10x_0" localSheetId="67">'310'!$H$71</definedName>
    <definedName name="OSRRefH22_10x_0" localSheetId="75">'310 &amp; 491'!$H$81:$H$82</definedName>
    <definedName name="OSRRefH22_10x_0" localSheetId="56">'311'!$H$90</definedName>
    <definedName name="OSRRefH22_10x_0" localSheetId="69">'313'!$H$66</definedName>
    <definedName name="OSRRefH22_10x_0" localSheetId="60">'315'!$H$87:$H$89</definedName>
    <definedName name="OSRRefH22_10x_0" localSheetId="63">'316'!$H$69:$H$70</definedName>
    <definedName name="OSRRefH22_10x_0" localSheetId="70">'321'!$H$62</definedName>
    <definedName name="OSRRefH22_10x_0" localSheetId="71">'322'!$H$63:$H$64</definedName>
    <definedName name="OSRRefH22_10x_0" localSheetId="72">'325'!$H$64</definedName>
    <definedName name="OSRRefH22_10x_0" localSheetId="61">'326'!$H$82</definedName>
    <definedName name="OSRRefH22_10x_0" localSheetId="52">'330'!$H$101</definedName>
    <definedName name="OSRRefH22_10x_0" localSheetId="59">'331'!$H$95</definedName>
    <definedName name="OSRRefH22_10x_0" localSheetId="62">'332'!$H$77:$H$78</definedName>
    <definedName name="OSRRefH22_10x_0" localSheetId="77">'405'!$H$64:$H$66</definedName>
    <definedName name="OSRRefH22_10x_0" localSheetId="78">'406'!$H$64:$H$65</definedName>
    <definedName name="OSRRefH22_10x_0" localSheetId="79">'411'!$H$66:$H$70</definedName>
    <definedName name="OSRRefH22_10x_0" localSheetId="80">'412'!$H$63:$H$64</definedName>
    <definedName name="OSRRefH22_10x_0" localSheetId="81">'413'!$H$66:$H$67</definedName>
    <definedName name="OSRRefH22_10x_0" localSheetId="82">'414'!$H$65</definedName>
    <definedName name="OSRRefH22_10x_0" localSheetId="83">'415'!$H$64</definedName>
    <definedName name="OSRRefH22_10x_0" localSheetId="84">'418'!$H$67:$H$69</definedName>
    <definedName name="OSRRefH22_10x_0" localSheetId="88">'425'!$H$65:$H$68</definedName>
    <definedName name="OSRRefH22_10x_0" localSheetId="92">'433'!$H$65:$H$68</definedName>
    <definedName name="OSRRefH22_10x_0" localSheetId="94">'444'!$H$65:$H$67</definedName>
    <definedName name="OSRRefH22_10x_0" localSheetId="96">'450'!$H$63:$H$65</definedName>
    <definedName name="OSRRefH22_10x_0" localSheetId="76">'491'!$H$76</definedName>
    <definedName name="OSRRefH22_10x_0" localSheetId="90">'492'!$H$66</definedName>
    <definedName name="OSRRefH22_10x_0" localSheetId="98">'501'!$H$58:$H$59</definedName>
    <definedName name="OSRRefH22_10x_0" localSheetId="39">'Div 2'!$H$59</definedName>
    <definedName name="OSRRefH22_10x_0" localSheetId="47">'Div 3'!$H$173:$H$174</definedName>
    <definedName name="OSRRefH22_10x_0" localSheetId="74">'Div 4'!$H$77:$H$78</definedName>
    <definedName name="OSRRefH22_10x_0" localSheetId="97">'Div 5'!$H$58:$H$59</definedName>
    <definedName name="OSRRefH22_10x_0" localSheetId="2">Summary!$H$204:$H$205</definedName>
    <definedName name="OSRRefH22_11x_0" localSheetId="41">'201'!$H$61:$H$63</definedName>
    <definedName name="OSRRefH22_11x_0" localSheetId="42">'202'!$H$61</definedName>
    <definedName name="OSRRefH22_11x_0" localSheetId="43">'203'!$H$62:$H$64</definedName>
    <definedName name="OSRRefH22_11x_0" localSheetId="44">'204'!$H$64</definedName>
    <definedName name="OSRRefH22_11x_0" localSheetId="48">'300'!$H$170</definedName>
    <definedName name="OSRRefH22_11x_0" localSheetId="49">'300 &amp; 317'!$H$192</definedName>
    <definedName name="OSRRefH22_11x_0" localSheetId="50">'301'!$H$63</definedName>
    <definedName name="OSRRefH22_11x_0" localSheetId="53">'307'!$H$91</definedName>
    <definedName name="OSRRefH22_11x_0" localSheetId="55">'308'!$H$92:$H$94</definedName>
    <definedName name="OSRRefH22_11x_0" localSheetId="68">'309'!$H$66</definedName>
    <definedName name="OSRRefH22_11x_0" localSheetId="67">'310'!$H$73</definedName>
    <definedName name="OSRRefH22_11x_0" localSheetId="75">'310 &amp; 491'!$H$84</definedName>
    <definedName name="OSRRefH22_11x_0" localSheetId="56">'311'!$H$92:$H$94</definedName>
    <definedName name="OSRRefH22_11x_0" localSheetId="69">'313'!$H$68:$H$70</definedName>
    <definedName name="OSRRefH22_11x_0" localSheetId="60">'315'!$H$91:$H$92</definedName>
    <definedName name="OSRRefH22_11x_0" localSheetId="63">'316'!$H$72:$H$74</definedName>
    <definedName name="OSRRefH22_11x_0" localSheetId="70">'321'!$H$64:$H$65</definedName>
    <definedName name="OSRRefH22_11x_0" localSheetId="71">'322'!$H$66:$H$68</definedName>
    <definedName name="OSRRefH22_11x_0" localSheetId="72">'325'!$H$66</definedName>
    <definedName name="OSRRefH22_11x_0" localSheetId="61">'326'!$H$84</definedName>
    <definedName name="OSRRefH22_11x_0" localSheetId="52">'330'!$H$103</definedName>
    <definedName name="OSRRefH22_11x_0" localSheetId="59">'331'!$H$97</definedName>
    <definedName name="OSRRefH22_11x_0" localSheetId="62">'332'!$H$80:$H$82</definedName>
    <definedName name="OSRRefH22_11x_0" localSheetId="77">'405'!$H$68</definedName>
    <definedName name="OSRRefH22_11x_0" localSheetId="78">'406'!$H$67</definedName>
    <definedName name="OSRRefH22_11x_0" localSheetId="79">'411'!$H$72</definedName>
    <definedName name="OSRRefH22_11x_0" localSheetId="80">'412'!$H$66:$H$71</definedName>
    <definedName name="OSRRefH22_11x_0" localSheetId="82">'414'!$H$67</definedName>
    <definedName name="OSRRefH22_11x_0" localSheetId="83">'415'!$H$66</definedName>
    <definedName name="OSRRefH22_11x_0" localSheetId="84">'418'!$H$71</definedName>
    <definedName name="OSRRefH22_11x_0" localSheetId="88">'425'!$H$70</definedName>
    <definedName name="OSRRefH22_11x_0" localSheetId="92">'433'!$H$70:$H$76</definedName>
    <definedName name="OSRRefH22_11x_0" localSheetId="94">'444'!$H$69:$H$72</definedName>
    <definedName name="OSRRefH22_11x_0" localSheetId="96">'450'!$H$67:$H$71</definedName>
    <definedName name="OSRRefH22_11x_0" localSheetId="76">'491'!$H$78</definedName>
    <definedName name="OSRRefH22_11x_0" localSheetId="90">'492'!$H$68</definedName>
    <definedName name="OSRRefH22_11x_0" localSheetId="98">'501'!$H$61:$H$62</definedName>
    <definedName name="OSRRefH22_11x_0" localSheetId="39">'Div 2'!$H$61</definedName>
    <definedName name="OSRRefH22_11x_0" localSheetId="47">'Div 3'!$H$176</definedName>
    <definedName name="OSRRefH22_11x_0" localSheetId="74">'Div 4'!$H$80</definedName>
    <definedName name="OSRRefH22_11x_0" localSheetId="97">'Div 5'!$H$61:$H$62</definedName>
    <definedName name="OSRRefH22_11x_0" localSheetId="2">Summary!$H$207:$H$208</definedName>
    <definedName name="OSRRefH22_12x_0" localSheetId="41">'201'!$H$65</definedName>
    <definedName name="OSRRefH22_12x_0" localSheetId="42">'202'!$H$63</definedName>
    <definedName name="OSRRefH22_12x_0" localSheetId="43">'203'!$H$66</definedName>
    <definedName name="OSRRefH22_12x_0" localSheetId="48">'300'!$H$172</definedName>
    <definedName name="OSRRefH22_12x_0" localSheetId="49">'300 &amp; 317'!$H$194</definedName>
    <definedName name="OSRRefH22_12x_0" localSheetId="50">'301'!$H$65</definedName>
    <definedName name="OSRRefH22_12x_0" localSheetId="53">'307'!$H$93</definedName>
    <definedName name="OSRRefH22_12x_0" localSheetId="55">'308'!$H$96:$H$97</definedName>
    <definedName name="OSRRefH22_12x_0" localSheetId="67">'310'!$H$75</definedName>
    <definedName name="OSRRefH22_12x_0" localSheetId="75">'310 &amp; 491'!$H$86</definedName>
    <definedName name="OSRRefH22_12x_0" localSheetId="56">'311'!$H$96:$H$97</definedName>
    <definedName name="OSRRefH22_12x_0" localSheetId="69">'313'!$H$72</definedName>
    <definedName name="OSRRefH22_12x_0" localSheetId="60">'315'!$H$94:$H$97</definedName>
    <definedName name="OSRRefH22_12x_0" localSheetId="63">'316'!$H$76:$H$77</definedName>
    <definedName name="OSRRefH22_12x_0" localSheetId="70">'321'!$H$67:$H$68</definedName>
    <definedName name="OSRRefH22_12x_0" localSheetId="71">'322'!$H$70</definedName>
    <definedName name="OSRRefH22_12x_0" localSheetId="72">'325'!$H$68:$H$71</definedName>
    <definedName name="OSRRefH22_12x_0" localSheetId="61">'326'!$H$86</definedName>
    <definedName name="OSRRefH22_12x_0" localSheetId="52">'330'!$H$105</definedName>
    <definedName name="OSRRefH22_12x_0" localSheetId="59">'331'!$H$99</definedName>
    <definedName name="OSRRefH22_12x_0" localSheetId="62">'332'!$H$84:$H$85</definedName>
    <definedName name="OSRRefH22_12x_0" localSheetId="77">'405'!$H$70:$H$72</definedName>
    <definedName name="OSRRefH22_12x_0" localSheetId="78">'406'!$H$69</definedName>
    <definedName name="OSRRefH22_12x_0" localSheetId="79">'411'!$H$74</definedName>
    <definedName name="OSRRefH22_12x_0" localSheetId="80">'412'!$H$73</definedName>
    <definedName name="OSRRefH22_12x_0" localSheetId="82">'414'!$H$69:$H$72</definedName>
    <definedName name="OSRRefH22_12x_0" localSheetId="83">'415'!$H$68:$H$72</definedName>
    <definedName name="OSRRefH22_12x_0" localSheetId="84">'418'!$H$73:$H$76</definedName>
    <definedName name="OSRRefH22_12x_0" localSheetId="88">'425'!$H$72</definedName>
    <definedName name="OSRRefH22_12x_0" localSheetId="92">'433'!$H$78</definedName>
    <definedName name="OSRRefH22_12x_0" localSheetId="94">'444'!$H$74:$H$78</definedName>
    <definedName name="OSRRefH22_12x_0" localSheetId="96">'450'!$H$73</definedName>
    <definedName name="OSRRefH22_12x_0" localSheetId="76">'491'!$H$80:$H$83</definedName>
    <definedName name="OSRRefH22_12x_0" localSheetId="90">'492'!$H$70:$H$72</definedName>
    <definedName name="OSRRefH22_12x_0" localSheetId="98">'501'!$H$64</definedName>
    <definedName name="OSRRefH22_12x_0" localSheetId="39">'Div 2'!$H$63:$H$65</definedName>
    <definedName name="OSRRefH22_12x_0" localSheetId="47">'Div 3'!$H$178</definedName>
    <definedName name="OSRRefH22_12x_0" localSheetId="74">'Div 4'!$H$82</definedName>
    <definedName name="OSRRefH22_12x_0" localSheetId="97">'Div 5'!$H$64</definedName>
    <definedName name="OSRRefH22_12x_0" localSheetId="2">Summary!$H$210</definedName>
    <definedName name="OSRRefH22_13x_0" localSheetId="41">'201'!$H$67</definedName>
    <definedName name="OSRRefH22_13x_0" localSheetId="42">'202'!$H$65</definedName>
    <definedName name="OSRRefH22_13x_0" localSheetId="43">'203'!$H$68</definedName>
    <definedName name="OSRRefH22_13x_0" localSheetId="48">'300'!$H$174</definedName>
    <definedName name="OSRRefH22_13x_0" localSheetId="49">'300 &amp; 317'!$H$196</definedName>
    <definedName name="OSRRefH22_13x_0" localSheetId="50">'301'!$H$67</definedName>
    <definedName name="OSRRefH22_13x_0" localSheetId="55">'308'!$H$99</definedName>
    <definedName name="OSRRefH22_13x_0" localSheetId="67">'310'!$H$77</definedName>
    <definedName name="OSRRefH22_13x_0" localSheetId="75">'310 &amp; 491'!$H$88</definedName>
    <definedName name="OSRRefH22_13x_0" localSheetId="56">'311'!$H$99</definedName>
    <definedName name="OSRRefH22_13x_0" localSheetId="60">'315'!$H$99</definedName>
    <definedName name="OSRRefH22_13x_0" localSheetId="70">'321'!$H$70</definedName>
    <definedName name="OSRRefH22_13x_0" localSheetId="71">'322'!$H$72</definedName>
    <definedName name="OSRRefH22_13x_0" localSheetId="72">'325'!$H$73</definedName>
    <definedName name="OSRRefH22_13x_0" localSheetId="61">'326'!$H$88:$H$89</definedName>
    <definedName name="OSRRefH22_13x_0" localSheetId="59">'331'!$H$101</definedName>
    <definedName name="OSRRefH22_13x_0" localSheetId="77">'405'!$H$74:$H$81</definedName>
    <definedName name="OSRRefH22_13x_0" localSheetId="79">'411'!$H$76:$H$78</definedName>
    <definedName name="OSRRefH22_13x_0" localSheetId="82">'414'!$H$74</definedName>
    <definedName name="OSRRefH22_13x_0" localSheetId="83">'415'!$H$74</definedName>
    <definedName name="OSRRefH22_13x_0" localSheetId="84">'418'!$H$78</definedName>
    <definedName name="OSRRefH22_13x_0" localSheetId="92">'433'!$H$80</definedName>
    <definedName name="OSRRefH22_13x_0" localSheetId="94">'444'!$H$80</definedName>
    <definedName name="OSRRefH22_13x_0" localSheetId="96">'450'!$H$75</definedName>
    <definedName name="OSRRefH22_13x_0" localSheetId="76">'491'!$H$85:$H$86</definedName>
    <definedName name="OSRRefH22_13x_0" localSheetId="90">'492'!$H$74:$H$77</definedName>
    <definedName name="OSRRefH22_13x_0" localSheetId="39">'Div 2'!$H$67:$H$70</definedName>
    <definedName name="OSRRefH22_13x_0" localSheetId="47">'Div 3'!$H$180</definedName>
    <definedName name="OSRRefH22_13x_0" localSheetId="74">'Div 4'!$H$84</definedName>
    <definedName name="OSRRefH22_13x_0" localSheetId="2">Summary!$H$212</definedName>
    <definedName name="OSRRefH22_14x_0" localSheetId="42">'202'!$H$67</definedName>
    <definedName name="OSRRefH22_14x_0" localSheetId="43">'203'!$H$70</definedName>
    <definedName name="OSRRefH22_14x_0" localSheetId="48">'300'!$H$176</definedName>
    <definedName name="OSRRefH22_14x_0" localSheetId="49">'300 &amp; 317'!$H$198</definedName>
    <definedName name="OSRRefH22_14x_0" localSheetId="50">'301'!$H$69</definedName>
    <definedName name="OSRRefH22_14x_0" localSheetId="55">'308'!$H$101</definedName>
    <definedName name="OSRRefH22_14x_0" localSheetId="67">'310'!$H$79</definedName>
    <definedName name="OSRRefH22_14x_0" localSheetId="75">'310 &amp; 491'!$H$90</definedName>
    <definedName name="OSRRefH22_14x_0" localSheetId="56">'311'!$H$101</definedName>
    <definedName name="OSRRefH22_14x_0" localSheetId="60">'315'!$H$101</definedName>
    <definedName name="OSRRefH22_14x_0" localSheetId="70">'321'!$H$72</definedName>
    <definedName name="OSRRefH22_14x_0" localSheetId="72">'325'!$H$75:$H$80</definedName>
    <definedName name="OSRRefH22_14x_0" localSheetId="61">'326'!$H$91:$H$93</definedName>
    <definedName name="OSRRefH22_14x_0" localSheetId="59">'331'!$H$103:$H$104</definedName>
    <definedName name="OSRRefH22_14x_0" localSheetId="77">'405'!$H$83</definedName>
    <definedName name="OSRRefH22_14x_0" localSheetId="79">'411'!$H$80</definedName>
    <definedName name="OSRRefH22_14x_0" localSheetId="82">'414'!$H$76</definedName>
    <definedName name="OSRRefH22_14x_0" localSheetId="83">'415'!$H$76:$H$82</definedName>
    <definedName name="OSRRefH22_14x_0" localSheetId="84">'418'!$H$80</definedName>
    <definedName name="OSRRefH22_14x_0" localSheetId="92">'433'!$H$82:$H$83</definedName>
    <definedName name="OSRRefH22_14x_0" localSheetId="94">'444'!$H$82</definedName>
    <definedName name="OSRRefH22_14x_0" localSheetId="96">'450'!$H$77:$H$78</definedName>
    <definedName name="OSRRefH22_14x_0" localSheetId="76">'491'!$H$88:$H$92</definedName>
    <definedName name="OSRRefH22_14x_0" localSheetId="90">'492'!$H$79:$H$87</definedName>
    <definedName name="OSRRefH22_14x_0" localSheetId="39">'Div 2'!$H$72:$H$75</definedName>
    <definedName name="OSRRefH22_14x_0" localSheetId="47">'Div 3'!$H$182</definedName>
    <definedName name="OSRRefH22_14x_0" localSheetId="74">'Div 4'!$H$86</definedName>
    <definedName name="OSRRefH22_14x_0" localSheetId="2">Summary!$H$214</definedName>
    <definedName name="OSRRefH22_15x_0" localSheetId="48">'300'!$H$178</definedName>
    <definedName name="OSRRefH22_15x_0" localSheetId="49">'300 &amp; 317'!$H$200</definedName>
    <definedName name="OSRRefH22_15x_0" localSheetId="50">'301'!$H$71:$H$73</definedName>
    <definedName name="OSRRefH22_15x_0" localSheetId="67">'310'!$H$81</definedName>
    <definedName name="OSRRefH22_15x_0" localSheetId="75">'310 &amp; 491'!$H$92:$H$95</definedName>
    <definedName name="OSRRefH22_15x_0" localSheetId="60">'315'!$H$103</definedName>
    <definedName name="OSRRefH22_15x_0" localSheetId="72">'325'!$H$82</definedName>
    <definedName name="OSRRefH22_15x_0" localSheetId="61">'326'!$H$95:$H$96</definedName>
    <definedName name="OSRRefH22_15x_0" localSheetId="59">'331'!$H$106:$H$108</definedName>
    <definedName name="OSRRefH22_15x_0" localSheetId="77">'405'!$H$85</definedName>
    <definedName name="OSRRefH22_15x_0" localSheetId="83">'415'!$H$84</definedName>
    <definedName name="OSRRefH22_15x_0" localSheetId="84">'418'!$H$82</definedName>
    <definedName name="OSRRefH22_15x_0" localSheetId="94">'444'!$H$84</definedName>
    <definedName name="OSRRefH22_15x_0" localSheetId="76">'491'!$H$94</definedName>
    <definedName name="OSRRefH22_15x_0" localSheetId="90">'492'!$H$89</definedName>
    <definedName name="OSRRefH22_15x_0" localSheetId="39">'Div 2'!$H$77:$H$78</definedName>
    <definedName name="OSRRefH22_15x_0" localSheetId="47">'Div 3'!$H$184</definedName>
    <definedName name="OSRRefH22_15x_0" localSheetId="74">'Div 4'!$H$88:$H$91</definedName>
    <definedName name="OSRRefH22_15x_0" localSheetId="2">Summary!$H$216</definedName>
    <definedName name="OSRRefH22_16x_0" localSheetId="48">'300'!$H$180:$H$182</definedName>
    <definedName name="OSRRefH22_16x_0" localSheetId="49">'300 &amp; 317'!$H$202:$H$204</definedName>
    <definedName name="OSRRefH22_16x_0" localSheetId="50">'301'!$H$75:$H$77</definedName>
    <definedName name="OSRRefH22_16x_0" localSheetId="67">'310'!$H$83</definedName>
    <definedName name="OSRRefH22_16x_0" localSheetId="75">'310 &amp; 491'!$H$97:$H$98</definedName>
    <definedName name="OSRRefH22_16x_0" localSheetId="72">'325'!$H$84</definedName>
    <definedName name="OSRRefH22_16x_0" localSheetId="61">'326'!$H$98:$H$102</definedName>
    <definedName name="OSRRefH22_16x_0" localSheetId="59">'331'!$H$110:$H$112</definedName>
    <definedName name="OSRRefH22_16x_0" localSheetId="77">'405'!$H$87</definedName>
    <definedName name="OSRRefH22_16x_0" localSheetId="83">'415'!$H$86:$H$87</definedName>
    <definedName name="OSRRefH22_16x_0" localSheetId="76">'491'!$H$96:$H$105</definedName>
    <definedName name="OSRRefH22_16x_0" localSheetId="90">'492'!$H$91</definedName>
    <definedName name="OSRRefH22_16x_0" localSheetId="39">'Div 2'!$H$80:$H$81</definedName>
    <definedName name="OSRRefH22_16x_0" localSheetId="47">'Div 3'!$H$186</definedName>
    <definedName name="OSRRefH22_16x_0" localSheetId="74">'Div 4'!$H$93:$H$94</definedName>
    <definedName name="OSRRefH22_16x_0" localSheetId="2">Summary!$H$218</definedName>
    <definedName name="OSRRefH22_17x_0" localSheetId="48">'300'!$H$184:$H$187</definedName>
    <definedName name="OSRRefH22_17x_0" localSheetId="49">'300 &amp; 317'!$H$206:$H$209</definedName>
    <definedName name="OSRRefH22_17x_0" localSheetId="50">'301'!$H$79:$H$80</definedName>
    <definedName name="OSRRefH22_17x_0" localSheetId="67">'310'!$H$85:$H$89</definedName>
    <definedName name="OSRRefH22_17x_0" localSheetId="75">'310 &amp; 491'!$H$100:$H$105</definedName>
    <definedName name="OSRRefH22_17x_0" localSheetId="61">'326'!$H$104:$H$105</definedName>
    <definedName name="OSRRefH22_17x_0" localSheetId="59">'331'!$H$114:$H$115</definedName>
    <definedName name="OSRRefH22_17x_0" localSheetId="83">'415'!$H$89</definedName>
    <definedName name="OSRRefH22_17x_0" localSheetId="76">'491'!$H$107:$H$108</definedName>
    <definedName name="OSRRefH22_17x_0" localSheetId="90">'492'!$H$93:$H$94</definedName>
    <definedName name="OSRRefH22_17x_0" localSheetId="39">'Div 2'!$H$83:$H$86</definedName>
    <definedName name="OSRRefH22_17x_0" localSheetId="47">'Div 3'!$H$188</definedName>
    <definedName name="OSRRefH22_17x_0" localSheetId="74">'Div 4'!$H$96:$H$100</definedName>
    <definedName name="OSRRefH22_17x_0" localSheetId="2">Summary!$H$220</definedName>
    <definedName name="OSRRefH22_18x_0" localSheetId="48">'300'!$H$189:$H$192</definedName>
    <definedName name="OSRRefH22_18x_0" localSheetId="49">'300 &amp; 317'!$H$211:$H$214</definedName>
    <definedName name="OSRRefH22_18x_0" localSheetId="50">'301'!$H$82:$H$86</definedName>
    <definedName name="OSRRefH22_18x_0" localSheetId="67">'310'!$H$91</definedName>
    <definedName name="OSRRefH22_18x_0" localSheetId="75">'310 &amp; 491'!$H$107</definedName>
    <definedName name="OSRRefH22_18x_0" localSheetId="61">'326'!$H$107</definedName>
    <definedName name="OSRRefH22_18x_0" localSheetId="59">'331'!$H$117:$H$121</definedName>
    <definedName name="OSRRefH22_18x_0" localSheetId="76">'491'!$H$110</definedName>
    <definedName name="OSRRefH22_18x_0" localSheetId="39">'Div 2'!$H$88:$H$89</definedName>
    <definedName name="OSRRefH22_18x_0" localSheetId="47">'Div 3'!$H$190:$H$192</definedName>
    <definedName name="OSRRefH22_18x_0" localSheetId="74">'Div 4'!$H$102</definedName>
    <definedName name="OSRRefH22_18x_0" localSheetId="2">Summary!$H$222:$H$225</definedName>
    <definedName name="OSRRefH22_19x_0" localSheetId="48">'300'!$H$194:$H$195</definedName>
    <definedName name="OSRRefH22_19x_0" localSheetId="49">'300 &amp; 317'!$H$216:$H$217</definedName>
    <definedName name="OSRRefH22_19x_0" localSheetId="50">'301'!$H$88</definedName>
    <definedName name="OSRRefH22_19x_0" localSheetId="67">'310'!$H$93:$H$98</definedName>
    <definedName name="OSRRefH22_19x_0" localSheetId="75">'310 &amp; 491'!$H$109:$H$118</definedName>
    <definedName name="OSRRefH22_19x_0" localSheetId="61">'326'!$H$109</definedName>
    <definedName name="OSRRefH22_19x_0" localSheetId="59">'331'!$H$123:$H$124</definedName>
    <definedName name="OSRRefH22_19x_0" localSheetId="76">'491'!$H$112:$H$114</definedName>
    <definedName name="OSRRefH22_19x_0" localSheetId="39">'Div 2'!$H$91</definedName>
    <definedName name="OSRRefH22_19x_0" localSheetId="47">'Div 3'!$H$194:$H$197</definedName>
    <definedName name="OSRRefH22_19x_0" localSheetId="74">'Div 4'!$H$104:$H$113</definedName>
    <definedName name="OSRRefH22_19x_0" localSheetId="2">Summary!$H$227:$H$230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'300'!$H$135:$H$144</definedName>
    <definedName name="OSRRefH22_1x_0" localSheetId="49">'300 &amp; 317'!$H$157:$H$166</definedName>
    <definedName name="OSRRefH22_1x_0" localSheetId="50">'301'!$H$30:$H$39</definedName>
    <definedName name="OSRRefH22_1x_0" localSheetId="51">'306'!$H$30:$H$39</definedName>
    <definedName name="OSRRefH22_1x_0" localSheetId="53">'307'!$H$61:$H$70</definedName>
    <definedName name="OSRRefH22_1x_0" localSheetId="55">'308'!$H$62:$H$71</definedName>
    <definedName name="OSRRefH22_1x_0" localSheetId="68">'309'!$H$36:$H$45</definedName>
    <definedName name="OSRRefH22_1x_0" localSheetId="67">'310'!$H$43:$H$52</definedName>
    <definedName name="OSRRefH22_1x_0" localSheetId="75">'310 &amp; 491'!$H$51:$H$60</definedName>
    <definedName name="OSRRefH22_1x_0" localSheetId="56">'311'!$H$62:$H$71</definedName>
    <definedName name="OSRRefH22_1x_0" localSheetId="69">'313'!$H$39:$H$48</definedName>
    <definedName name="OSRRefH22_1x_0" localSheetId="54">'314'!$H$58:$H$67</definedName>
    <definedName name="OSRRefH22_1x_0" localSheetId="60">'315'!$H$60:$H$69</definedName>
    <definedName name="OSRRefH22_1x_0" localSheetId="63">'316'!$H$42:$H$51</definedName>
    <definedName name="OSRRefH22_1x_0" localSheetId="66">'317'!$H$61:$H$70</definedName>
    <definedName name="OSRRefH22_1x_0" localSheetId="64">'320'!$H$36:$H$45</definedName>
    <definedName name="OSRRefH22_1x_0" localSheetId="70">'321'!$H$35:$H$44</definedName>
    <definedName name="OSRRefH22_1x_0" localSheetId="71">'322'!$H$36:$H$45</definedName>
    <definedName name="OSRRefH22_1x_0" localSheetId="72">'325'!$H$36:$H$45</definedName>
    <definedName name="OSRRefH22_1x_0" localSheetId="61">'326'!$H$54:$H$63</definedName>
    <definedName name="OSRRefH22_1x_0" localSheetId="52">'330'!$H$73:$H$82</definedName>
    <definedName name="OSRRefH22_1x_0" localSheetId="59">'331'!$H$67:$H$76</definedName>
    <definedName name="OSRRefH22_1x_0" localSheetId="62">'332'!$H$49:$H$58</definedName>
    <definedName name="OSRRefH22_1x_0" localSheetId="77">'405'!$H$36:$H$45</definedName>
    <definedName name="OSRRefH22_1x_0" localSheetId="78">'406'!$H$32:$H$41</definedName>
    <definedName name="OSRRefH22_1x_0" localSheetId="79">'411'!$H$31:$H$40</definedName>
    <definedName name="OSRRefH22_1x_0" localSheetId="80">'412'!$H$36:$H$45</definedName>
    <definedName name="OSRRefH22_1x_0" localSheetId="81">'413'!$H$37:$H$46</definedName>
    <definedName name="OSRRefH22_1x_0" localSheetId="82">'414'!$H$37:$H$46</definedName>
    <definedName name="OSRRefH22_1x_0" localSheetId="83">'415'!$H$36:$H$45</definedName>
    <definedName name="OSRRefH22_1x_0" localSheetId="84">'418'!$H$37:$H$46</definedName>
    <definedName name="OSRRefH22_1x_0" localSheetId="86">'423'!$H$30:$H$39</definedName>
    <definedName name="OSRRefH22_1x_0" localSheetId="87">'424'!$H$32:$H$41</definedName>
    <definedName name="OSRRefH22_1x_0" localSheetId="88">'425'!$H$37:$H$46</definedName>
    <definedName name="OSRRefH22_1x_0" localSheetId="91">'430'!$H$30:$H$39</definedName>
    <definedName name="OSRRefH22_1x_0" localSheetId="92">'433'!$H$38:$H$47</definedName>
    <definedName name="OSRRefH22_1x_0" localSheetId="93">'435'!$H$31:$H$40</definedName>
    <definedName name="OSRRefH22_1x_0" localSheetId="94">'444'!$H$38:$H$47</definedName>
    <definedName name="OSRRefH22_1x_0" localSheetId="96">'450'!$H$35:$H$44</definedName>
    <definedName name="OSRRefH22_1x_0" localSheetId="89">'455'!$H$29:$H$38</definedName>
    <definedName name="OSRRefH22_1x_0" localSheetId="76">'491'!$H$45:$H$54</definedName>
    <definedName name="OSRRefH22_1x_0" localSheetId="90">'492'!$H$38:$H$47</definedName>
    <definedName name="OSRRefH22_1x_0" localSheetId="98">'501'!$H$31:$H$40</definedName>
    <definedName name="OSRRefH22_1x_0" localSheetId="39">'Div 2'!$H$32:$H$41</definedName>
    <definedName name="OSRRefH22_1x_0" localSheetId="47">'Div 3'!$H$141:$H$150</definedName>
    <definedName name="OSRRefH22_1x_0" localSheetId="74">'Div 4'!$H$46:$H$55</definedName>
    <definedName name="OSRRefH22_1x_0" localSheetId="97">'Div 5'!$H$31:$H$40</definedName>
    <definedName name="OSRRefH22_1x_0" localSheetId="65">'Div 6'!$H$61:$H$70</definedName>
    <definedName name="OSRRefH22_1x_0" localSheetId="2">Summary!$H$170:$H$179</definedName>
    <definedName name="OSRRefH22_20x_0" localSheetId="48">'300'!$H$197:$H$203</definedName>
    <definedName name="OSRRefH22_20x_0" localSheetId="49">'300 &amp; 317'!$H$219:$H$225</definedName>
    <definedName name="OSRRefH22_20x_0" localSheetId="50">'301'!$H$90</definedName>
    <definedName name="OSRRefH22_20x_0" localSheetId="67">'310'!$H$100</definedName>
    <definedName name="OSRRefH22_20x_0" localSheetId="75">'310 &amp; 491'!$H$120:$H$121</definedName>
    <definedName name="OSRRefH22_20x_0" localSheetId="61">'326'!$H$111</definedName>
    <definedName name="OSRRefH22_20x_0" localSheetId="59">'331'!$H$126</definedName>
    <definedName name="OSRRefH22_20x_0" localSheetId="76">'491'!$H$116</definedName>
    <definedName name="OSRRefH22_20x_0" localSheetId="39">'Div 2'!$H$93</definedName>
    <definedName name="OSRRefH22_20x_0" localSheetId="47">'Div 3'!$H$199:$H$204</definedName>
    <definedName name="OSRRefH22_20x_0" localSheetId="74">'Div 4'!$H$115:$H$116</definedName>
    <definedName name="OSRRefH22_20x_0" localSheetId="2">Summary!$H$232:$H$237</definedName>
    <definedName name="OSRRefH22_21x_0" localSheetId="48">'300'!$H$205:$H$206</definedName>
    <definedName name="OSRRefH22_21x_0" localSheetId="49">'300 &amp; 317'!$H$227:$H$228</definedName>
    <definedName name="OSRRefH22_21x_0" localSheetId="50">'301'!$H$92:$H$93</definedName>
    <definedName name="OSRRefH22_21x_0" localSheetId="67">'310'!$H$102</definedName>
    <definedName name="OSRRefH22_21x_0" localSheetId="75">'310 &amp; 491'!$H$123</definedName>
    <definedName name="OSRRefH22_21x_0" localSheetId="59">'331'!$H$128</definedName>
    <definedName name="OSRRefH22_21x_0" localSheetId="47">'Div 3'!$H$206:$H$207</definedName>
    <definedName name="OSRRefH22_21x_0" localSheetId="74">'Div 4'!$H$118</definedName>
    <definedName name="OSRRefH22_21x_0" localSheetId="2">Summary!$H$239:$H$240</definedName>
    <definedName name="OSRRefH22_22x_0" localSheetId="48">'300'!$H$208</definedName>
    <definedName name="OSRRefH22_22x_0" localSheetId="49">'300 &amp; 317'!$H$230</definedName>
    <definedName name="OSRRefH22_22x_0" localSheetId="50">'301'!$H$95</definedName>
    <definedName name="OSRRefH22_22x_0" localSheetId="75">'310 &amp; 491'!$H$125:$H$127</definedName>
    <definedName name="OSRRefH22_22x_0" localSheetId="59">'331'!$H$130</definedName>
    <definedName name="OSRRefH22_22x_0" localSheetId="47">'Div 3'!$H$209:$H$216</definedName>
    <definedName name="OSRRefH22_22x_0" localSheetId="74">'Div 4'!$H$120:$H$122</definedName>
    <definedName name="OSRRefH22_22x_0" localSheetId="2">Summary!$H$242:$H$251</definedName>
    <definedName name="OSRRefH22_23x_0" localSheetId="48">'300'!$H$210:$H$212</definedName>
    <definedName name="OSRRefH22_23x_0" localSheetId="49">'300 &amp; 317'!$H$232:$H$234</definedName>
    <definedName name="OSRRefH22_23x_0" localSheetId="75">'310 &amp; 491'!$H$129</definedName>
    <definedName name="OSRRefH22_23x_0" localSheetId="47">'Div 3'!$H$218:$H$219</definedName>
    <definedName name="OSRRefH22_23x_0" localSheetId="74">'Div 4'!$H$124</definedName>
    <definedName name="OSRRefH22_23x_0" localSheetId="2">Summary!$H$253:$H$254</definedName>
    <definedName name="OSRRefH22_24x_0" localSheetId="48">'300'!$H$214</definedName>
    <definedName name="OSRRefH22_24x_0" localSheetId="49">'300 &amp; 317'!$H$236</definedName>
    <definedName name="OSRRefH22_24x_0" localSheetId="47">'Div 3'!$H$221</definedName>
    <definedName name="OSRRefH22_24x_0" localSheetId="2">Summary!$H$256</definedName>
    <definedName name="OSRRefH22_25x_0" localSheetId="47">'Div 3'!$H$223:$H$225</definedName>
    <definedName name="OSRRefH22_25x_0" localSheetId="2">Summary!$H$258:$H$260</definedName>
    <definedName name="OSRRefH22_26x_0" localSheetId="47">'Div 3'!$H$227</definedName>
    <definedName name="OSRRefH22_26x_0" localSheetId="2">Summary!$H$262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'300'!$H$146</definedName>
    <definedName name="OSRRefH22_2x_0" localSheetId="49">'300 &amp; 317'!$H$168</definedName>
    <definedName name="OSRRefH22_2x_0" localSheetId="50">'301'!$H$41</definedName>
    <definedName name="OSRRefH22_2x_0" localSheetId="51">'306'!$H$41</definedName>
    <definedName name="OSRRefH22_2x_0" localSheetId="53">'307'!$H$72</definedName>
    <definedName name="OSRRefH22_2x_0" localSheetId="55">'308'!$H$73</definedName>
    <definedName name="OSRRefH22_2x_0" localSheetId="68">'309'!$H$47</definedName>
    <definedName name="OSRRefH22_2x_0" localSheetId="67">'310'!$H$54</definedName>
    <definedName name="OSRRefH22_2x_0" localSheetId="75">'310 &amp; 491'!$H$62</definedName>
    <definedName name="OSRRefH22_2x_0" localSheetId="56">'311'!$H$73</definedName>
    <definedName name="OSRRefH22_2x_0" localSheetId="69">'313'!$H$50</definedName>
    <definedName name="OSRRefH22_2x_0" localSheetId="54">'314'!$H$69</definedName>
    <definedName name="OSRRefH22_2x_0" localSheetId="60">'315'!$H$71</definedName>
    <definedName name="OSRRefH22_2x_0" localSheetId="63">'316'!$H$53</definedName>
    <definedName name="OSRRefH22_2x_0" localSheetId="66">'317'!$H$72</definedName>
    <definedName name="OSRRefH22_2x_0" localSheetId="64">'320'!$H$47</definedName>
    <definedName name="OSRRefH22_2x_0" localSheetId="70">'321'!$H$46</definedName>
    <definedName name="OSRRefH22_2x_0" localSheetId="71">'322'!$H$47</definedName>
    <definedName name="OSRRefH22_2x_0" localSheetId="72">'325'!$H$47</definedName>
    <definedName name="OSRRefH22_2x_0" localSheetId="61">'326'!$H$65</definedName>
    <definedName name="OSRRefH22_2x_0" localSheetId="52">'330'!$H$84</definedName>
    <definedName name="OSRRefH22_2x_0" localSheetId="59">'331'!$H$78</definedName>
    <definedName name="OSRRefH22_2x_0" localSheetId="62">'332'!$H$60</definedName>
    <definedName name="OSRRefH22_2x_0" localSheetId="77">'405'!$H$47</definedName>
    <definedName name="OSRRefH22_2x_0" localSheetId="78">'406'!$H$43</definedName>
    <definedName name="OSRRefH22_2x_0" localSheetId="79">'411'!$H$42</definedName>
    <definedName name="OSRRefH22_2x_0" localSheetId="80">'412'!$H$47</definedName>
    <definedName name="OSRRefH22_2x_0" localSheetId="81">'413'!$H$48</definedName>
    <definedName name="OSRRefH22_2x_0" localSheetId="82">'414'!$H$48</definedName>
    <definedName name="OSRRefH22_2x_0" localSheetId="83">'415'!$H$47</definedName>
    <definedName name="OSRRefH22_2x_0" localSheetId="84">'418'!$H$48</definedName>
    <definedName name="OSRRefH22_2x_0" localSheetId="86">'423'!$H$41</definedName>
    <definedName name="OSRRefH22_2x_0" localSheetId="87">'424'!$H$43</definedName>
    <definedName name="OSRRefH22_2x_0" localSheetId="88">'425'!$H$48</definedName>
    <definedName name="OSRRefH22_2x_0" localSheetId="91">'430'!$H$41</definedName>
    <definedName name="OSRRefH22_2x_0" localSheetId="92">'433'!$H$49</definedName>
    <definedName name="OSRRefH22_2x_0" localSheetId="93">'435'!$H$42</definedName>
    <definedName name="OSRRefH22_2x_0" localSheetId="94">'444'!$H$49</definedName>
    <definedName name="OSRRefH22_2x_0" localSheetId="96">'450'!$H$46</definedName>
    <definedName name="OSRRefH22_2x_0" localSheetId="76">'491'!$H$56</definedName>
    <definedName name="OSRRefH22_2x_0" localSheetId="90">'492'!$H$49</definedName>
    <definedName name="OSRRefH22_2x_0" localSheetId="98">'501'!$H$42</definedName>
    <definedName name="OSRRefH22_2x_0" localSheetId="39">'Div 2'!$H$43</definedName>
    <definedName name="OSRRefH22_2x_0" localSheetId="47">'Div 3'!$H$152</definedName>
    <definedName name="OSRRefH22_2x_0" localSheetId="74">'Div 4'!$H$57</definedName>
    <definedName name="OSRRefH22_2x_0" localSheetId="97">'Div 5'!$H$42</definedName>
    <definedName name="OSRRefH22_2x_0" localSheetId="65">'Div 6'!$H$72</definedName>
    <definedName name="OSRRefH22_2x_0" localSheetId="2">Summary!$H$181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'204'!$H$44</definedName>
    <definedName name="OSRRefH22_3x_0" localSheetId="45">'205'!$H$43</definedName>
    <definedName name="OSRRefH22_3x_0" localSheetId="46">'206'!$H$43</definedName>
    <definedName name="OSRRefH22_3x_0" localSheetId="48">'300'!$H$148:$H$149</definedName>
    <definedName name="OSRRefH22_3x_0" localSheetId="49">'300 &amp; 317'!$H$170:$H$171</definedName>
    <definedName name="OSRRefH22_3x_0" localSheetId="50">'301'!$H$43</definedName>
    <definedName name="OSRRefH22_3x_0" localSheetId="51">'306'!$H$43</definedName>
    <definedName name="OSRRefH22_3x_0" localSheetId="53">'307'!$H$74</definedName>
    <definedName name="OSRRefH22_3x_0" localSheetId="55">'308'!$H$75</definedName>
    <definedName name="OSRRefH22_3x_0" localSheetId="68">'309'!$H$49</definedName>
    <definedName name="OSRRefH22_3x_0" localSheetId="67">'310'!$H$56</definedName>
    <definedName name="OSRRefH22_3x_0" localSheetId="75">'310 &amp; 491'!$H$64</definedName>
    <definedName name="OSRRefH22_3x_0" localSheetId="56">'311'!$H$75</definedName>
    <definedName name="OSRRefH22_3x_0" localSheetId="69">'313'!$H$52</definedName>
    <definedName name="OSRRefH22_3x_0" localSheetId="54">'314'!$H$71</definedName>
    <definedName name="OSRRefH22_3x_0" localSheetId="60">'315'!$H$73</definedName>
    <definedName name="OSRRefH22_3x_0" localSheetId="63">'316'!$H$55</definedName>
    <definedName name="OSRRefH22_3x_0" localSheetId="66">'317'!$H$74</definedName>
    <definedName name="OSRRefH22_3x_0" localSheetId="64">'320'!$H$49:$H$50</definedName>
    <definedName name="OSRRefH22_3x_0" localSheetId="70">'321'!$H$48</definedName>
    <definedName name="OSRRefH22_3x_0" localSheetId="71">'322'!$H$49</definedName>
    <definedName name="OSRRefH22_3x_0" localSheetId="72">'325'!$H$49</definedName>
    <definedName name="OSRRefH22_3x_0" localSheetId="61">'326'!$H$67:$H$68</definedName>
    <definedName name="OSRRefH22_3x_0" localSheetId="52">'330'!$H$86</definedName>
    <definedName name="OSRRefH22_3x_0" localSheetId="59">'331'!$H$80:$H$81</definedName>
    <definedName name="OSRRefH22_3x_0" localSheetId="62">'332'!$H$62</definedName>
    <definedName name="OSRRefH22_3x_0" localSheetId="77">'405'!$H$49</definedName>
    <definedName name="OSRRefH22_3x_0" localSheetId="78">'406'!$H$45</definedName>
    <definedName name="OSRRefH22_3x_0" localSheetId="79">'411'!$H$44:$H$46</definedName>
    <definedName name="OSRRefH22_3x_0" localSheetId="80">'412'!$H$49</definedName>
    <definedName name="OSRRefH22_3x_0" localSheetId="81">'413'!$H$50</definedName>
    <definedName name="OSRRefH22_3x_0" localSheetId="82">'414'!$H$50</definedName>
    <definedName name="OSRRefH22_3x_0" localSheetId="83">'415'!$H$49</definedName>
    <definedName name="OSRRefH22_3x_0" localSheetId="84">'418'!$H$50</definedName>
    <definedName name="OSRRefH22_3x_0" localSheetId="86">'423'!$H$43</definedName>
    <definedName name="OSRRefH22_3x_0" localSheetId="87">'424'!$H$45</definedName>
    <definedName name="OSRRefH22_3x_0" localSheetId="88">'425'!$H$50</definedName>
    <definedName name="OSRRefH22_3x_0" localSheetId="91">'430'!$H$43</definedName>
    <definedName name="OSRRefH22_3x_0" localSheetId="92">'433'!$H$51</definedName>
    <definedName name="OSRRefH22_3x_0" localSheetId="93">'435'!$H$44</definedName>
    <definedName name="OSRRefH22_3x_0" localSheetId="94">'444'!$H$51</definedName>
    <definedName name="OSRRefH22_3x_0" localSheetId="96">'450'!$H$48:$H$49</definedName>
    <definedName name="OSRRefH22_3x_0" localSheetId="76">'491'!$H$58</definedName>
    <definedName name="OSRRefH22_3x_0" localSheetId="90">'492'!$H$51:$H$52</definedName>
    <definedName name="OSRRefH22_3x_0" localSheetId="98">'501'!$H$44</definedName>
    <definedName name="OSRRefH22_3x_0" localSheetId="39">'Div 2'!$H$45</definedName>
    <definedName name="OSRRefH22_3x_0" localSheetId="47">'Div 3'!$H$154:$H$155</definedName>
    <definedName name="OSRRefH22_3x_0" localSheetId="74">'Div 4'!$H$59:$H$60</definedName>
    <definedName name="OSRRefH22_3x_0" localSheetId="97">'Div 5'!$H$44</definedName>
    <definedName name="OSRRefH22_3x_0" localSheetId="65">'Div 6'!$H$74</definedName>
    <definedName name="OSRRefH22_3x_0" localSheetId="2">Summary!$H$183:$H$184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</definedName>
    <definedName name="OSRRefH22_4x_0" localSheetId="46">'206'!$H$45</definedName>
    <definedName name="OSRRefH22_4x_0" localSheetId="48">'300'!$H$151</definedName>
    <definedName name="OSRRefH22_4x_0" localSheetId="49">'300 &amp; 317'!$H$173</definedName>
    <definedName name="OSRRefH22_4x_0" localSheetId="50">'301'!$H$45</definedName>
    <definedName name="OSRRefH22_4x_0" localSheetId="51">'306'!$H$45</definedName>
    <definedName name="OSRRefH22_4x_0" localSheetId="53">'307'!$H$76</definedName>
    <definedName name="OSRRefH22_4x_0" localSheetId="55">'308'!$H$77</definedName>
    <definedName name="OSRRefH22_4x_0" localSheetId="68">'309'!$H$51</definedName>
    <definedName name="OSRRefH22_4x_0" localSheetId="67">'310'!$H$58</definedName>
    <definedName name="OSRRefH22_4x_0" localSheetId="75">'310 &amp; 491'!$H$66</definedName>
    <definedName name="OSRRefH22_4x_0" localSheetId="56">'311'!$H$77</definedName>
    <definedName name="OSRRefH22_4x_0" localSheetId="69">'313'!$H$54</definedName>
    <definedName name="OSRRefH22_4x_0" localSheetId="54">'314'!$H$73</definedName>
    <definedName name="OSRRefH22_4x_0" localSheetId="60">'315'!$H$75</definedName>
    <definedName name="OSRRefH22_4x_0" localSheetId="63">'316'!$H$57</definedName>
    <definedName name="OSRRefH22_4x_0" localSheetId="66">'317'!$H$76</definedName>
    <definedName name="OSRRefH22_4x_0" localSheetId="64">'320'!$H$52</definedName>
    <definedName name="OSRRefH22_4x_0" localSheetId="70">'321'!$H$50</definedName>
    <definedName name="OSRRefH22_4x_0" localSheetId="71">'322'!$H$51</definedName>
    <definedName name="OSRRefH22_4x_0" localSheetId="72">'325'!$H$51</definedName>
    <definedName name="OSRRefH22_4x_0" localSheetId="61">'326'!$H$70</definedName>
    <definedName name="OSRRefH22_4x_0" localSheetId="52">'330'!$H$88</definedName>
    <definedName name="OSRRefH22_4x_0" localSheetId="59">'331'!$H$83</definedName>
    <definedName name="OSRRefH22_4x_0" localSheetId="62">'332'!$H$64</definedName>
    <definedName name="OSRRefH22_4x_0" localSheetId="77">'405'!$H$51</definedName>
    <definedName name="OSRRefH22_4x_0" localSheetId="78">'406'!$H$47</definedName>
    <definedName name="OSRRefH22_4x_0" localSheetId="79">'411'!$H$48</definedName>
    <definedName name="OSRRefH22_4x_0" localSheetId="80">'412'!$H$51</definedName>
    <definedName name="OSRRefH22_4x_0" localSheetId="81">'413'!$H$52</definedName>
    <definedName name="OSRRefH22_4x_0" localSheetId="82">'414'!$H$52</definedName>
    <definedName name="OSRRefH22_4x_0" localSheetId="83">'415'!$H$51</definedName>
    <definedName name="OSRRefH22_4x_0" localSheetId="84">'418'!$H$52</definedName>
    <definedName name="OSRRefH22_4x_0" localSheetId="86">'423'!$H$45</definedName>
    <definedName name="OSRRefH22_4x_0" localSheetId="87">'424'!$H$47</definedName>
    <definedName name="OSRRefH22_4x_0" localSheetId="88">'425'!$H$52</definedName>
    <definedName name="OSRRefH22_4x_0" localSheetId="91">'430'!$H$45</definedName>
    <definedName name="OSRRefH22_4x_0" localSheetId="92">'433'!$H$53</definedName>
    <definedName name="OSRRefH22_4x_0" localSheetId="93">'435'!$H$46</definedName>
    <definedName name="OSRRefH22_4x_0" localSheetId="94">'444'!$H$53</definedName>
    <definedName name="OSRRefH22_4x_0" localSheetId="96">'450'!$H$51</definedName>
    <definedName name="OSRRefH22_4x_0" localSheetId="76">'491'!$H$60</definedName>
    <definedName name="OSRRefH22_4x_0" localSheetId="90">'492'!$H$54</definedName>
    <definedName name="OSRRefH22_4x_0" localSheetId="98">'501'!$H$46</definedName>
    <definedName name="OSRRefH22_4x_0" localSheetId="39">'Div 2'!$H$47</definedName>
    <definedName name="OSRRefH22_4x_0" localSheetId="47">'Div 3'!$H$157</definedName>
    <definedName name="OSRRefH22_4x_0" localSheetId="74">'Div 4'!$H$62</definedName>
    <definedName name="OSRRefH22_4x_0" localSheetId="97">'Div 5'!$H$46</definedName>
    <definedName name="OSRRefH22_4x_0" localSheetId="65">'Div 6'!$H$76</definedName>
    <definedName name="OSRRefH22_4x_0" localSheetId="2">Summary!$H$186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</definedName>
    <definedName name="OSRRefH22_5x_0" localSheetId="45">'205'!$H$47</definedName>
    <definedName name="OSRRefH22_5x_0" localSheetId="46">'206'!$H$47</definedName>
    <definedName name="OSRRefH22_5x_0" localSheetId="48">'300'!$H$153:$H$155</definedName>
    <definedName name="OSRRefH22_5x_0" localSheetId="49">'300 &amp; 317'!$H$175:$H$177</definedName>
    <definedName name="OSRRefH22_5x_0" localSheetId="50">'301'!$H$47:$H$49</definedName>
    <definedName name="OSRRefH22_5x_0" localSheetId="51">'306'!$H$47</definedName>
    <definedName name="OSRRefH22_5x_0" localSheetId="53">'307'!$H$78</definedName>
    <definedName name="OSRRefH22_5x_0" localSheetId="55">'308'!$H$79</definedName>
    <definedName name="OSRRefH22_5x_0" localSheetId="68">'309'!$H$53</definedName>
    <definedName name="OSRRefH22_5x_0" localSheetId="67">'310'!$H$60:$H$61</definedName>
    <definedName name="OSRRefH22_5x_0" localSheetId="75">'310 &amp; 491'!$H$68:$H$71</definedName>
    <definedName name="OSRRefH22_5x_0" localSheetId="56">'311'!$H$79</definedName>
    <definedName name="OSRRefH22_5x_0" localSheetId="69">'313'!$H$56</definedName>
    <definedName name="OSRRefH22_5x_0" localSheetId="54">'314'!$H$75</definedName>
    <definedName name="OSRRefH22_5x_0" localSheetId="60">'315'!$H$77</definedName>
    <definedName name="OSRRefH22_5x_0" localSheetId="63">'316'!$H$59</definedName>
    <definedName name="OSRRefH22_5x_0" localSheetId="66">'317'!$H$78</definedName>
    <definedName name="OSRRefH22_5x_0" localSheetId="64">'320'!$H$54</definedName>
    <definedName name="OSRRefH22_5x_0" localSheetId="70">'321'!$H$52</definedName>
    <definedName name="OSRRefH22_5x_0" localSheetId="71">'322'!$H$53</definedName>
    <definedName name="OSRRefH22_5x_0" localSheetId="72">'325'!$H$53:$H$54</definedName>
    <definedName name="OSRRefH22_5x_0" localSheetId="61">'326'!$H$72</definedName>
    <definedName name="OSRRefH22_5x_0" localSheetId="52">'330'!$H$90</definedName>
    <definedName name="OSRRefH22_5x_0" localSheetId="59">'331'!$H$85</definedName>
    <definedName name="OSRRefH22_5x_0" localSheetId="62">'332'!$H$66</definedName>
    <definedName name="OSRRefH22_5x_0" localSheetId="77">'405'!$H$53:$H$54</definedName>
    <definedName name="OSRRefH22_5x_0" localSheetId="78">'406'!$H$49</definedName>
    <definedName name="OSRRefH22_5x_0" localSheetId="79">'411'!$H$50</definedName>
    <definedName name="OSRRefH22_5x_0" localSheetId="80">'412'!$H$53</definedName>
    <definedName name="OSRRefH22_5x_0" localSheetId="81">'413'!$H$54</definedName>
    <definedName name="OSRRefH22_5x_0" localSheetId="82">'414'!$H$54:$H$55</definedName>
    <definedName name="OSRRefH22_5x_0" localSheetId="83">'415'!$H$53:$H$54</definedName>
    <definedName name="OSRRefH22_5x_0" localSheetId="84">'418'!$H$54:$H$56</definedName>
    <definedName name="OSRRefH22_5x_0" localSheetId="86">'423'!$H$47</definedName>
    <definedName name="OSRRefH22_5x_0" localSheetId="87">'424'!$H$49</definedName>
    <definedName name="OSRRefH22_5x_0" localSheetId="88">'425'!$H$54</definedName>
    <definedName name="OSRRefH22_5x_0" localSheetId="91">'430'!$H$47</definedName>
    <definedName name="OSRRefH22_5x_0" localSheetId="92">'433'!$H$55</definedName>
    <definedName name="OSRRefH22_5x_0" localSheetId="93">'435'!$H$48</definedName>
    <definedName name="OSRRefH22_5x_0" localSheetId="94">'444'!$H$55</definedName>
    <definedName name="OSRRefH22_5x_0" localSheetId="96">'450'!$H$53</definedName>
    <definedName name="OSRRefH22_5x_0" localSheetId="76">'491'!$H$62:$H$65</definedName>
    <definedName name="OSRRefH22_5x_0" localSheetId="90">'492'!$H$56</definedName>
    <definedName name="OSRRefH22_5x_0" localSheetId="98">'501'!$H$48</definedName>
    <definedName name="OSRRefH22_5x_0" localSheetId="39">'Div 2'!$H$49</definedName>
    <definedName name="OSRRefH22_5x_0" localSheetId="47">'Div 3'!$H$159:$H$161</definedName>
    <definedName name="OSRRefH22_5x_0" localSheetId="74">'Div 4'!$H$64:$H$67</definedName>
    <definedName name="OSRRefH22_5x_0" localSheetId="97">'Div 5'!$H$48</definedName>
    <definedName name="OSRRefH22_5x_0" localSheetId="65">'Div 6'!$H$78</definedName>
    <definedName name="OSRRefH22_5x_0" localSheetId="2">Summary!$H$188:$H$191</definedName>
    <definedName name="OSRRefH22_6x_0" localSheetId="41">'201'!$H$49</definedName>
    <definedName name="OSRRefH22_6x_0" localSheetId="42">'202'!$H$49</definedName>
    <definedName name="OSRRefH22_6x_0" localSheetId="43">'203'!$H$50</definedName>
    <definedName name="OSRRefH22_6x_0" localSheetId="44">'204'!$H$50:$H$53</definedName>
    <definedName name="OSRRefH22_6x_0" localSheetId="45">'205'!$H$49</definedName>
    <definedName name="OSRRefH22_6x_0" localSheetId="46">'206'!$H$49:$H$50</definedName>
    <definedName name="OSRRefH22_6x_0" localSheetId="48">'300'!$H$157:$H$158</definedName>
    <definedName name="OSRRefH22_6x_0" localSheetId="49">'300 &amp; 317'!$H$179:$H$180</definedName>
    <definedName name="OSRRefH22_6x_0" localSheetId="50">'301'!$H$51:$H$52</definedName>
    <definedName name="OSRRefH22_6x_0" localSheetId="51">'306'!$H$49</definedName>
    <definedName name="OSRRefH22_6x_0" localSheetId="53">'307'!$H$80</definedName>
    <definedName name="OSRRefH22_6x_0" localSheetId="55">'308'!$H$81</definedName>
    <definedName name="OSRRefH22_6x_0" localSheetId="68">'309'!$H$55</definedName>
    <definedName name="OSRRefH22_6x_0" localSheetId="67">'310'!$H$63</definedName>
    <definedName name="OSRRefH22_6x_0" localSheetId="75">'310 &amp; 491'!$H$73</definedName>
    <definedName name="OSRRefH22_6x_0" localSheetId="56">'311'!$H$81</definedName>
    <definedName name="OSRRefH22_6x_0" localSheetId="69">'313'!$H$58</definedName>
    <definedName name="OSRRefH22_6x_0" localSheetId="60">'315'!$H$79</definedName>
    <definedName name="OSRRefH22_6x_0" localSheetId="63">'316'!$H$61</definedName>
    <definedName name="OSRRefH22_6x_0" localSheetId="66">'317'!$H$80</definedName>
    <definedName name="OSRRefH22_6x_0" localSheetId="70">'321'!$H$54</definedName>
    <definedName name="OSRRefH22_6x_0" localSheetId="71">'322'!$H$55</definedName>
    <definedName name="OSRRefH22_6x_0" localSheetId="72">'325'!$H$56</definedName>
    <definedName name="OSRRefH22_6x_0" localSheetId="61">'326'!$H$74</definedName>
    <definedName name="OSRRefH22_6x_0" localSheetId="52">'330'!$H$92</definedName>
    <definedName name="OSRRefH22_6x_0" localSheetId="59">'331'!$H$87</definedName>
    <definedName name="OSRRefH22_6x_0" localSheetId="62">'332'!$H$68</definedName>
    <definedName name="OSRRefH22_6x_0" localSheetId="77">'405'!$H$56</definedName>
    <definedName name="OSRRefH22_6x_0" localSheetId="78">'406'!$H$51</definedName>
    <definedName name="OSRRefH22_6x_0" localSheetId="79">'411'!$H$52</definedName>
    <definedName name="OSRRefH22_6x_0" localSheetId="80">'412'!$H$55</definedName>
    <definedName name="OSRRefH22_6x_0" localSheetId="81">'413'!$H$56</definedName>
    <definedName name="OSRRefH22_6x_0" localSheetId="82">'414'!$H$57</definedName>
    <definedName name="OSRRefH22_6x_0" localSheetId="83">'415'!$H$56</definedName>
    <definedName name="OSRRefH22_6x_0" localSheetId="84">'418'!$H$58</definedName>
    <definedName name="OSRRefH22_6x_0" localSheetId="87">'424'!$H$51</definedName>
    <definedName name="OSRRefH22_6x_0" localSheetId="88">'425'!$H$56</definedName>
    <definedName name="OSRRefH22_6x_0" localSheetId="91">'430'!$H$49:$H$51</definedName>
    <definedName name="OSRRefH22_6x_0" localSheetId="92">'433'!$H$57</definedName>
    <definedName name="OSRRefH22_6x_0" localSheetId="93">'435'!$H$50</definedName>
    <definedName name="OSRRefH22_6x_0" localSheetId="94">'444'!$H$57</definedName>
    <definedName name="OSRRefH22_6x_0" localSheetId="96">'450'!$H$55</definedName>
    <definedName name="OSRRefH22_6x_0" localSheetId="76">'491'!$H$67</definedName>
    <definedName name="OSRRefH22_6x_0" localSheetId="90">'492'!$H$58</definedName>
    <definedName name="OSRRefH22_6x_0" localSheetId="98">'501'!$H$50</definedName>
    <definedName name="OSRRefH22_6x_0" localSheetId="39">'Div 2'!$H$51</definedName>
    <definedName name="OSRRefH22_6x_0" localSheetId="47">'Div 3'!$H$163:$H$164</definedName>
    <definedName name="OSRRefH22_6x_0" localSheetId="74">'Div 4'!$H$69</definedName>
    <definedName name="OSRRefH22_6x_0" localSheetId="97">'Div 5'!$H$50</definedName>
    <definedName name="OSRRefH22_6x_0" localSheetId="65">'Div 6'!$H$80</definedName>
    <definedName name="OSRRefH22_6x_0" localSheetId="2">Summary!$H$193:$H$194</definedName>
    <definedName name="OSRRefH22_7x_0" localSheetId="41">'201'!$H$51</definedName>
    <definedName name="OSRRefH22_7x_0" localSheetId="42">'202'!$H$51</definedName>
    <definedName name="OSRRefH22_7x_0" localSheetId="43">'203'!$H$52</definedName>
    <definedName name="OSRRefH22_7x_0" localSheetId="44">'204'!$H$55</definedName>
    <definedName name="OSRRefH22_7x_0" localSheetId="45">'205'!$H$51:$H$52</definedName>
    <definedName name="OSRRefH22_7x_0" localSheetId="46">'206'!$H$52</definedName>
    <definedName name="OSRRefH22_7x_0" localSheetId="48">'300'!$H$160:$H$161</definedName>
    <definedName name="OSRRefH22_7x_0" localSheetId="49">'300 &amp; 317'!$H$182:$H$183</definedName>
    <definedName name="OSRRefH22_7x_0" localSheetId="50">'301'!$H$54:$H$55</definedName>
    <definedName name="OSRRefH22_7x_0" localSheetId="51">'306'!$H$51:$H$52</definedName>
    <definedName name="OSRRefH22_7x_0" localSheetId="53">'307'!$H$82</definedName>
    <definedName name="OSRRefH22_7x_0" localSheetId="55">'308'!$H$83</definedName>
    <definedName name="OSRRefH22_7x_0" localSheetId="68">'309'!$H$57</definedName>
    <definedName name="OSRRefH22_7x_0" localSheetId="67">'310'!$H$65</definedName>
    <definedName name="OSRRefH22_7x_0" localSheetId="75">'310 &amp; 491'!$H$75</definedName>
    <definedName name="OSRRefH22_7x_0" localSheetId="56">'311'!$H$83</definedName>
    <definedName name="OSRRefH22_7x_0" localSheetId="69">'313'!$H$60</definedName>
    <definedName name="OSRRefH22_7x_0" localSheetId="60">'315'!$H$81</definedName>
    <definedName name="OSRRefH22_7x_0" localSheetId="63">'316'!$H$63</definedName>
    <definedName name="OSRRefH22_7x_0" localSheetId="66">'317'!$H$82:$H$83</definedName>
    <definedName name="OSRRefH22_7x_0" localSheetId="70">'321'!$H$56</definedName>
    <definedName name="OSRRefH22_7x_0" localSheetId="71">'322'!$H$57</definedName>
    <definedName name="OSRRefH22_7x_0" localSheetId="72">'325'!$H$58</definedName>
    <definedName name="OSRRefH22_7x_0" localSheetId="61">'326'!$H$76</definedName>
    <definedName name="OSRRefH22_7x_0" localSheetId="52">'330'!$H$94</definedName>
    <definedName name="OSRRefH22_7x_0" localSheetId="59">'331'!$H$89</definedName>
    <definedName name="OSRRefH22_7x_0" localSheetId="62">'332'!$H$70:$H$71</definedName>
    <definedName name="OSRRefH22_7x_0" localSheetId="77">'405'!$H$58</definedName>
    <definedName name="OSRRefH22_7x_0" localSheetId="78">'406'!$H$53:$H$54</definedName>
    <definedName name="OSRRefH22_7x_0" localSheetId="79">'411'!$H$54</definedName>
    <definedName name="OSRRefH22_7x_0" localSheetId="80">'412'!$H$57</definedName>
    <definedName name="OSRRefH22_7x_0" localSheetId="81">'413'!$H$58</definedName>
    <definedName name="OSRRefH22_7x_0" localSheetId="82">'414'!$H$59</definedName>
    <definedName name="OSRRefH22_7x_0" localSheetId="83">'415'!$H$58</definedName>
    <definedName name="OSRRefH22_7x_0" localSheetId="84">'418'!$H$60</definedName>
    <definedName name="OSRRefH22_7x_0" localSheetId="87">'424'!$H$53:$H$54</definedName>
    <definedName name="OSRRefH22_7x_0" localSheetId="88">'425'!$H$58</definedName>
    <definedName name="OSRRefH22_7x_0" localSheetId="91">'430'!$H$53</definedName>
    <definedName name="OSRRefH22_7x_0" localSheetId="92">'433'!$H$59</definedName>
    <definedName name="OSRRefH22_7x_0" localSheetId="93">'435'!$H$52</definedName>
    <definedName name="OSRRefH22_7x_0" localSheetId="94">'444'!$H$59</definedName>
    <definedName name="OSRRefH22_7x_0" localSheetId="96">'450'!$H$57</definedName>
    <definedName name="OSRRefH22_7x_0" localSheetId="76">'491'!$H$69</definedName>
    <definedName name="OSRRefH22_7x_0" localSheetId="90">'492'!$H$60</definedName>
    <definedName name="OSRRefH22_7x_0" localSheetId="98">'501'!$H$52</definedName>
    <definedName name="OSRRefH22_7x_0" localSheetId="39">'Div 2'!$H$53</definedName>
    <definedName name="OSRRefH22_7x_0" localSheetId="47">'Div 3'!$H$166:$H$167</definedName>
    <definedName name="OSRRefH22_7x_0" localSheetId="74">'Div 4'!$H$71</definedName>
    <definedName name="OSRRefH22_7x_0" localSheetId="97">'Div 5'!$H$52</definedName>
    <definedName name="OSRRefH22_7x_0" localSheetId="65">'Div 6'!$H$82:$H$83</definedName>
    <definedName name="OSRRefH22_7x_0" localSheetId="2">Summary!$H$196:$H$198</definedName>
    <definedName name="OSRRefH22_8x_0" localSheetId="41">'201'!$H$53:$H$54</definedName>
    <definedName name="OSRRefH22_8x_0" localSheetId="42">'202'!$H$53:$H$55</definedName>
    <definedName name="OSRRefH22_8x_0" localSheetId="43">'203'!$H$54:$H$55</definedName>
    <definedName name="OSRRefH22_8x_0" localSheetId="44">'204'!$H$57</definedName>
    <definedName name="OSRRefH22_8x_0" localSheetId="45">'205'!$H$54</definedName>
    <definedName name="OSRRefH22_8x_0" localSheetId="46">'206'!$H$54</definedName>
    <definedName name="OSRRefH22_8x_0" localSheetId="48">'300'!$H$163</definedName>
    <definedName name="OSRRefH22_8x_0" localSheetId="49">'300 &amp; 317'!$H$185</definedName>
    <definedName name="OSRRefH22_8x_0" localSheetId="50">'301'!$H$57</definedName>
    <definedName name="OSRRefH22_8x_0" localSheetId="51">'306'!$H$54</definedName>
    <definedName name="OSRRefH22_8x_0" localSheetId="53">'307'!$H$84</definedName>
    <definedName name="OSRRefH22_8x_0" localSheetId="55">'308'!$H$85</definedName>
    <definedName name="OSRRefH22_8x_0" localSheetId="68">'309'!$H$59</definedName>
    <definedName name="OSRRefH22_8x_0" localSheetId="67">'310'!$H$67</definedName>
    <definedName name="OSRRefH22_8x_0" localSheetId="75">'310 &amp; 491'!$H$77</definedName>
    <definedName name="OSRRefH22_8x_0" localSheetId="56">'311'!$H$85</definedName>
    <definedName name="OSRRefH22_8x_0" localSheetId="69">'313'!$H$62</definedName>
    <definedName name="OSRRefH22_8x_0" localSheetId="60">'315'!$H$83</definedName>
    <definedName name="OSRRefH22_8x_0" localSheetId="63">'316'!$H$65</definedName>
    <definedName name="OSRRefH22_8x_0" localSheetId="66">'317'!$H$85:$H$86</definedName>
    <definedName name="OSRRefH22_8x_0" localSheetId="70">'321'!$H$58</definedName>
    <definedName name="OSRRefH22_8x_0" localSheetId="71">'322'!$H$59</definedName>
    <definedName name="OSRRefH22_8x_0" localSheetId="72">'325'!$H$60</definedName>
    <definedName name="OSRRefH22_8x_0" localSheetId="61">'326'!$H$78</definedName>
    <definedName name="OSRRefH22_8x_0" localSheetId="52">'330'!$H$96</definedName>
    <definedName name="OSRRefH22_8x_0" localSheetId="59">'331'!$H$91</definedName>
    <definedName name="OSRRefH22_8x_0" localSheetId="62">'332'!$H$73</definedName>
    <definedName name="OSRRefH22_8x_0" localSheetId="77">'405'!$H$60</definedName>
    <definedName name="OSRRefH22_8x_0" localSheetId="78">'406'!$H$56:$H$58</definedName>
    <definedName name="OSRRefH22_8x_0" localSheetId="79">'411'!$H$56:$H$58</definedName>
    <definedName name="OSRRefH22_8x_0" localSheetId="80">'412'!$H$59</definedName>
    <definedName name="OSRRefH22_8x_0" localSheetId="81">'413'!$H$60</definedName>
    <definedName name="OSRRefH22_8x_0" localSheetId="82">'414'!$H$61</definedName>
    <definedName name="OSRRefH22_8x_0" localSheetId="83">'415'!$H$60</definedName>
    <definedName name="OSRRefH22_8x_0" localSheetId="84">'418'!$H$62:$H$63</definedName>
    <definedName name="OSRRefH22_8x_0" localSheetId="88">'425'!$H$60</definedName>
    <definedName name="OSRRefH22_8x_0" localSheetId="91">'430'!$H$55</definedName>
    <definedName name="OSRRefH22_8x_0" localSheetId="92">'433'!$H$61</definedName>
    <definedName name="OSRRefH22_8x_0" localSheetId="94">'444'!$H$61</definedName>
    <definedName name="OSRRefH22_8x_0" localSheetId="96">'450'!$H$59</definedName>
    <definedName name="OSRRefH22_8x_0" localSheetId="76">'491'!$H$71:$H$72</definedName>
    <definedName name="OSRRefH22_8x_0" localSheetId="90">'492'!$H$62</definedName>
    <definedName name="OSRRefH22_8x_0" localSheetId="98">'501'!$H$54</definedName>
    <definedName name="OSRRefH22_8x_0" localSheetId="39">'Div 2'!$H$55</definedName>
    <definedName name="OSRRefH22_8x_0" localSheetId="47">'Div 3'!$H$169</definedName>
    <definedName name="OSRRefH22_8x_0" localSheetId="74">'Div 4'!$H$73</definedName>
    <definedName name="OSRRefH22_8x_0" localSheetId="97">'Div 5'!$H$54</definedName>
    <definedName name="OSRRefH22_8x_0" localSheetId="65">'Div 6'!$H$85:$H$86</definedName>
    <definedName name="OSRRefH22_8x_0" localSheetId="2">Summary!$H$200</definedName>
    <definedName name="OSRRefH22_9x_0" localSheetId="41">'201'!$H$56:$H$57</definedName>
    <definedName name="OSRRefH22_9x_0" localSheetId="42">'202'!$H$57</definedName>
    <definedName name="OSRRefH22_9x_0" localSheetId="43">'203'!$H$57:$H$58</definedName>
    <definedName name="OSRRefH22_9x_0" localSheetId="44">'204'!$H$59:$H$60</definedName>
    <definedName name="OSRRefH22_9x_0" localSheetId="46">'206'!$H$56</definedName>
    <definedName name="OSRRefH22_9x_0" localSheetId="48">'300'!$H$165</definedName>
    <definedName name="OSRRefH22_9x_0" localSheetId="49">'300 &amp; 317'!$H$187</definedName>
    <definedName name="OSRRefH22_9x_0" localSheetId="50">'301'!$H$59</definedName>
    <definedName name="OSRRefH22_9x_0" localSheetId="53">'307'!$H$86:$H$87</definedName>
    <definedName name="OSRRefH22_9x_0" localSheetId="55">'308'!$H$87:$H$88</definedName>
    <definedName name="OSRRefH22_9x_0" localSheetId="68">'309'!$H$61</definedName>
    <definedName name="OSRRefH22_9x_0" localSheetId="67">'310'!$H$69</definedName>
    <definedName name="OSRRefH22_9x_0" localSheetId="75">'310 &amp; 491'!$H$79</definedName>
    <definedName name="OSRRefH22_9x_0" localSheetId="56">'311'!$H$87:$H$88</definedName>
    <definedName name="OSRRefH22_9x_0" localSheetId="69">'313'!$H$64</definedName>
    <definedName name="OSRRefH22_9x_0" localSheetId="60">'315'!$H$85</definedName>
    <definedName name="OSRRefH22_9x_0" localSheetId="63">'316'!$H$67</definedName>
    <definedName name="OSRRefH22_9x_0" localSheetId="66">'317'!$H$88</definedName>
    <definedName name="OSRRefH22_9x_0" localSheetId="70">'321'!$H$60</definedName>
    <definedName name="OSRRefH22_9x_0" localSheetId="71">'322'!$H$61</definedName>
    <definedName name="OSRRefH22_9x_0" localSheetId="72">'325'!$H$62</definedName>
    <definedName name="OSRRefH22_9x_0" localSheetId="61">'326'!$H$80</definedName>
    <definedName name="OSRRefH22_9x_0" localSheetId="52">'330'!$H$98:$H$99</definedName>
    <definedName name="OSRRefH22_9x_0" localSheetId="59">'331'!$H$93</definedName>
    <definedName name="OSRRefH22_9x_0" localSheetId="62">'332'!$H$75</definedName>
    <definedName name="OSRRefH22_9x_0" localSheetId="77">'405'!$H$62</definedName>
    <definedName name="OSRRefH22_9x_0" localSheetId="78">'406'!$H$60:$H$62</definedName>
    <definedName name="OSRRefH22_9x_0" localSheetId="79">'411'!$H$60:$H$64</definedName>
    <definedName name="OSRRefH22_9x_0" localSheetId="80">'412'!$H$61</definedName>
    <definedName name="OSRRefH22_9x_0" localSheetId="81">'413'!$H$62:$H$64</definedName>
    <definedName name="OSRRefH22_9x_0" localSheetId="82">'414'!$H$63</definedName>
    <definedName name="OSRRefH22_9x_0" localSheetId="83">'415'!$H$62</definedName>
    <definedName name="OSRRefH22_9x_0" localSheetId="84">'418'!$H$65</definedName>
    <definedName name="OSRRefH22_9x_0" localSheetId="88">'425'!$H$62:$H$63</definedName>
    <definedName name="OSRRefH22_9x_0" localSheetId="91">'430'!$H$57</definedName>
    <definedName name="OSRRefH22_9x_0" localSheetId="92">'433'!$H$63</definedName>
    <definedName name="OSRRefH22_9x_0" localSheetId="94">'444'!$H$63</definedName>
    <definedName name="OSRRefH22_9x_0" localSheetId="96">'450'!$H$61</definedName>
    <definedName name="OSRRefH22_9x_0" localSheetId="76">'491'!$H$74</definedName>
    <definedName name="OSRRefH22_9x_0" localSheetId="90">'492'!$H$64</definedName>
    <definedName name="OSRRefH22_9x_0" localSheetId="98">'501'!$H$56</definedName>
    <definedName name="OSRRefH22_9x_0" localSheetId="39">'Div 2'!$H$57</definedName>
    <definedName name="OSRRefH22_9x_0" localSheetId="47">'Div 3'!$H$171</definedName>
    <definedName name="OSRRefH22_9x_0" localSheetId="74">'Div 4'!$H$75</definedName>
    <definedName name="OSRRefH22_9x_0" localSheetId="97">'Div 5'!$H$56</definedName>
    <definedName name="OSRRefH22_9x_0" localSheetId="65">'Div 6'!$H$88</definedName>
    <definedName name="OSRRefH22_9x_0" localSheetId="2">Summary!$H$202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'201'!$H$20:$H$28,'201'!$H$30:$H$39,'201'!$H$41,'201'!$H$43,'201'!$H$45,'201'!$H$47,'201'!$H$49,'201'!$H$51,'201'!$H$53:$H$54,'201'!$H$56:$H$57,'201'!$H$59,'201'!$H$61:$H$63,'201'!$H$65,'201'!$H$67</definedName>
    <definedName name="OSRRefH22x_0" localSheetId="42">'202'!$H$20:$H$28,'202'!$H$30:$H$39,'202'!$H$41,'202'!$H$43,'202'!$H$45,'202'!$H$47,'202'!$H$49,'202'!$H$51,'202'!$H$53:$H$55,'202'!$H$57,'202'!$H$59,'202'!$H$61,'202'!$H$63,'202'!$H$65,'202'!$H$67</definedName>
    <definedName name="OSRRefH22x_0" localSheetId="43">'203'!$H$20:$H$29,'203'!$H$31:$H$40,'203'!$H$42,'203'!$H$44,'203'!$H$46,'203'!$H$48,'203'!$H$50,'203'!$H$52,'203'!$H$54:$H$55,'203'!$H$57:$H$58,'203'!$H$60,'203'!$H$62:$H$64,'203'!$H$66,'203'!$H$68,'203'!$H$70</definedName>
    <definedName name="OSRRefH22x_0" localSheetId="44">'204'!$H$20:$H$29,'204'!$H$31:$H$40,'204'!$H$42,'204'!$H$44,'204'!$H$46,'204'!$H$48,'204'!$H$50:$H$53,'204'!$H$55,'204'!$H$57,'204'!$H$59:$H$60,'204'!$H$62,'204'!$H$64</definedName>
    <definedName name="OSRRefH22x_0" localSheetId="45">'205'!$H$20:$H$28,'205'!$H$30:$H$39,'205'!$H$41,'205'!$H$43,'205'!$H$45,'205'!$H$47,'205'!$H$49,'205'!$H$51:$H$52,'205'!$H$54</definedName>
    <definedName name="OSRRefH22x_0" localSheetId="46">'206'!$H$20:$H$28,'206'!$H$30:$H$39,'206'!$H$41,'206'!$H$43,'206'!$H$45,'206'!$H$47,'206'!$H$49:$H$50,'206'!$H$52,'206'!$H$54,'206'!$H$56</definedName>
    <definedName name="OSRRefH22x_0" localSheetId="48">'300'!$H$124:$H$133,'300'!$H$135:$H$144,'300'!$H$146,'300'!$H$148:$H$149,'300'!$H$151,'300'!$H$153:$H$155,'300'!$H$157:$H$158,'300'!$H$160:$H$161,'300'!$H$163,'300'!$H$165,'300'!$H$167:$H$168,'300'!$H$170,'300'!$H$172,'300'!$H$174,'300'!$H$176,'300'!$H$178,'300'!$H$180:$H$182,'300'!$H$184:$H$187,'300'!$H$189:$H$192,'300'!$H$194:$H$195,'300'!$H$197:$H$203,'300'!$H$205:$H$206,'300'!$H$208,'300'!$H$210:$H$212,'300'!$H$214</definedName>
    <definedName name="OSRRefH22x_0" localSheetId="49">'300 &amp; 317'!$H$146:$H$155,'300 &amp; 317'!$H$157:$H$166,'300 &amp; 317'!$H$168,'300 &amp; 317'!$H$170:$H$171,'300 &amp; 317'!$H$173,'300 &amp; 317'!$H$175:$H$177,'300 &amp; 317'!$H$179:$H$180,'300 &amp; 317'!$H$182:$H$183,'300 &amp; 317'!$H$185,'300 &amp; 317'!$H$187,'300 &amp; 317'!$H$189:$H$190,'300 &amp; 317'!$H$192,'300 &amp; 317'!$H$194,'300 &amp; 317'!$H$196,'300 &amp; 317'!$H$198,'300 &amp; 317'!$H$200,'300 &amp; 317'!$H$202:$H$204,'300 &amp; 317'!$H$206:$H$209,'300 &amp; 317'!$H$211:$H$214,'300 &amp; 317'!$H$216:$H$217,'300 &amp; 317'!$H$219:$H$225,'300 &amp; 317'!$H$227:$H$228,'300 &amp; 317'!$H$230,'300 &amp; 317'!$H$232:$H$234,'300 &amp; 317'!$H$236</definedName>
    <definedName name="OSRRefH22x_0" localSheetId="50">'301'!$H$20:$H$28,'301'!$H$30:$H$39,'301'!$H$41,'301'!$H$43,'301'!$H$45,'301'!$H$47:$H$49,'301'!$H$51:$H$52,'301'!$H$54:$H$55,'301'!$H$57,'301'!$H$59,'301'!$H$61,'301'!$H$63,'301'!$H$65,'301'!$H$67,'301'!$H$69,'301'!$H$71:$H$73,'301'!$H$75:$H$77,'301'!$H$79:$H$80,'301'!$H$82:$H$86,'301'!$H$88,'301'!$H$90,'301'!$H$92:$H$93,'301'!$H$95</definedName>
    <definedName name="OSRRefH22x_0" localSheetId="51">'306'!$H$20:$H$28,'306'!$H$30:$H$39,'306'!$H$41,'306'!$H$43,'306'!$H$45,'306'!$H$47,'306'!$H$49,'306'!$H$51:$H$52,'306'!$H$54</definedName>
    <definedName name="OSRRefH22x_0" localSheetId="53">'307'!$H$51:$H$59,'307'!$H$61:$H$70,'307'!$H$72,'307'!$H$74,'307'!$H$76,'307'!$H$78,'307'!$H$80,'307'!$H$82,'307'!$H$84,'307'!$H$86:$H$87,'307'!$H$89,'307'!$H$91,'307'!$H$93</definedName>
    <definedName name="OSRRefH22x_0" localSheetId="55">'308'!$H$51:$H$60,'308'!$H$62:$H$71,'308'!$H$73,'308'!$H$75,'308'!$H$77,'308'!$H$79,'308'!$H$81,'308'!$H$83,'308'!$H$85,'308'!$H$87:$H$88,'308'!$H$90,'308'!$H$92:$H$94,'308'!$H$96:$H$97,'308'!$H$99,'308'!$H$101</definedName>
    <definedName name="OSRRefH22x_0" localSheetId="68">'309'!$H$26:$H$34,'309'!$H$36:$H$45,'309'!$H$47,'309'!$H$49,'309'!$H$51,'309'!$H$53,'309'!$H$55,'309'!$H$57,'309'!$H$59,'309'!$H$61,'309'!$H$63:$H$64,'309'!$H$66</definedName>
    <definedName name="OSRRefH22x_0" localSheetId="67">'310'!$H$33:$H$41,'310'!$H$43:$H$52,'310'!$H$54,'310'!$H$56,'310'!$H$58,'310'!$H$60:$H$61,'310'!$H$63,'310'!$H$65,'310'!$H$67,'310'!$H$69,'310'!$H$71,'310'!$H$73,'310'!$H$75,'310'!$H$77,'310'!$H$79,'310'!$H$81,'310'!$H$83,'310'!$H$85:$H$89,'310'!$H$91,'310'!$H$93:$H$98,'310'!$H$100,'310'!$H$102</definedName>
    <definedName name="OSRRefH22x_0" localSheetId="75">'310 &amp; 491'!$H$40:$H$49,'310 &amp; 491'!$H$51:$H$60,'310 &amp; 491'!$H$62,'310 &amp; 491'!$H$64,'310 &amp; 491'!$H$66,'310 &amp; 491'!$H$68:$H$71,'310 &amp; 491'!$H$73,'310 &amp; 491'!$H$75,'310 &amp; 491'!$H$77,'310 &amp; 491'!$H$79,'310 &amp; 491'!$H$81:$H$82,'310 &amp; 491'!$H$84,'310 &amp; 491'!$H$86,'310 &amp; 491'!$H$88,'310 &amp; 491'!$H$90,'310 &amp; 491'!$H$92:$H$95,'310 &amp; 491'!$H$97:$H$98,'310 &amp; 491'!$H$100:$H$105,'310 &amp; 491'!$H$107,'310 &amp; 491'!$H$109:$H$118,'310 &amp; 491'!$H$120:$H$121,'310 &amp; 491'!$H$123,'310 &amp; 491'!$H$125:$H$127,'310 &amp; 491'!$H$129</definedName>
    <definedName name="OSRRefH22x_0" localSheetId="56">'311'!$H$51:$H$60,'311'!$H$62:$H$71,'311'!$H$73,'311'!$H$75,'311'!$H$77,'311'!$H$79,'311'!$H$81,'311'!$H$83,'311'!$H$85,'311'!$H$87:$H$88,'311'!$H$90,'311'!$H$92:$H$94,'311'!$H$96:$H$97,'311'!$H$99,'311'!$H$101</definedName>
    <definedName name="OSRRefH22x_0" localSheetId="69">'313'!$H$29:$H$37,'313'!$H$39:$H$48,'313'!$H$50,'313'!$H$52,'313'!$H$54,'313'!$H$56,'313'!$H$58,'313'!$H$60,'313'!$H$62,'313'!$H$64,'313'!$H$66,'313'!$H$68:$H$70,'313'!$H$72</definedName>
    <definedName name="OSRRefH22x_0" localSheetId="54">'314'!$H$49:$H$56,'314'!$H$58:$H$67,'314'!$H$69,'314'!$H$71,'314'!$H$73,'314'!$H$75</definedName>
    <definedName name="OSRRefH22x_0" localSheetId="60">'315'!$H$50:$H$58,'315'!$H$60:$H$69,'315'!$H$71,'315'!$H$73,'315'!$H$75,'315'!$H$77,'315'!$H$79,'315'!$H$81,'315'!$H$83,'315'!$H$85,'315'!$H$87:$H$89,'315'!$H$91:$H$92,'315'!$H$94:$H$97,'315'!$H$99,'315'!$H$101,'315'!$H$103</definedName>
    <definedName name="OSRRefH22x_0" localSheetId="63">'316'!$H$32:$H$40,'316'!$H$42:$H$51,'316'!$H$53,'316'!$H$55,'316'!$H$57,'316'!$H$59,'316'!$H$61,'316'!$H$63,'316'!$H$65,'316'!$H$67,'316'!$H$69:$H$70,'316'!$H$72:$H$74,'316'!$H$76:$H$77</definedName>
    <definedName name="OSRRefH22x_0" localSheetId="66">'317'!$H$50:$H$59,'317'!$H$61:$H$70,'317'!$H$72,'317'!$H$74,'317'!$H$76,'317'!$H$78,'317'!$H$80,'317'!$H$82:$H$83,'317'!$H$85:$H$86,'317'!$H$88</definedName>
    <definedName name="OSRRefH22x_0" localSheetId="64">'320'!$H$27:$H$34,'320'!$H$36:$H$45,'320'!$H$47,'320'!$H$49:$H$50,'320'!$H$52,'320'!$H$54</definedName>
    <definedName name="OSRRefH22x_0" localSheetId="70">'321'!$H$26:$H$33,'321'!$H$35:$H$44,'321'!$H$46,'321'!$H$48,'321'!$H$50,'321'!$H$52,'321'!$H$54,'321'!$H$56,'321'!$H$58,'321'!$H$60,'321'!$H$62,'321'!$H$64:$H$65,'321'!$H$67:$H$68,'321'!$H$70,'321'!$H$72</definedName>
    <definedName name="OSRRefH22x_0" localSheetId="71">'322'!$H$26:$H$34,'322'!$H$36:$H$45,'322'!$H$47,'322'!$H$49,'322'!$H$51,'322'!$H$53,'322'!$H$55,'322'!$H$57,'322'!$H$59,'322'!$H$61,'322'!$H$63:$H$64,'322'!$H$66:$H$68,'322'!$H$70,'322'!$H$72</definedName>
    <definedName name="OSRRefH22x_0" localSheetId="72">'325'!$H$26:$H$34,'325'!$H$36:$H$45,'325'!$H$47,'325'!$H$49,'325'!$H$51,'325'!$H$53:$H$54,'325'!$H$56,'325'!$H$58,'325'!$H$60,'325'!$H$62,'325'!$H$64,'325'!$H$66,'325'!$H$68:$H$71,'325'!$H$73,'325'!$H$75:$H$80,'325'!$H$82,'325'!$H$84</definedName>
    <definedName name="OSRRefH22x_0" localSheetId="61">'326'!$H$45:$H$52,'326'!$H$54:$H$63,'326'!$H$65,'326'!$H$67:$H$68,'326'!$H$70,'326'!$H$72,'326'!$H$74,'326'!$H$76,'326'!$H$78,'326'!$H$80,'326'!$H$82,'326'!$H$84,'326'!$H$86,'326'!$H$88:$H$89,'326'!$H$91:$H$93,'326'!$H$95:$H$96,'326'!$H$98:$H$102,'326'!$H$104:$H$105,'326'!$H$107,'326'!$H$109,'326'!$H$111</definedName>
    <definedName name="OSRRefH22x_0" localSheetId="73">'327'!$H$24</definedName>
    <definedName name="OSRRefH22x_0" localSheetId="52">'330'!$H$63:$H$71,'330'!$H$73:$H$82,'330'!$H$84,'330'!$H$86,'330'!$H$88,'330'!$H$90,'330'!$H$92,'330'!$H$94,'330'!$H$96,'330'!$H$98:$H$99,'330'!$H$101,'330'!$H$103,'330'!$H$105</definedName>
    <definedName name="OSRRefH22x_0" localSheetId="59">'331'!$H$57:$H$65,'331'!$H$67:$H$76,'331'!$H$78,'331'!$H$80:$H$81,'331'!$H$83,'331'!$H$85,'331'!$H$87,'331'!$H$89,'331'!$H$91,'331'!$H$93,'331'!$H$95,'331'!$H$97,'331'!$H$99,'331'!$H$101,'331'!$H$103:$H$104,'331'!$H$106:$H$108,'331'!$H$110:$H$112,'331'!$H$114:$H$115,'331'!$H$117:$H$121,'331'!$H$123:$H$124,'331'!$H$126,'331'!$H$128,'331'!$H$130</definedName>
    <definedName name="OSRRefH22x_0" localSheetId="62">'332'!$H$39:$H$47,'332'!$H$49:$H$58,'332'!$H$60,'332'!$H$62,'332'!$H$64,'332'!$H$66,'332'!$H$68,'332'!$H$70:$H$71,'332'!$H$73,'332'!$H$75,'332'!$H$77:$H$78,'332'!$H$80:$H$82,'332'!$H$84:$H$85</definedName>
    <definedName name="OSRRefH22x_0" localSheetId="77">'405'!$H$26:$H$34,'405'!$H$36:$H$45,'405'!$H$47,'405'!$H$49,'405'!$H$51,'405'!$H$53:$H$54,'405'!$H$56,'405'!$H$58,'405'!$H$60,'405'!$H$62,'405'!$H$64:$H$66,'405'!$H$68,'405'!$H$70:$H$72,'405'!$H$74:$H$81,'405'!$H$83,'405'!$H$85,'405'!$H$87</definedName>
    <definedName name="OSRRefH22x_0" localSheetId="78">'406'!$H$22:$H$30,'406'!$H$32:$H$41,'406'!$H$43,'406'!$H$45,'406'!$H$47,'406'!$H$49,'406'!$H$51,'406'!$H$53:$H$54,'406'!$H$56:$H$58,'406'!$H$60:$H$62,'406'!$H$64:$H$65,'406'!$H$67,'406'!$H$69</definedName>
    <definedName name="OSRRefH22x_0" localSheetId="79">'411'!$H$20:$H$29,'411'!$H$31:$H$40,'411'!$H$42,'411'!$H$44:$H$46,'411'!$H$48,'411'!$H$50,'411'!$H$52,'411'!$H$54,'411'!$H$56:$H$58,'411'!$H$60:$H$64,'411'!$H$66:$H$70,'411'!$H$72,'411'!$H$74,'411'!$H$76:$H$78,'411'!$H$80</definedName>
    <definedName name="OSRRefH22x_0" localSheetId="80">'412'!$H$26:$H$34,'412'!$H$36:$H$45,'412'!$H$47,'412'!$H$49,'412'!$H$51,'412'!$H$53,'412'!$H$55,'412'!$H$57,'412'!$H$59,'412'!$H$61,'412'!$H$63:$H$64,'412'!$H$66:$H$71,'412'!$H$73</definedName>
    <definedName name="OSRRefH22x_0" localSheetId="81">'413'!$H$27:$H$35,'413'!$H$37:$H$46,'413'!$H$48,'413'!$H$50,'413'!$H$52,'413'!$H$54,'413'!$H$56,'413'!$H$58,'413'!$H$60,'413'!$H$62:$H$64,'413'!$H$66:$H$67</definedName>
    <definedName name="OSRRefH22x_0" localSheetId="82">'414'!$H$27:$H$35,'414'!$H$37:$H$46,'414'!$H$48,'414'!$H$50,'414'!$H$52,'414'!$H$54:$H$55,'414'!$H$57,'414'!$H$59,'414'!$H$61,'414'!$H$63,'414'!$H$65,'414'!$H$67,'414'!$H$69:$H$72,'414'!$H$74,'414'!$H$76</definedName>
    <definedName name="OSRRefH22x_0" localSheetId="83">'415'!$H$26:$H$34,'415'!$H$36:$H$45,'415'!$H$47,'415'!$H$49,'415'!$H$51,'415'!$H$53:$H$54,'415'!$H$56,'415'!$H$58,'415'!$H$60,'415'!$H$62,'415'!$H$64,'415'!$H$66,'415'!$H$68:$H$72,'415'!$H$74,'415'!$H$76:$H$82,'415'!$H$84,'415'!$H$86:$H$87,'415'!$H$89</definedName>
    <definedName name="OSRRefH22x_0" localSheetId="84">'418'!$H$27:$H$35,'418'!$H$37:$H$46,'418'!$H$48,'418'!$H$50,'418'!$H$52,'418'!$H$54:$H$56,'418'!$H$58,'418'!$H$60,'418'!$H$62:$H$63,'418'!$H$65,'418'!$H$67:$H$69,'418'!$H$71,'418'!$H$73:$H$76,'418'!$H$78,'418'!$H$80,'418'!$H$82</definedName>
    <definedName name="OSRRefH22x_0" localSheetId="86">'423'!$H$20:$H$28,'423'!$H$30:$H$39,'423'!$H$41,'423'!$H$43,'423'!$H$45,'423'!$H$47</definedName>
    <definedName name="OSRRefH22x_0" localSheetId="87">'424'!$H$23:$H$30,'424'!$H$32:$H$41,'424'!$H$43,'424'!$H$45,'424'!$H$47,'424'!$H$49,'424'!$H$51,'424'!$H$53:$H$54</definedName>
    <definedName name="OSRRefH22x_0" localSheetId="88">'425'!$H$27:$H$35,'425'!$H$37:$H$46,'425'!$H$48,'425'!$H$50,'425'!$H$52,'425'!$H$54,'425'!$H$56,'425'!$H$58,'425'!$H$60,'425'!$H$62:$H$63,'425'!$H$65:$H$68,'425'!$H$70,'425'!$H$72</definedName>
    <definedName name="OSRRefH22x_0" localSheetId="91">'430'!$H$20:$H$28,'430'!$H$30:$H$39,'430'!$H$41,'430'!$H$43,'430'!$H$45,'430'!$H$47,'430'!$H$49:$H$51,'430'!$H$53,'430'!$H$55,'430'!$H$57</definedName>
    <definedName name="OSRRefH22x_0" localSheetId="92">'433'!$H$27:$H$36,'433'!$H$38:$H$47,'433'!$H$49,'433'!$H$51,'433'!$H$53,'433'!$H$55,'433'!$H$57,'433'!$H$59,'433'!$H$61,'433'!$H$63,'433'!$H$65:$H$68,'433'!$H$70:$H$76,'433'!$H$78,'433'!$H$80,'433'!$H$82:$H$83</definedName>
    <definedName name="OSRRefH22x_0" localSheetId="93">'435'!$H$22:$H$29,'435'!$H$31:$H$40,'435'!$H$42,'435'!$H$44,'435'!$H$46,'435'!$H$48,'435'!$H$50,'435'!$H$52</definedName>
    <definedName name="OSRRefH22x_0" localSheetId="94">'444'!$H$27:$H$36,'444'!$H$38:$H$47,'444'!$H$49,'444'!$H$51,'444'!$H$53,'444'!$H$55,'444'!$H$57,'444'!$H$59,'444'!$H$61,'444'!$H$63,'444'!$H$65:$H$67,'444'!$H$69:$H$72,'444'!$H$74:$H$78,'444'!$H$80,'444'!$H$82,'444'!$H$84</definedName>
    <definedName name="OSRRefH22x_0" localSheetId="96">'450'!$H$24:$H$33,'450'!$H$35:$H$44,'450'!$H$46,'450'!$H$48:$H$49,'450'!$H$51,'450'!$H$53,'450'!$H$55,'450'!$H$57,'450'!$H$59,'450'!$H$61,'450'!$H$63:$H$65,'450'!$H$67:$H$71,'450'!$H$73,'450'!$H$75,'450'!$H$77:$H$78</definedName>
    <definedName name="OSRRefH22x_0" localSheetId="89">'455'!$H$20:$H$27,'455'!$H$29:$H$38</definedName>
    <definedName name="OSRRefH22x_0" localSheetId="76">'491'!$H$34:$H$43,'491'!$H$45:$H$54,'491'!$H$56,'491'!$H$58,'491'!$H$60,'491'!$H$62:$H$65,'491'!$H$67,'491'!$H$69,'491'!$H$71:$H$72,'491'!$H$74,'491'!$H$76,'491'!$H$78,'491'!$H$80:$H$83,'491'!$H$85:$H$86,'491'!$H$88:$H$92,'491'!$H$94,'491'!$H$96:$H$105,'491'!$H$107:$H$108,'491'!$H$110,'491'!$H$112:$H$114,'491'!$H$116</definedName>
    <definedName name="OSRRefH22x_0" localSheetId="90">'492'!$H$27:$H$36,'492'!$H$38:$H$47,'492'!$H$49,'492'!$H$51:$H$52,'492'!$H$54,'492'!$H$56,'492'!$H$58,'492'!$H$60,'492'!$H$62,'492'!$H$64,'492'!$H$66,'492'!$H$68,'492'!$H$70:$H$72,'492'!$H$74:$H$77,'492'!$H$79:$H$87,'492'!$H$89,'492'!$H$91,'492'!$H$93:$H$94</definedName>
    <definedName name="OSRRefH22x_0" localSheetId="98">'501'!$H$21:$H$29,'501'!$H$31:$H$40,'501'!$H$42,'501'!$H$44,'501'!$H$46,'501'!$H$48,'501'!$H$50,'501'!$H$52,'501'!$H$54,'501'!$H$56,'501'!$H$58:$H$59,'501'!$H$61:$H$62,'501'!$H$64</definedName>
    <definedName name="OSRRefH22x_0" localSheetId="39">'Div 2'!$H$20:$H$30,'Div 2'!$H$32:$H$41,'Div 2'!$H$43,'Div 2'!$H$45,'Div 2'!$H$47,'Div 2'!$H$49,'Div 2'!$H$51,'Div 2'!$H$53,'Div 2'!$H$55,'Div 2'!$H$57,'Div 2'!$H$59,'Div 2'!$H$61,'Div 2'!$H$63:$H$65,'Div 2'!$H$67:$H$70,'Div 2'!$H$72:$H$75,'Div 2'!$H$77:$H$78,'Div 2'!$H$80:$H$81,'Div 2'!$H$83:$H$86,'Div 2'!$H$88:$H$89,'Div 2'!$H$91,'Div 2'!$H$93</definedName>
    <definedName name="OSRRefH22x_0" localSheetId="47">'Div 3'!$H$130:$H$139,'Div 3'!$H$141:$H$150,'Div 3'!$H$152,'Div 3'!$H$154:$H$155,'Div 3'!$H$157,'Div 3'!$H$159:$H$161,'Div 3'!$H$163:$H$164,'Div 3'!$H$166:$H$167,'Div 3'!$H$169,'Div 3'!$H$171,'Div 3'!$H$173:$H$174,'Div 3'!$H$176,'Div 3'!$H$178,'Div 3'!$H$180,'Div 3'!$H$182,'Div 3'!$H$184,'Div 3'!$H$186,'Div 3'!$H$188,'Div 3'!$H$190:$H$192,'Div 3'!$H$194:$H$197,'Div 3'!$H$199:$H$204,'Div 3'!$H$206:$H$207,'Div 3'!$H$209:$H$216,'Div 3'!$H$218:$H$219,'Div 3'!$H$221,'Div 3'!$H$223:$H$225,'Div 3'!$H$227</definedName>
    <definedName name="OSRRefH22x_0" localSheetId="74">'Div 4'!$H$35:$H$44,'Div 4'!$H$46:$H$55,'Div 4'!$H$57,'Div 4'!$H$59:$H$60,'Div 4'!$H$62,'Div 4'!$H$64:$H$67,'Div 4'!$H$69,'Div 4'!$H$71,'Div 4'!$H$73,'Div 4'!$H$75,'Div 4'!$H$77:$H$78,'Div 4'!$H$80,'Div 4'!$H$82,'Div 4'!$H$84,'Div 4'!$H$86,'Div 4'!$H$88:$H$91,'Div 4'!$H$93:$H$94,'Div 4'!$H$96:$H$100,'Div 4'!$H$102,'Div 4'!$H$104:$H$113,'Div 4'!$H$115:$H$116,'Div 4'!$H$118,'Div 4'!$H$120:$H$122,'Div 4'!$H$124</definedName>
    <definedName name="OSRRefH22x_0" localSheetId="97">'Div 5'!$H$21:$H$29,'Div 5'!$H$31:$H$40,'Div 5'!$H$42,'Div 5'!$H$44,'Div 5'!$H$46,'Div 5'!$H$48,'Div 5'!$H$50,'Div 5'!$H$52,'Div 5'!$H$54,'Div 5'!$H$56,'Div 5'!$H$58:$H$59,'Div 5'!$H$61:$H$62,'Div 5'!$H$64</definedName>
    <definedName name="OSRRefH22x_0" localSheetId="65">'Div 6'!$H$50:$H$59,'Div 6'!$H$61:$H$70,'Div 6'!$H$72,'Div 6'!$H$74,'Div 6'!$H$76,'Div 6'!$H$78,'Div 6'!$H$80,'Div 6'!$H$82:$H$83,'Div 6'!$H$85:$H$86,'Div 6'!$H$88</definedName>
    <definedName name="OSRRefH22x_0" localSheetId="2">Summary!$H$159:$H$168,Summary!$H$170:$H$179,Summary!$H$181,Summary!$H$183:$H$184,Summary!$H$186,Summary!$H$188:$H$191,Summary!$H$193:$H$194,Summary!$H$196:$H$198,Summary!$H$200,Summary!$H$202,Summary!$H$204:$H$205,Summary!$H$207:$H$208,Summary!$H$210,Summary!$H$212,Summary!$H$214,Summary!$H$216,Summary!$H$218,Summary!$H$220,Summary!$H$222:$H$225,Summary!$H$227:$H$230,Summary!$H$232:$H$237,Summary!$H$239:$H$240,Summary!$H$242:$H$251,Summary!$H$253:$H$254,Summary!$H$256,Summary!$H$258:$H$260,Summary!$H$262</definedName>
    <definedName name="OSRRefH25x_0" localSheetId="48">'300'!$H$217:$H$221</definedName>
    <definedName name="OSRRefH25x_0" localSheetId="49">'300 &amp; 317'!$H$239:$H$245</definedName>
    <definedName name="OSRRefH25x_0" localSheetId="50">'301'!$H$98:$H$100</definedName>
    <definedName name="OSRRefH25x_0" localSheetId="55">'308'!$H$104:$H$105</definedName>
    <definedName name="OSRRefH25x_0" localSheetId="75">'310 &amp; 491'!$H$132:$H$135</definedName>
    <definedName name="OSRRefH25x_0" localSheetId="56">'311'!$H$104:$H$105</definedName>
    <definedName name="OSRRefH25x_0" localSheetId="60">'315'!$H$106:$H$108</definedName>
    <definedName name="OSRRefH25x_0" localSheetId="63">'316'!$H$80:$H$81</definedName>
    <definedName name="OSRRefH25x_0" localSheetId="66">'317'!$H$91:$H$93</definedName>
    <definedName name="OSRRefH25x_0" localSheetId="64">'320'!$H$57:$H$59</definedName>
    <definedName name="OSRRefH25x_0" localSheetId="59">'331'!$H$133:$H$135</definedName>
    <definedName name="OSRRefH25x_0" localSheetId="62">'332'!$H$88:$H$92</definedName>
    <definedName name="OSRRefH25x_0" localSheetId="79">'411'!$H$83:$H$84</definedName>
    <definedName name="OSRRefH25x_0" localSheetId="86">'423'!$H$50</definedName>
    <definedName name="OSRRefH25x_0" localSheetId="87">'424'!$H$57</definedName>
    <definedName name="OSRRefH25x_0" localSheetId="88">'425'!$H$75</definedName>
    <definedName name="OSRRefH25x_0" localSheetId="89">'455'!$H$41:$H$44</definedName>
    <definedName name="OSRRefH25x_0" localSheetId="76">'491'!$H$119:$H$122</definedName>
    <definedName name="OSRRefH25x_0" localSheetId="98">'501'!$H$67</definedName>
    <definedName name="OSRRefH25x_0" localSheetId="47">'Div 3'!$H$230:$H$234</definedName>
    <definedName name="OSRRefH25x_0" localSheetId="74">'Div 4'!$H$127:$H$130</definedName>
    <definedName name="OSRRefH25x_0" localSheetId="97">'Div 5'!$H$67</definedName>
    <definedName name="OSRRefH25x_0" localSheetId="65">'Div 6'!$H$91:$H$93</definedName>
    <definedName name="OSRRefH25x_0" localSheetId="2">Summary!$H$265:$H$272</definedName>
    <definedName name="OSRRefP13x_0" localSheetId="48">'300'!$P$13:$P$79</definedName>
    <definedName name="OSRRefP13x_0" localSheetId="49">'300 &amp; 317'!$P$13:$P$94</definedName>
    <definedName name="OSRRefP13x_0" localSheetId="53">'307'!$P$13:$P$33</definedName>
    <definedName name="OSRRefP13x_0" localSheetId="55">'308'!$P$13:$P$30</definedName>
    <definedName name="OSRRefP13x_0" localSheetId="68">'309'!$P$13:$P$15</definedName>
    <definedName name="OSRRefP13x_0" localSheetId="67">'310'!$P$13:$P$22</definedName>
    <definedName name="OSRRefP13x_0" localSheetId="75">'310 &amp; 491'!$P$13:$P$29</definedName>
    <definedName name="OSRRefP13x_0" localSheetId="56">'311'!$P$13:$P$30</definedName>
    <definedName name="OSRRefP13x_0" localSheetId="69">'313'!$P$13:$P$18</definedName>
    <definedName name="OSRRefP13x_0" localSheetId="54">'314'!$P$13:$P$30</definedName>
    <definedName name="OSRRefP13x_0" localSheetId="60">'315'!$P$13:$P$28</definedName>
    <definedName name="OSRRefP13x_0" localSheetId="63">'316'!$P$13:$P$24</definedName>
    <definedName name="OSRRefP13x_0" localSheetId="66">'317'!$P$13:$P$32</definedName>
    <definedName name="OSRRefP13x_0" localSheetId="64">'320'!$P$13:$P$15</definedName>
    <definedName name="OSRRefP13x_0" localSheetId="70">'321'!$P$13:$P$15</definedName>
    <definedName name="OSRRefP13x_0" localSheetId="71">'322'!$P$13:$P$15</definedName>
    <definedName name="OSRRefP13x_0" localSheetId="57">'324'!$P$13:$P$15</definedName>
    <definedName name="OSRRefP13x_0" localSheetId="72">'325'!$P$13:$P$15</definedName>
    <definedName name="OSRRefP13x_0" localSheetId="61">'326'!$P$13:$P$25</definedName>
    <definedName name="OSRRefP13x_0" localSheetId="73">'327'!$P$13:$P$14</definedName>
    <definedName name="OSRRefP13x_0" localSheetId="52">'330'!$P$13:$P$41</definedName>
    <definedName name="OSRRefP13x_0" localSheetId="59">'331'!$P$13:$P$31</definedName>
    <definedName name="OSRRefP13x_0" localSheetId="62">'332'!$P$13:$P$27</definedName>
    <definedName name="OSRRefP13x_0" localSheetId="77">'405'!$P$13:$P$15</definedName>
    <definedName name="OSRRefP13x_0" localSheetId="80">'412'!$P$13:$P$16</definedName>
    <definedName name="OSRRefP13x_0" localSheetId="81">'413'!$P$13:$P$16</definedName>
    <definedName name="OSRRefP13x_0" localSheetId="82">'414'!$P$13:$P$16</definedName>
    <definedName name="OSRRefP13x_0" localSheetId="83">'415'!$P$13:$P$15</definedName>
    <definedName name="OSRRefP13x_0" localSheetId="84">'418'!$P$13:$P$16</definedName>
    <definedName name="OSRRefP13x_0" localSheetId="87">'424'!$P$13</definedName>
    <definedName name="OSRRefP13x_0" localSheetId="88">'425'!$P$13:$P$16</definedName>
    <definedName name="OSRRefP13x_0" localSheetId="92">'433'!$P$13:$P$16</definedName>
    <definedName name="OSRRefP13x_0" localSheetId="93">'435'!$P$13</definedName>
    <definedName name="OSRRefP13x_0" localSheetId="94">'444'!$P$13:$P$16</definedName>
    <definedName name="OSRRefP13x_0" localSheetId="96">'450'!$P$13:$P$14</definedName>
    <definedName name="OSRRefP13x_0" localSheetId="76">'491'!$P$13:$P$23</definedName>
    <definedName name="OSRRefP13x_0" localSheetId="90">'492'!$P$13:$P$16</definedName>
    <definedName name="OSRRefP13x_0" localSheetId="98">'501'!$P$13</definedName>
    <definedName name="OSRRefP13x_0" localSheetId="47">'Div 3'!$P$13:$P$83</definedName>
    <definedName name="OSRRefP13x_0" localSheetId="74">'Div 4'!$P$13:$P$24</definedName>
    <definedName name="OSRRefP13x_0" localSheetId="97">'Div 5'!$P$13</definedName>
    <definedName name="OSRRefP13x_0" localSheetId="65">'Div 6'!$P$13:$P$32</definedName>
    <definedName name="OSRRefP13x_0" localSheetId="2">Summary!$P$13:$P$105</definedName>
    <definedName name="OSRRefP16x_0" localSheetId="48">'300'!$P$82:$P$118</definedName>
    <definedName name="OSRRefP16x_0" localSheetId="49">'300 &amp; 317'!$P$97:$P$140</definedName>
    <definedName name="OSRRefP16x_0" localSheetId="53">'307'!$P$36:$P$45</definedName>
    <definedName name="OSRRefP16x_0" localSheetId="55">'308'!$P$33:$P$45</definedName>
    <definedName name="OSRRefP16x_0" localSheetId="68">'309'!$P$18:$P$20</definedName>
    <definedName name="OSRRefP16x_0" localSheetId="67">'310'!$P$25:$P$27</definedName>
    <definedName name="OSRRefP16x_0" localSheetId="75">'310 &amp; 491'!$P$32:$P$34</definedName>
    <definedName name="OSRRefP16x_0" localSheetId="56">'311'!$P$33:$P$45</definedName>
    <definedName name="OSRRefP16x_0" localSheetId="69">'313'!$P$21:$P$23</definedName>
    <definedName name="OSRRefP16x_0" localSheetId="54">'314'!$P$33:$P$43</definedName>
    <definedName name="OSRRefP16x_0" localSheetId="60">'315'!$P$31:$P$44</definedName>
    <definedName name="OSRRefP16x_0" localSheetId="66">'317'!$P$35:$P$44</definedName>
    <definedName name="OSRRefP16x_0" localSheetId="64">'320'!$P$18:$P$21</definedName>
    <definedName name="OSRRefP16x_0" localSheetId="70">'321'!$P$18:$P$20</definedName>
    <definedName name="OSRRefP16x_0" localSheetId="71">'322'!$P$18:$P$20</definedName>
    <definedName name="OSRRefP16x_0" localSheetId="57">'324'!$P$18:$P$20</definedName>
    <definedName name="OSRRefP16x_0" localSheetId="72">'325'!$P$18:$P$20</definedName>
    <definedName name="OSRRefP16x_0" localSheetId="61">'326'!$P$28:$P$39</definedName>
    <definedName name="OSRRefP16x_0" localSheetId="73">'327'!$P$17:$P$18</definedName>
    <definedName name="OSRRefP16x_0" localSheetId="52">'330'!$P$44:$P$57</definedName>
    <definedName name="OSRRefP16x_0" localSheetId="59">'331'!$P$34:$P$51</definedName>
    <definedName name="OSRRefP16x_0" localSheetId="62">'332'!$P$30:$P$33</definedName>
    <definedName name="OSRRefP16x_0" localSheetId="77">'405'!$P$18:$P$20</definedName>
    <definedName name="OSRRefP16x_0" localSheetId="78">'406'!$P$15:$P$16</definedName>
    <definedName name="OSRRefP16x_0" localSheetId="80">'412'!$P$19:$P$20</definedName>
    <definedName name="OSRRefP16x_0" localSheetId="81">'413'!$P$19:$P$21</definedName>
    <definedName name="OSRRefP16x_0" localSheetId="82">'414'!$P$19:$P$21</definedName>
    <definedName name="OSRRefP16x_0" localSheetId="83">'415'!$P$18:$P$20</definedName>
    <definedName name="OSRRefP16x_0" localSheetId="84">'418'!$P$19:$P$21</definedName>
    <definedName name="OSRRefP16x_0" localSheetId="87">'424'!$P$16:$P$17</definedName>
    <definedName name="OSRRefP16x_0" localSheetId="88">'425'!$P$19:$P$21</definedName>
    <definedName name="OSRRefP16x_0" localSheetId="92">'433'!$P$19:$P$21</definedName>
    <definedName name="OSRRefP16x_0" localSheetId="93">'435'!$P$16</definedName>
    <definedName name="OSRRefP16x_0" localSheetId="94">'444'!$P$19:$P$21</definedName>
    <definedName name="OSRRefP16x_0" localSheetId="96">'450'!$P$17:$P$18</definedName>
    <definedName name="OSRRefP16x_0" localSheetId="76">'491'!$P$26:$P$28</definedName>
    <definedName name="OSRRefP16x_0" localSheetId="90">'492'!$P$19:$P$21</definedName>
    <definedName name="OSRRefP16x_0" localSheetId="47">'Div 3'!$P$86:$P$124</definedName>
    <definedName name="OSRRefP16x_0" localSheetId="74">'Div 4'!$P$27:$P$29</definedName>
    <definedName name="OSRRefP16x_0" localSheetId="65">'Div 6'!$P$35:$P$44</definedName>
    <definedName name="OSRRefP16x_0" localSheetId="2">Summary!$P$108:$P$153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'300'!$P$124:$P$133</definedName>
    <definedName name="OSRRefP22_0x_0" localSheetId="49">'300 &amp; 317'!$P$146:$P$155</definedName>
    <definedName name="OSRRefP22_0x_0" localSheetId="50">'301'!$P$20:$P$28</definedName>
    <definedName name="OSRRefP22_0x_0" localSheetId="51">'306'!$P$20:$P$28</definedName>
    <definedName name="OSRRefP22_0x_0" localSheetId="53">'307'!$P$51:$P$59</definedName>
    <definedName name="OSRRefP22_0x_0" localSheetId="55">'308'!$P$51:$P$60</definedName>
    <definedName name="OSRRefP22_0x_0" localSheetId="68">'309'!$P$26:$P$34</definedName>
    <definedName name="OSRRefP22_0x_0" localSheetId="67">'310'!$P$33:$P$41</definedName>
    <definedName name="OSRRefP22_0x_0" localSheetId="75">'310 &amp; 491'!$P$40:$P$49</definedName>
    <definedName name="OSRRefP22_0x_0" localSheetId="56">'311'!$P$51:$P$60</definedName>
    <definedName name="OSRRefP22_0x_0" localSheetId="69">'313'!$P$29:$P$37</definedName>
    <definedName name="OSRRefP22_0x_0" localSheetId="54">'314'!$P$49:$P$56</definedName>
    <definedName name="OSRRefP22_0x_0" localSheetId="60">'315'!$P$50:$P$58</definedName>
    <definedName name="OSRRefP22_0x_0" localSheetId="63">'316'!$P$32:$P$40</definedName>
    <definedName name="OSRRefP22_0x_0" localSheetId="66">'317'!$P$50:$P$59</definedName>
    <definedName name="OSRRefP22_0x_0" localSheetId="64">'320'!$P$27:$P$34</definedName>
    <definedName name="OSRRefP22_0x_0" localSheetId="70">'321'!$P$26:$P$33</definedName>
    <definedName name="OSRRefP22_0x_0" localSheetId="71">'322'!$P$26:$P$34</definedName>
    <definedName name="OSRRefP22_0x_0" localSheetId="72">'325'!$P$26:$P$34</definedName>
    <definedName name="OSRRefP22_0x_0" localSheetId="61">'326'!$P$45:$P$52</definedName>
    <definedName name="OSRRefP22_0x_0" localSheetId="73">'327'!$P$24</definedName>
    <definedName name="OSRRefP22_0x_0" localSheetId="52">'330'!$P$63:$P$71</definedName>
    <definedName name="OSRRefP22_0x_0" localSheetId="59">'331'!$P$57:$P$65</definedName>
    <definedName name="OSRRefP22_0x_0" localSheetId="62">'332'!$P$39:$P$47</definedName>
    <definedName name="OSRRefP22_0x_0" localSheetId="77">'405'!$P$26:$P$34</definedName>
    <definedName name="OSRRefP22_0x_0" localSheetId="78">'406'!$P$22:$P$30</definedName>
    <definedName name="OSRRefP22_0x_0" localSheetId="79">'411'!$P$20:$P$29</definedName>
    <definedName name="OSRRefP22_0x_0" localSheetId="80">'412'!$P$26:$P$34</definedName>
    <definedName name="OSRRefP22_0x_0" localSheetId="81">'413'!$P$27:$P$35</definedName>
    <definedName name="OSRRefP22_0x_0" localSheetId="82">'414'!$P$27:$P$35</definedName>
    <definedName name="OSRRefP22_0x_0" localSheetId="83">'415'!$P$26:$P$34</definedName>
    <definedName name="OSRRefP22_0x_0" localSheetId="84">'418'!$P$27:$P$35</definedName>
    <definedName name="OSRRefP22_0x_0" localSheetId="86">'423'!$P$20:$P$28</definedName>
    <definedName name="OSRRefP22_0x_0" localSheetId="87">'424'!$P$23:$P$30</definedName>
    <definedName name="OSRRefP22_0x_0" localSheetId="88">'425'!$P$27:$P$35</definedName>
    <definedName name="OSRRefP22_0x_0" localSheetId="91">'430'!$P$20:$P$28</definedName>
    <definedName name="OSRRefP22_0x_0" localSheetId="92">'433'!$P$27:$P$36</definedName>
    <definedName name="OSRRefP22_0x_0" localSheetId="93">'435'!$P$22:$P$29</definedName>
    <definedName name="OSRRefP22_0x_0" localSheetId="94">'444'!$P$27:$P$36</definedName>
    <definedName name="OSRRefP22_0x_0" localSheetId="96">'450'!$P$24:$P$33</definedName>
    <definedName name="OSRRefP22_0x_0" localSheetId="89">'455'!$P$20:$P$27</definedName>
    <definedName name="OSRRefP22_0x_0" localSheetId="76">'491'!$P$34:$P$43</definedName>
    <definedName name="OSRRefP22_0x_0" localSheetId="90">'492'!$P$27:$P$36</definedName>
    <definedName name="OSRRefP22_0x_0" localSheetId="98">'501'!$P$21:$P$29</definedName>
    <definedName name="OSRRefP22_0x_0" localSheetId="39">'Div 2'!$P$20:$P$30</definedName>
    <definedName name="OSRRefP22_0x_0" localSheetId="47">'Div 3'!$P$130:$P$139</definedName>
    <definedName name="OSRRefP22_0x_0" localSheetId="74">'Div 4'!$P$35:$P$44</definedName>
    <definedName name="OSRRefP22_0x_0" localSheetId="97">'Div 5'!$P$21:$P$29</definedName>
    <definedName name="OSRRefP22_0x_0" localSheetId="65">'Div 6'!$P$50:$P$59</definedName>
    <definedName name="OSRRefP22_0x_0" localSheetId="2">Summary!$P$159:$P$168</definedName>
    <definedName name="OSRRefP22_10x_0" localSheetId="41">'201'!$P$59</definedName>
    <definedName name="OSRRefP22_10x_0" localSheetId="42">'202'!$P$59</definedName>
    <definedName name="OSRRefP22_10x_0" localSheetId="43">'203'!$P$60</definedName>
    <definedName name="OSRRefP22_10x_0" localSheetId="44">'204'!$P$62</definedName>
    <definedName name="OSRRefP22_10x_0" localSheetId="48">'300'!$P$167:$P$168</definedName>
    <definedName name="OSRRefP22_10x_0" localSheetId="49">'300 &amp; 317'!$P$189:$P$190</definedName>
    <definedName name="OSRRefP22_10x_0" localSheetId="50">'301'!$P$61</definedName>
    <definedName name="OSRRefP22_10x_0" localSheetId="53">'307'!$P$89</definedName>
    <definedName name="OSRRefP22_10x_0" localSheetId="55">'308'!$P$90</definedName>
    <definedName name="OSRRefP22_10x_0" localSheetId="68">'309'!$P$63:$P$64</definedName>
    <definedName name="OSRRefP22_10x_0" localSheetId="67">'310'!$P$71</definedName>
    <definedName name="OSRRefP22_10x_0" localSheetId="75">'310 &amp; 491'!$P$81:$P$82</definedName>
    <definedName name="OSRRefP22_10x_0" localSheetId="56">'311'!$P$90</definedName>
    <definedName name="OSRRefP22_10x_0" localSheetId="69">'313'!$P$66</definedName>
    <definedName name="OSRRefP22_10x_0" localSheetId="60">'315'!$P$87:$P$89</definedName>
    <definedName name="OSRRefP22_10x_0" localSheetId="63">'316'!$P$69:$P$70</definedName>
    <definedName name="OSRRefP22_10x_0" localSheetId="70">'321'!$P$62</definedName>
    <definedName name="OSRRefP22_10x_0" localSheetId="71">'322'!$P$63:$P$64</definedName>
    <definedName name="OSRRefP22_10x_0" localSheetId="72">'325'!$P$64</definedName>
    <definedName name="OSRRefP22_10x_0" localSheetId="61">'326'!$P$82</definedName>
    <definedName name="OSRRefP22_10x_0" localSheetId="52">'330'!$P$101</definedName>
    <definedName name="OSRRefP22_10x_0" localSheetId="59">'331'!$P$95</definedName>
    <definedName name="OSRRefP22_10x_0" localSheetId="62">'332'!$P$77:$P$78</definedName>
    <definedName name="OSRRefP22_10x_0" localSheetId="77">'405'!$P$64:$P$66</definedName>
    <definedName name="OSRRefP22_10x_0" localSheetId="78">'406'!$P$64:$P$65</definedName>
    <definedName name="OSRRefP22_10x_0" localSheetId="79">'411'!$P$66:$P$70</definedName>
    <definedName name="OSRRefP22_10x_0" localSheetId="80">'412'!$P$63:$P$64</definedName>
    <definedName name="OSRRefP22_10x_0" localSheetId="81">'413'!$P$66:$P$67</definedName>
    <definedName name="OSRRefP22_10x_0" localSheetId="82">'414'!$P$65</definedName>
    <definedName name="OSRRefP22_10x_0" localSheetId="83">'415'!$P$64</definedName>
    <definedName name="OSRRefP22_10x_0" localSheetId="84">'418'!$P$67:$P$69</definedName>
    <definedName name="OSRRefP22_10x_0" localSheetId="88">'425'!$P$65:$P$68</definedName>
    <definedName name="OSRRefP22_10x_0" localSheetId="92">'433'!$P$65:$P$68</definedName>
    <definedName name="OSRRefP22_10x_0" localSheetId="94">'444'!$P$65:$P$67</definedName>
    <definedName name="OSRRefP22_10x_0" localSheetId="96">'450'!$P$63:$P$65</definedName>
    <definedName name="OSRRefP22_10x_0" localSheetId="76">'491'!$P$76</definedName>
    <definedName name="OSRRefP22_10x_0" localSheetId="90">'492'!$P$66</definedName>
    <definedName name="OSRRefP22_10x_0" localSheetId="98">'501'!$P$58:$P$59</definedName>
    <definedName name="OSRRefP22_10x_0" localSheetId="39">'Div 2'!$P$59</definedName>
    <definedName name="OSRRefP22_10x_0" localSheetId="47">'Div 3'!$P$173:$P$174</definedName>
    <definedName name="OSRRefP22_10x_0" localSheetId="74">'Div 4'!$P$77:$P$78</definedName>
    <definedName name="OSRRefP22_10x_0" localSheetId="97">'Div 5'!$P$58:$P$59</definedName>
    <definedName name="OSRRefP22_10x_0" localSheetId="2">Summary!$P$204:$P$205</definedName>
    <definedName name="OSRRefP22_11x_0" localSheetId="41">'201'!$P$61:$P$63</definedName>
    <definedName name="OSRRefP22_11x_0" localSheetId="42">'202'!$P$61</definedName>
    <definedName name="OSRRefP22_11x_0" localSheetId="43">'203'!$P$62:$P$64</definedName>
    <definedName name="OSRRefP22_11x_0" localSheetId="44">'204'!$P$64</definedName>
    <definedName name="OSRRefP22_11x_0" localSheetId="48">'300'!$P$170</definedName>
    <definedName name="OSRRefP22_11x_0" localSheetId="49">'300 &amp; 317'!$P$192</definedName>
    <definedName name="OSRRefP22_11x_0" localSheetId="50">'301'!$P$63</definedName>
    <definedName name="OSRRefP22_11x_0" localSheetId="53">'307'!$P$91</definedName>
    <definedName name="OSRRefP22_11x_0" localSheetId="55">'308'!$P$92:$P$94</definedName>
    <definedName name="OSRRefP22_11x_0" localSheetId="68">'309'!$P$66</definedName>
    <definedName name="OSRRefP22_11x_0" localSheetId="67">'310'!$P$73</definedName>
    <definedName name="OSRRefP22_11x_0" localSheetId="75">'310 &amp; 491'!$P$84</definedName>
    <definedName name="OSRRefP22_11x_0" localSheetId="56">'311'!$P$92:$P$94</definedName>
    <definedName name="OSRRefP22_11x_0" localSheetId="69">'313'!$P$68:$P$70</definedName>
    <definedName name="OSRRefP22_11x_0" localSheetId="60">'315'!$P$91:$P$92</definedName>
    <definedName name="OSRRefP22_11x_0" localSheetId="63">'316'!$P$72:$P$74</definedName>
    <definedName name="OSRRefP22_11x_0" localSheetId="70">'321'!$P$64:$P$65</definedName>
    <definedName name="OSRRefP22_11x_0" localSheetId="71">'322'!$P$66:$P$68</definedName>
    <definedName name="OSRRefP22_11x_0" localSheetId="72">'325'!$P$66</definedName>
    <definedName name="OSRRefP22_11x_0" localSheetId="61">'326'!$P$84</definedName>
    <definedName name="OSRRefP22_11x_0" localSheetId="52">'330'!$P$103</definedName>
    <definedName name="OSRRefP22_11x_0" localSheetId="59">'331'!$P$97</definedName>
    <definedName name="OSRRefP22_11x_0" localSheetId="62">'332'!$P$80:$P$82</definedName>
    <definedName name="OSRRefP22_11x_0" localSheetId="77">'405'!$P$68</definedName>
    <definedName name="OSRRefP22_11x_0" localSheetId="78">'406'!$P$67</definedName>
    <definedName name="OSRRefP22_11x_0" localSheetId="79">'411'!$P$72</definedName>
    <definedName name="OSRRefP22_11x_0" localSheetId="80">'412'!$P$66:$P$71</definedName>
    <definedName name="OSRRefP22_11x_0" localSheetId="82">'414'!$P$67</definedName>
    <definedName name="OSRRefP22_11x_0" localSheetId="83">'415'!$P$66</definedName>
    <definedName name="OSRRefP22_11x_0" localSheetId="84">'418'!$P$71</definedName>
    <definedName name="OSRRefP22_11x_0" localSheetId="88">'425'!$P$70</definedName>
    <definedName name="OSRRefP22_11x_0" localSheetId="92">'433'!$P$70:$P$76</definedName>
    <definedName name="OSRRefP22_11x_0" localSheetId="94">'444'!$P$69:$P$72</definedName>
    <definedName name="OSRRefP22_11x_0" localSheetId="96">'450'!$P$67:$P$71</definedName>
    <definedName name="OSRRefP22_11x_0" localSheetId="76">'491'!$P$78</definedName>
    <definedName name="OSRRefP22_11x_0" localSheetId="90">'492'!$P$68</definedName>
    <definedName name="OSRRefP22_11x_0" localSheetId="98">'501'!$P$61:$P$62</definedName>
    <definedName name="OSRRefP22_11x_0" localSheetId="39">'Div 2'!$P$61</definedName>
    <definedName name="OSRRefP22_11x_0" localSheetId="47">'Div 3'!$P$176</definedName>
    <definedName name="OSRRefP22_11x_0" localSheetId="74">'Div 4'!$P$80</definedName>
    <definedName name="OSRRefP22_11x_0" localSheetId="97">'Div 5'!$P$61:$P$62</definedName>
    <definedName name="OSRRefP22_11x_0" localSheetId="2">Summary!$P$207:$P$208</definedName>
    <definedName name="OSRRefP22_12x_0" localSheetId="41">'201'!$P$65</definedName>
    <definedName name="OSRRefP22_12x_0" localSheetId="42">'202'!$P$63</definedName>
    <definedName name="OSRRefP22_12x_0" localSheetId="43">'203'!$P$66</definedName>
    <definedName name="OSRRefP22_12x_0" localSheetId="48">'300'!$P$172</definedName>
    <definedName name="OSRRefP22_12x_0" localSheetId="49">'300 &amp; 317'!$P$194</definedName>
    <definedName name="OSRRefP22_12x_0" localSheetId="50">'301'!$P$65</definedName>
    <definedName name="OSRRefP22_12x_0" localSheetId="53">'307'!$P$93</definedName>
    <definedName name="OSRRefP22_12x_0" localSheetId="55">'308'!$P$96:$P$97</definedName>
    <definedName name="OSRRefP22_12x_0" localSheetId="67">'310'!$P$75</definedName>
    <definedName name="OSRRefP22_12x_0" localSheetId="75">'310 &amp; 491'!$P$86</definedName>
    <definedName name="OSRRefP22_12x_0" localSheetId="56">'311'!$P$96:$P$97</definedName>
    <definedName name="OSRRefP22_12x_0" localSheetId="69">'313'!$P$72</definedName>
    <definedName name="OSRRefP22_12x_0" localSheetId="60">'315'!$P$94:$P$97</definedName>
    <definedName name="OSRRefP22_12x_0" localSheetId="63">'316'!$P$76:$P$77</definedName>
    <definedName name="OSRRefP22_12x_0" localSheetId="70">'321'!$P$67:$P$68</definedName>
    <definedName name="OSRRefP22_12x_0" localSheetId="71">'322'!$P$70</definedName>
    <definedName name="OSRRefP22_12x_0" localSheetId="72">'325'!$P$68:$P$71</definedName>
    <definedName name="OSRRefP22_12x_0" localSheetId="61">'326'!$P$86</definedName>
    <definedName name="OSRRefP22_12x_0" localSheetId="52">'330'!$P$105</definedName>
    <definedName name="OSRRefP22_12x_0" localSheetId="59">'331'!$P$99</definedName>
    <definedName name="OSRRefP22_12x_0" localSheetId="62">'332'!$P$84:$P$85</definedName>
    <definedName name="OSRRefP22_12x_0" localSheetId="77">'405'!$P$70:$P$72</definedName>
    <definedName name="OSRRefP22_12x_0" localSheetId="78">'406'!$P$69</definedName>
    <definedName name="OSRRefP22_12x_0" localSheetId="79">'411'!$P$74</definedName>
    <definedName name="OSRRefP22_12x_0" localSheetId="80">'412'!$P$73</definedName>
    <definedName name="OSRRefP22_12x_0" localSheetId="82">'414'!$P$69:$P$72</definedName>
    <definedName name="OSRRefP22_12x_0" localSheetId="83">'415'!$P$68:$P$72</definedName>
    <definedName name="OSRRefP22_12x_0" localSheetId="84">'418'!$P$73:$P$76</definedName>
    <definedName name="OSRRefP22_12x_0" localSheetId="88">'425'!$P$72</definedName>
    <definedName name="OSRRefP22_12x_0" localSheetId="92">'433'!$P$78</definedName>
    <definedName name="OSRRefP22_12x_0" localSheetId="94">'444'!$P$74:$P$78</definedName>
    <definedName name="OSRRefP22_12x_0" localSheetId="96">'450'!$P$73</definedName>
    <definedName name="OSRRefP22_12x_0" localSheetId="76">'491'!$P$80:$P$83</definedName>
    <definedName name="OSRRefP22_12x_0" localSheetId="90">'492'!$P$70:$P$72</definedName>
    <definedName name="OSRRefP22_12x_0" localSheetId="98">'501'!$P$64</definedName>
    <definedName name="OSRRefP22_12x_0" localSheetId="39">'Div 2'!$P$63:$P$65</definedName>
    <definedName name="OSRRefP22_12x_0" localSheetId="47">'Div 3'!$P$178</definedName>
    <definedName name="OSRRefP22_12x_0" localSheetId="74">'Div 4'!$P$82</definedName>
    <definedName name="OSRRefP22_12x_0" localSheetId="97">'Div 5'!$P$64</definedName>
    <definedName name="OSRRefP22_12x_0" localSheetId="2">Summary!$P$210</definedName>
    <definedName name="OSRRefP22_13x_0" localSheetId="41">'201'!$P$67</definedName>
    <definedName name="OSRRefP22_13x_0" localSheetId="42">'202'!$P$65</definedName>
    <definedName name="OSRRefP22_13x_0" localSheetId="43">'203'!$P$68</definedName>
    <definedName name="OSRRefP22_13x_0" localSheetId="48">'300'!$P$174</definedName>
    <definedName name="OSRRefP22_13x_0" localSheetId="49">'300 &amp; 317'!$P$196</definedName>
    <definedName name="OSRRefP22_13x_0" localSheetId="50">'301'!$P$67</definedName>
    <definedName name="OSRRefP22_13x_0" localSheetId="55">'308'!$P$99</definedName>
    <definedName name="OSRRefP22_13x_0" localSheetId="67">'310'!$P$77</definedName>
    <definedName name="OSRRefP22_13x_0" localSheetId="75">'310 &amp; 491'!$P$88</definedName>
    <definedName name="OSRRefP22_13x_0" localSheetId="56">'311'!$P$99</definedName>
    <definedName name="OSRRefP22_13x_0" localSheetId="60">'315'!$P$99</definedName>
    <definedName name="OSRRefP22_13x_0" localSheetId="70">'321'!$P$70</definedName>
    <definedName name="OSRRefP22_13x_0" localSheetId="71">'322'!$P$72</definedName>
    <definedName name="OSRRefP22_13x_0" localSheetId="72">'325'!$P$73</definedName>
    <definedName name="OSRRefP22_13x_0" localSheetId="61">'326'!$P$88:$P$89</definedName>
    <definedName name="OSRRefP22_13x_0" localSheetId="59">'331'!$P$101</definedName>
    <definedName name="OSRRefP22_13x_0" localSheetId="77">'405'!$P$74:$P$81</definedName>
    <definedName name="OSRRefP22_13x_0" localSheetId="79">'411'!$P$76:$P$78</definedName>
    <definedName name="OSRRefP22_13x_0" localSheetId="82">'414'!$P$74</definedName>
    <definedName name="OSRRefP22_13x_0" localSheetId="83">'415'!$P$74</definedName>
    <definedName name="OSRRefP22_13x_0" localSheetId="84">'418'!$P$78</definedName>
    <definedName name="OSRRefP22_13x_0" localSheetId="92">'433'!$P$80</definedName>
    <definedName name="OSRRefP22_13x_0" localSheetId="94">'444'!$P$80</definedName>
    <definedName name="OSRRefP22_13x_0" localSheetId="96">'450'!$P$75</definedName>
    <definedName name="OSRRefP22_13x_0" localSheetId="76">'491'!$P$85:$P$86</definedName>
    <definedName name="OSRRefP22_13x_0" localSheetId="90">'492'!$P$74:$P$77</definedName>
    <definedName name="OSRRefP22_13x_0" localSheetId="39">'Div 2'!$P$67:$P$70</definedName>
    <definedName name="OSRRefP22_13x_0" localSheetId="47">'Div 3'!$P$180</definedName>
    <definedName name="OSRRefP22_13x_0" localSheetId="74">'Div 4'!$P$84</definedName>
    <definedName name="OSRRefP22_13x_0" localSheetId="2">Summary!$P$212</definedName>
    <definedName name="OSRRefP22_14x_0" localSheetId="42">'202'!$P$67</definedName>
    <definedName name="OSRRefP22_14x_0" localSheetId="43">'203'!$P$70</definedName>
    <definedName name="OSRRefP22_14x_0" localSheetId="48">'300'!$P$176</definedName>
    <definedName name="OSRRefP22_14x_0" localSheetId="49">'300 &amp; 317'!$P$198</definedName>
    <definedName name="OSRRefP22_14x_0" localSheetId="50">'301'!$P$69</definedName>
    <definedName name="OSRRefP22_14x_0" localSheetId="55">'308'!$P$101</definedName>
    <definedName name="OSRRefP22_14x_0" localSheetId="67">'310'!$P$79</definedName>
    <definedName name="OSRRefP22_14x_0" localSheetId="75">'310 &amp; 491'!$P$90</definedName>
    <definedName name="OSRRefP22_14x_0" localSheetId="56">'311'!$P$101</definedName>
    <definedName name="OSRRefP22_14x_0" localSheetId="60">'315'!$P$101</definedName>
    <definedName name="OSRRefP22_14x_0" localSheetId="70">'321'!$P$72</definedName>
    <definedName name="OSRRefP22_14x_0" localSheetId="72">'325'!$P$75:$P$80</definedName>
    <definedName name="OSRRefP22_14x_0" localSheetId="61">'326'!$P$91:$P$93</definedName>
    <definedName name="OSRRefP22_14x_0" localSheetId="59">'331'!$P$103:$P$104</definedName>
    <definedName name="OSRRefP22_14x_0" localSheetId="77">'405'!$P$83</definedName>
    <definedName name="OSRRefP22_14x_0" localSheetId="79">'411'!$P$80</definedName>
    <definedName name="OSRRefP22_14x_0" localSheetId="82">'414'!$P$76</definedName>
    <definedName name="OSRRefP22_14x_0" localSheetId="83">'415'!$P$76:$P$82</definedName>
    <definedName name="OSRRefP22_14x_0" localSheetId="84">'418'!$P$80</definedName>
    <definedName name="OSRRefP22_14x_0" localSheetId="92">'433'!$P$82:$P$83</definedName>
    <definedName name="OSRRefP22_14x_0" localSheetId="94">'444'!$P$82</definedName>
    <definedName name="OSRRefP22_14x_0" localSheetId="96">'450'!$P$77:$P$78</definedName>
    <definedName name="OSRRefP22_14x_0" localSheetId="76">'491'!$P$88:$P$92</definedName>
    <definedName name="OSRRefP22_14x_0" localSheetId="90">'492'!$P$79:$P$87</definedName>
    <definedName name="OSRRefP22_14x_0" localSheetId="39">'Div 2'!$P$72:$P$75</definedName>
    <definedName name="OSRRefP22_14x_0" localSheetId="47">'Div 3'!$P$182</definedName>
    <definedName name="OSRRefP22_14x_0" localSheetId="74">'Div 4'!$P$86</definedName>
    <definedName name="OSRRefP22_14x_0" localSheetId="2">Summary!$P$214</definedName>
    <definedName name="OSRRefP22_15x_0" localSheetId="48">'300'!$P$178</definedName>
    <definedName name="OSRRefP22_15x_0" localSheetId="49">'300 &amp; 317'!$P$200</definedName>
    <definedName name="OSRRefP22_15x_0" localSheetId="50">'301'!$P$71:$P$73</definedName>
    <definedName name="OSRRefP22_15x_0" localSheetId="67">'310'!$P$81</definedName>
    <definedName name="OSRRefP22_15x_0" localSheetId="75">'310 &amp; 491'!$P$92:$P$95</definedName>
    <definedName name="OSRRefP22_15x_0" localSheetId="60">'315'!$P$103</definedName>
    <definedName name="OSRRefP22_15x_0" localSheetId="72">'325'!$P$82</definedName>
    <definedName name="OSRRefP22_15x_0" localSheetId="61">'326'!$P$95:$P$96</definedName>
    <definedName name="OSRRefP22_15x_0" localSheetId="59">'331'!$P$106:$P$108</definedName>
    <definedName name="OSRRefP22_15x_0" localSheetId="77">'405'!$P$85</definedName>
    <definedName name="OSRRefP22_15x_0" localSheetId="83">'415'!$P$84</definedName>
    <definedName name="OSRRefP22_15x_0" localSheetId="84">'418'!$P$82</definedName>
    <definedName name="OSRRefP22_15x_0" localSheetId="94">'444'!$P$84</definedName>
    <definedName name="OSRRefP22_15x_0" localSheetId="76">'491'!$P$94</definedName>
    <definedName name="OSRRefP22_15x_0" localSheetId="90">'492'!$P$89</definedName>
    <definedName name="OSRRefP22_15x_0" localSheetId="39">'Div 2'!$P$77:$P$78</definedName>
    <definedName name="OSRRefP22_15x_0" localSheetId="47">'Div 3'!$P$184</definedName>
    <definedName name="OSRRefP22_15x_0" localSheetId="74">'Div 4'!$P$88:$P$91</definedName>
    <definedName name="OSRRefP22_15x_0" localSheetId="2">Summary!$P$216</definedName>
    <definedName name="OSRRefP22_16x_0" localSheetId="48">'300'!$P$180:$P$182</definedName>
    <definedName name="OSRRefP22_16x_0" localSheetId="49">'300 &amp; 317'!$P$202:$P$204</definedName>
    <definedName name="OSRRefP22_16x_0" localSheetId="50">'301'!$P$75:$P$77</definedName>
    <definedName name="OSRRefP22_16x_0" localSheetId="67">'310'!$P$83</definedName>
    <definedName name="OSRRefP22_16x_0" localSheetId="75">'310 &amp; 491'!$P$97:$P$98</definedName>
    <definedName name="OSRRefP22_16x_0" localSheetId="72">'325'!$P$84</definedName>
    <definedName name="OSRRefP22_16x_0" localSheetId="61">'326'!$P$98:$P$102</definedName>
    <definedName name="OSRRefP22_16x_0" localSheetId="59">'331'!$P$110:$P$112</definedName>
    <definedName name="OSRRefP22_16x_0" localSheetId="77">'405'!$P$87</definedName>
    <definedName name="OSRRefP22_16x_0" localSheetId="83">'415'!$P$86:$P$87</definedName>
    <definedName name="OSRRefP22_16x_0" localSheetId="76">'491'!$P$96:$P$105</definedName>
    <definedName name="OSRRefP22_16x_0" localSheetId="90">'492'!$P$91</definedName>
    <definedName name="OSRRefP22_16x_0" localSheetId="39">'Div 2'!$P$80:$P$81</definedName>
    <definedName name="OSRRefP22_16x_0" localSheetId="47">'Div 3'!$P$186</definedName>
    <definedName name="OSRRefP22_16x_0" localSheetId="74">'Div 4'!$P$93:$P$94</definedName>
    <definedName name="OSRRefP22_16x_0" localSheetId="2">Summary!$P$218</definedName>
    <definedName name="OSRRefP22_17x_0" localSheetId="48">'300'!$P$184:$P$187</definedName>
    <definedName name="OSRRefP22_17x_0" localSheetId="49">'300 &amp; 317'!$P$206:$P$209</definedName>
    <definedName name="OSRRefP22_17x_0" localSheetId="50">'301'!$P$79:$P$80</definedName>
    <definedName name="OSRRefP22_17x_0" localSheetId="67">'310'!$P$85:$P$89</definedName>
    <definedName name="OSRRefP22_17x_0" localSheetId="75">'310 &amp; 491'!$P$100:$P$105</definedName>
    <definedName name="OSRRefP22_17x_0" localSheetId="61">'326'!$P$104:$P$105</definedName>
    <definedName name="OSRRefP22_17x_0" localSheetId="59">'331'!$P$114:$P$115</definedName>
    <definedName name="OSRRefP22_17x_0" localSheetId="83">'415'!$P$89</definedName>
    <definedName name="OSRRefP22_17x_0" localSheetId="76">'491'!$P$107:$P$108</definedName>
    <definedName name="OSRRefP22_17x_0" localSheetId="90">'492'!$P$93:$P$94</definedName>
    <definedName name="OSRRefP22_17x_0" localSheetId="39">'Div 2'!$P$83:$P$86</definedName>
    <definedName name="OSRRefP22_17x_0" localSheetId="47">'Div 3'!$P$188</definedName>
    <definedName name="OSRRefP22_17x_0" localSheetId="74">'Div 4'!$P$96:$P$100</definedName>
    <definedName name="OSRRefP22_17x_0" localSheetId="2">Summary!$P$220</definedName>
    <definedName name="OSRRefP22_18x_0" localSheetId="48">'300'!$P$189:$P$192</definedName>
    <definedName name="OSRRefP22_18x_0" localSheetId="49">'300 &amp; 317'!$P$211:$P$214</definedName>
    <definedName name="OSRRefP22_18x_0" localSheetId="50">'301'!$P$82:$P$86</definedName>
    <definedName name="OSRRefP22_18x_0" localSheetId="67">'310'!$P$91</definedName>
    <definedName name="OSRRefP22_18x_0" localSheetId="75">'310 &amp; 491'!$P$107</definedName>
    <definedName name="OSRRefP22_18x_0" localSheetId="61">'326'!$P$107</definedName>
    <definedName name="OSRRefP22_18x_0" localSheetId="59">'331'!$P$117:$P$121</definedName>
    <definedName name="OSRRefP22_18x_0" localSheetId="76">'491'!$P$110</definedName>
    <definedName name="OSRRefP22_18x_0" localSheetId="39">'Div 2'!$P$88:$P$89</definedName>
    <definedName name="OSRRefP22_18x_0" localSheetId="47">'Div 3'!$P$190:$P$192</definedName>
    <definedName name="OSRRefP22_18x_0" localSheetId="74">'Div 4'!$P$102</definedName>
    <definedName name="OSRRefP22_18x_0" localSheetId="2">Summary!$P$222:$P$225</definedName>
    <definedName name="OSRRefP22_19x_0" localSheetId="48">'300'!$P$194:$P$195</definedName>
    <definedName name="OSRRefP22_19x_0" localSheetId="49">'300 &amp; 317'!$P$216:$P$217</definedName>
    <definedName name="OSRRefP22_19x_0" localSheetId="50">'301'!$P$88</definedName>
    <definedName name="OSRRefP22_19x_0" localSheetId="67">'310'!$P$93:$P$98</definedName>
    <definedName name="OSRRefP22_19x_0" localSheetId="75">'310 &amp; 491'!$P$109:$P$118</definedName>
    <definedName name="OSRRefP22_19x_0" localSheetId="61">'326'!$P$109</definedName>
    <definedName name="OSRRefP22_19x_0" localSheetId="59">'331'!$P$123:$P$124</definedName>
    <definedName name="OSRRefP22_19x_0" localSheetId="76">'491'!$P$112:$P$114</definedName>
    <definedName name="OSRRefP22_19x_0" localSheetId="39">'Div 2'!$P$91</definedName>
    <definedName name="OSRRefP22_19x_0" localSheetId="47">'Div 3'!$P$194:$P$197</definedName>
    <definedName name="OSRRefP22_19x_0" localSheetId="74">'Div 4'!$P$104:$P$113</definedName>
    <definedName name="OSRRefP22_19x_0" localSheetId="2">Summary!$P$227:$P$230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'300'!$P$135:$P$144</definedName>
    <definedName name="OSRRefP22_1x_0" localSheetId="49">'300 &amp; 317'!$P$157:$P$166</definedName>
    <definedName name="OSRRefP22_1x_0" localSheetId="50">'301'!$P$30:$P$39</definedName>
    <definedName name="OSRRefP22_1x_0" localSheetId="51">'306'!$P$30:$P$39</definedName>
    <definedName name="OSRRefP22_1x_0" localSheetId="53">'307'!$P$61:$P$70</definedName>
    <definedName name="OSRRefP22_1x_0" localSheetId="55">'308'!$P$62:$P$71</definedName>
    <definedName name="OSRRefP22_1x_0" localSheetId="68">'309'!$P$36:$P$45</definedName>
    <definedName name="OSRRefP22_1x_0" localSheetId="67">'310'!$P$43:$P$52</definedName>
    <definedName name="OSRRefP22_1x_0" localSheetId="75">'310 &amp; 491'!$P$51:$P$60</definedName>
    <definedName name="OSRRefP22_1x_0" localSheetId="56">'311'!$P$62:$P$71</definedName>
    <definedName name="OSRRefP22_1x_0" localSheetId="69">'313'!$P$39:$P$48</definedName>
    <definedName name="OSRRefP22_1x_0" localSheetId="54">'314'!$P$58:$P$67</definedName>
    <definedName name="OSRRefP22_1x_0" localSheetId="60">'315'!$P$60:$P$69</definedName>
    <definedName name="OSRRefP22_1x_0" localSheetId="63">'316'!$P$42:$P$51</definedName>
    <definedName name="OSRRefP22_1x_0" localSheetId="66">'317'!$P$61:$P$70</definedName>
    <definedName name="OSRRefP22_1x_0" localSheetId="64">'320'!$P$36:$P$45</definedName>
    <definedName name="OSRRefP22_1x_0" localSheetId="70">'321'!$P$35:$P$44</definedName>
    <definedName name="OSRRefP22_1x_0" localSheetId="71">'322'!$P$36:$P$45</definedName>
    <definedName name="OSRRefP22_1x_0" localSheetId="72">'325'!$P$36:$P$45</definedName>
    <definedName name="OSRRefP22_1x_0" localSheetId="61">'326'!$P$54:$P$63</definedName>
    <definedName name="OSRRefP22_1x_0" localSheetId="52">'330'!$P$73:$P$82</definedName>
    <definedName name="OSRRefP22_1x_0" localSheetId="59">'331'!$P$67:$P$76</definedName>
    <definedName name="OSRRefP22_1x_0" localSheetId="62">'332'!$P$49:$P$58</definedName>
    <definedName name="OSRRefP22_1x_0" localSheetId="77">'405'!$P$36:$P$45</definedName>
    <definedName name="OSRRefP22_1x_0" localSheetId="78">'406'!$P$32:$P$41</definedName>
    <definedName name="OSRRefP22_1x_0" localSheetId="79">'411'!$P$31:$P$40</definedName>
    <definedName name="OSRRefP22_1x_0" localSheetId="80">'412'!$P$36:$P$45</definedName>
    <definedName name="OSRRefP22_1x_0" localSheetId="81">'413'!$P$37:$P$46</definedName>
    <definedName name="OSRRefP22_1x_0" localSheetId="82">'414'!$P$37:$P$46</definedName>
    <definedName name="OSRRefP22_1x_0" localSheetId="83">'415'!$P$36:$P$45</definedName>
    <definedName name="OSRRefP22_1x_0" localSheetId="84">'418'!$P$37:$P$46</definedName>
    <definedName name="OSRRefP22_1x_0" localSheetId="86">'423'!$P$30:$P$39</definedName>
    <definedName name="OSRRefP22_1x_0" localSheetId="87">'424'!$P$32:$P$41</definedName>
    <definedName name="OSRRefP22_1x_0" localSheetId="88">'425'!$P$37:$P$46</definedName>
    <definedName name="OSRRefP22_1x_0" localSheetId="91">'430'!$P$30:$P$39</definedName>
    <definedName name="OSRRefP22_1x_0" localSheetId="92">'433'!$P$38:$P$47</definedName>
    <definedName name="OSRRefP22_1x_0" localSheetId="93">'435'!$P$31:$P$40</definedName>
    <definedName name="OSRRefP22_1x_0" localSheetId="94">'444'!$P$38:$P$47</definedName>
    <definedName name="OSRRefP22_1x_0" localSheetId="96">'450'!$P$35:$P$44</definedName>
    <definedName name="OSRRefP22_1x_0" localSheetId="89">'455'!$P$29:$P$38</definedName>
    <definedName name="OSRRefP22_1x_0" localSheetId="76">'491'!$P$45:$P$54</definedName>
    <definedName name="OSRRefP22_1x_0" localSheetId="90">'492'!$P$38:$P$47</definedName>
    <definedName name="OSRRefP22_1x_0" localSheetId="98">'501'!$P$31:$P$40</definedName>
    <definedName name="OSRRefP22_1x_0" localSheetId="39">'Div 2'!$P$32:$P$41</definedName>
    <definedName name="OSRRefP22_1x_0" localSheetId="47">'Div 3'!$P$141:$P$150</definedName>
    <definedName name="OSRRefP22_1x_0" localSheetId="74">'Div 4'!$P$46:$P$55</definedName>
    <definedName name="OSRRefP22_1x_0" localSheetId="97">'Div 5'!$P$31:$P$40</definedName>
    <definedName name="OSRRefP22_1x_0" localSheetId="65">'Div 6'!$P$61:$P$70</definedName>
    <definedName name="OSRRefP22_1x_0" localSheetId="2">Summary!$P$170:$P$179</definedName>
    <definedName name="OSRRefP22_20x_0" localSheetId="48">'300'!$P$197:$P$203</definedName>
    <definedName name="OSRRefP22_20x_0" localSheetId="49">'300 &amp; 317'!$P$219:$P$225</definedName>
    <definedName name="OSRRefP22_20x_0" localSheetId="50">'301'!$P$90</definedName>
    <definedName name="OSRRefP22_20x_0" localSheetId="67">'310'!$P$100</definedName>
    <definedName name="OSRRefP22_20x_0" localSheetId="75">'310 &amp; 491'!$P$120:$P$121</definedName>
    <definedName name="OSRRefP22_20x_0" localSheetId="61">'326'!$P$111</definedName>
    <definedName name="OSRRefP22_20x_0" localSheetId="59">'331'!$P$126</definedName>
    <definedName name="OSRRefP22_20x_0" localSheetId="76">'491'!$P$116</definedName>
    <definedName name="OSRRefP22_20x_0" localSheetId="39">'Div 2'!$P$93</definedName>
    <definedName name="OSRRefP22_20x_0" localSheetId="47">'Div 3'!$P$199:$P$204</definedName>
    <definedName name="OSRRefP22_20x_0" localSheetId="74">'Div 4'!$P$115:$P$116</definedName>
    <definedName name="OSRRefP22_20x_0" localSheetId="2">Summary!$P$232:$P$237</definedName>
    <definedName name="OSRRefP22_21x_0" localSheetId="48">'300'!$P$205:$P$206</definedName>
    <definedName name="OSRRefP22_21x_0" localSheetId="49">'300 &amp; 317'!$P$227:$P$228</definedName>
    <definedName name="OSRRefP22_21x_0" localSheetId="50">'301'!$P$92:$P$93</definedName>
    <definedName name="OSRRefP22_21x_0" localSheetId="67">'310'!$P$102</definedName>
    <definedName name="OSRRefP22_21x_0" localSheetId="75">'310 &amp; 491'!$P$123</definedName>
    <definedName name="OSRRefP22_21x_0" localSheetId="59">'331'!$P$128</definedName>
    <definedName name="OSRRefP22_21x_0" localSheetId="47">'Div 3'!$P$206:$P$207</definedName>
    <definedName name="OSRRefP22_21x_0" localSheetId="74">'Div 4'!$P$118</definedName>
    <definedName name="OSRRefP22_21x_0" localSheetId="2">Summary!$P$239:$P$240</definedName>
    <definedName name="OSRRefP22_22x_0" localSheetId="48">'300'!$P$208</definedName>
    <definedName name="OSRRefP22_22x_0" localSheetId="49">'300 &amp; 317'!$P$230</definedName>
    <definedName name="OSRRefP22_22x_0" localSheetId="50">'301'!$P$95</definedName>
    <definedName name="OSRRefP22_22x_0" localSheetId="75">'310 &amp; 491'!$P$125:$P$127</definedName>
    <definedName name="OSRRefP22_22x_0" localSheetId="59">'331'!$P$130</definedName>
    <definedName name="OSRRefP22_22x_0" localSheetId="47">'Div 3'!$P$209:$P$216</definedName>
    <definedName name="OSRRefP22_22x_0" localSheetId="74">'Div 4'!$P$120:$P$122</definedName>
    <definedName name="OSRRefP22_22x_0" localSheetId="2">Summary!$P$242:$P$251</definedName>
    <definedName name="OSRRefP22_23x_0" localSheetId="48">'300'!$P$210:$P$212</definedName>
    <definedName name="OSRRefP22_23x_0" localSheetId="49">'300 &amp; 317'!$P$232:$P$234</definedName>
    <definedName name="OSRRefP22_23x_0" localSheetId="75">'310 &amp; 491'!$P$129</definedName>
    <definedName name="OSRRefP22_23x_0" localSheetId="47">'Div 3'!$P$218:$P$219</definedName>
    <definedName name="OSRRefP22_23x_0" localSheetId="74">'Div 4'!$P$124</definedName>
    <definedName name="OSRRefP22_23x_0" localSheetId="2">Summary!$P$253:$P$254</definedName>
    <definedName name="OSRRefP22_24x_0" localSheetId="48">'300'!$P$214</definedName>
    <definedName name="OSRRefP22_24x_0" localSheetId="49">'300 &amp; 317'!$P$236</definedName>
    <definedName name="OSRRefP22_24x_0" localSheetId="47">'Div 3'!$P$221</definedName>
    <definedName name="OSRRefP22_24x_0" localSheetId="2">Summary!$P$256</definedName>
    <definedName name="OSRRefP22_25x_0" localSheetId="47">'Div 3'!$P$223:$P$225</definedName>
    <definedName name="OSRRefP22_25x_0" localSheetId="2">Summary!$P$258:$P$260</definedName>
    <definedName name="OSRRefP22_26x_0" localSheetId="47">'Div 3'!$P$227</definedName>
    <definedName name="OSRRefP22_26x_0" localSheetId="2">Summary!$P$262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'300'!$P$146</definedName>
    <definedName name="OSRRefP22_2x_0" localSheetId="49">'300 &amp; 317'!$P$168</definedName>
    <definedName name="OSRRefP22_2x_0" localSheetId="50">'301'!$P$41</definedName>
    <definedName name="OSRRefP22_2x_0" localSheetId="51">'306'!$P$41</definedName>
    <definedName name="OSRRefP22_2x_0" localSheetId="53">'307'!$P$72</definedName>
    <definedName name="OSRRefP22_2x_0" localSheetId="55">'308'!$P$73</definedName>
    <definedName name="OSRRefP22_2x_0" localSheetId="68">'309'!$P$47</definedName>
    <definedName name="OSRRefP22_2x_0" localSheetId="67">'310'!$P$54</definedName>
    <definedName name="OSRRefP22_2x_0" localSheetId="75">'310 &amp; 491'!$P$62</definedName>
    <definedName name="OSRRefP22_2x_0" localSheetId="56">'311'!$P$73</definedName>
    <definedName name="OSRRefP22_2x_0" localSheetId="69">'313'!$P$50</definedName>
    <definedName name="OSRRefP22_2x_0" localSheetId="54">'314'!$P$69</definedName>
    <definedName name="OSRRefP22_2x_0" localSheetId="60">'315'!$P$71</definedName>
    <definedName name="OSRRefP22_2x_0" localSheetId="63">'316'!$P$53</definedName>
    <definedName name="OSRRefP22_2x_0" localSheetId="66">'317'!$P$72</definedName>
    <definedName name="OSRRefP22_2x_0" localSheetId="64">'320'!$P$47</definedName>
    <definedName name="OSRRefP22_2x_0" localSheetId="70">'321'!$P$46</definedName>
    <definedName name="OSRRefP22_2x_0" localSheetId="71">'322'!$P$47</definedName>
    <definedName name="OSRRefP22_2x_0" localSheetId="72">'325'!$P$47</definedName>
    <definedName name="OSRRefP22_2x_0" localSheetId="61">'326'!$P$65</definedName>
    <definedName name="OSRRefP22_2x_0" localSheetId="52">'330'!$P$84</definedName>
    <definedName name="OSRRefP22_2x_0" localSheetId="59">'331'!$P$78</definedName>
    <definedName name="OSRRefP22_2x_0" localSheetId="62">'332'!$P$60</definedName>
    <definedName name="OSRRefP22_2x_0" localSheetId="77">'405'!$P$47</definedName>
    <definedName name="OSRRefP22_2x_0" localSheetId="78">'406'!$P$43</definedName>
    <definedName name="OSRRefP22_2x_0" localSheetId="79">'411'!$P$42</definedName>
    <definedName name="OSRRefP22_2x_0" localSheetId="80">'412'!$P$47</definedName>
    <definedName name="OSRRefP22_2x_0" localSheetId="81">'413'!$P$48</definedName>
    <definedName name="OSRRefP22_2x_0" localSheetId="82">'414'!$P$48</definedName>
    <definedName name="OSRRefP22_2x_0" localSheetId="83">'415'!$P$47</definedName>
    <definedName name="OSRRefP22_2x_0" localSheetId="84">'418'!$P$48</definedName>
    <definedName name="OSRRefP22_2x_0" localSheetId="86">'423'!$P$41</definedName>
    <definedName name="OSRRefP22_2x_0" localSheetId="87">'424'!$P$43</definedName>
    <definedName name="OSRRefP22_2x_0" localSheetId="88">'425'!$P$48</definedName>
    <definedName name="OSRRefP22_2x_0" localSheetId="91">'430'!$P$41</definedName>
    <definedName name="OSRRefP22_2x_0" localSheetId="92">'433'!$P$49</definedName>
    <definedName name="OSRRefP22_2x_0" localSheetId="93">'435'!$P$42</definedName>
    <definedName name="OSRRefP22_2x_0" localSheetId="94">'444'!$P$49</definedName>
    <definedName name="OSRRefP22_2x_0" localSheetId="96">'450'!$P$46</definedName>
    <definedName name="OSRRefP22_2x_0" localSheetId="76">'491'!$P$56</definedName>
    <definedName name="OSRRefP22_2x_0" localSheetId="90">'492'!$P$49</definedName>
    <definedName name="OSRRefP22_2x_0" localSheetId="98">'501'!$P$42</definedName>
    <definedName name="OSRRefP22_2x_0" localSheetId="39">'Div 2'!$P$43</definedName>
    <definedName name="OSRRefP22_2x_0" localSheetId="47">'Div 3'!$P$152</definedName>
    <definedName name="OSRRefP22_2x_0" localSheetId="74">'Div 4'!$P$57</definedName>
    <definedName name="OSRRefP22_2x_0" localSheetId="97">'Div 5'!$P$42</definedName>
    <definedName name="OSRRefP22_2x_0" localSheetId="65">'Div 6'!$P$72</definedName>
    <definedName name="OSRRefP22_2x_0" localSheetId="2">Summary!$P$181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'204'!$P$44</definedName>
    <definedName name="OSRRefP22_3x_0" localSheetId="45">'205'!$P$43</definedName>
    <definedName name="OSRRefP22_3x_0" localSheetId="46">'206'!$P$43</definedName>
    <definedName name="OSRRefP22_3x_0" localSheetId="48">'300'!$P$148:$P$149</definedName>
    <definedName name="OSRRefP22_3x_0" localSheetId="49">'300 &amp; 317'!$P$170:$P$171</definedName>
    <definedName name="OSRRefP22_3x_0" localSheetId="50">'301'!$P$43</definedName>
    <definedName name="OSRRefP22_3x_0" localSheetId="51">'306'!$P$43</definedName>
    <definedName name="OSRRefP22_3x_0" localSheetId="53">'307'!$P$74</definedName>
    <definedName name="OSRRefP22_3x_0" localSheetId="55">'308'!$P$75</definedName>
    <definedName name="OSRRefP22_3x_0" localSheetId="68">'309'!$P$49</definedName>
    <definedName name="OSRRefP22_3x_0" localSheetId="67">'310'!$P$56</definedName>
    <definedName name="OSRRefP22_3x_0" localSheetId="75">'310 &amp; 491'!$P$64</definedName>
    <definedName name="OSRRefP22_3x_0" localSheetId="56">'311'!$P$75</definedName>
    <definedName name="OSRRefP22_3x_0" localSheetId="69">'313'!$P$52</definedName>
    <definedName name="OSRRefP22_3x_0" localSheetId="54">'314'!$P$71</definedName>
    <definedName name="OSRRefP22_3x_0" localSheetId="60">'315'!$P$73</definedName>
    <definedName name="OSRRefP22_3x_0" localSheetId="63">'316'!$P$55</definedName>
    <definedName name="OSRRefP22_3x_0" localSheetId="66">'317'!$P$74</definedName>
    <definedName name="OSRRefP22_3x_0" localSheetId="64">'320'!$P$49:$P$50</definedName>
    <definedName name="OSRRefP22_3x_0" localSheetId="70">'321'!$P$48</definedName>
    <definedName name="OSRRefP22_3x_0" localSheetId="71">'322'!$P$49</definedName>
    <definedName name="OSRRefP22_3x_0" localSheetId="72">'325'!$P$49</definedName>
    <definedName name="OSRRefP22_3x_0" localSheetId="61">'326'!$P$67:$P$68</definedName>
    <definedName name="OSRRefP22_3x_0" localSheetId="52">'330'!$P$86</definedName>
    <definedName name="OSRRefP22_3x_0" localSheetId="59">'331'!$P$80:$P$81</definedName>
    <definedName name="OSRRefP22_3x_0" localSheetId="62">'332'!$P$62</definedName>
    <definedName name="OSRRefP22_3x_0" localSheetId="77">'405'!$P$49</definedName>
    <definedName name="OSRRefP22_3x_0" localSheetId="78">'406'!$P$45</definedName>
    <definedName name="OSRRefP22_3x_0" localSheetId="79">'411'!$P$44:$P$46</definedName>
    <definedName name="OSRRefP22_3x_0" localSheetId="80">'412'!$P$49</definedName>
    <definedName name="OSRRefP22_3x_0" localSheetId="81">'413'!$P$50</definedName>
    <definedName name="OSRRefP22_3x_0" localSheetId="82">'414'!$P$50</definedName>
    <definedName name="OSRRefP22_3x_0" localSheetId="83">'415'!$P$49</definedName>
    <definedName name="OSRRefP22_3x_0" localSheetId="84">'418'!$P$50</definedName>
    <definedName name="OSRRefP22_3x_0" localSheetId="86">'423'!$P$43</definedName>
    <definedName name="OSRRefP22_3x_0" localSheetId="87">'424'!$P$45</definedName>
    <definedName name="OSRRefP22_3x_0" localSheetId="88">'425'!$P$50</definedName>
    <definedName name="OSRRefP22_3x_0" localSheetId="91">'430'!$P$43</definedName>
    <definedName name="OSRRefP22_3x_0" localSheetId="92">'433'!$P$51</definedName>
    <definedName name="OSRRefP22_3x_0" localSheetId="93">'435'!$P$44</definedName>
    <definedName name="OSRRefP22_3x_0" localSheetId="94">'444'!$P$51</definedName>
    <definedName name="OSRRefP22_3x_0" localSheetId="96">'450'!$P$48:$P$49</definedName>
    <definedName name="OSRRefP22_3x_0" localSheetId="76">'491'!$P$58</definedName>
    <definedName name="OSRRefP22_3x_0" localSheetId="90">'492'!$P$51:$P$52</definedName>
    <definedName name="OSRRefP22_3x_0" localSheetId="98">'501'!$P$44</definedName>
    <definedName name="OSRRefP22_3x_0" localSheetId="39">'Div 2'!$P$45</definedName>
    <definedName name="OSRRefP22_3x_0" localSheetId="47">'Div 3'!$P$154:$P$155</definedName>
    <definedName name="OSRRefP22_3x_0" localSheetId="74">'Div 4'!$P$59:$P$60</definedName>
    <definedName name="OSRRefP22_3x_0" localSheetId="97">'Div 5'!$P$44</definedName>
    <definedName name="OSRRefP22_3x_0" localSheetId="65">'Div 6'!$P$74</definedName>
    <definedName name="OSRRefP22_3x_0" localSheetId="2">Summary!$P$183:$P$184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</definedName>
    <definedName name="OSRRefP22_4x_0" localSheetId="46">'206'!$P$45</definedName>
    <definedName name="OSRRefP22_4x_0" localSheetId="48">'300'!$P$151</definedName>
    <definedName name="OSRRefP22_4x_0" localSheetId="49">'300 &amp; 317'!$P$173</definedName>
    <definedName name="OSRRefP22_4x_0" localSheetId="50">'301'!$P$45</definedName>
    <definedName name="OSRRefP22_4x_0" localSheetId="51">'306'!$P$45</definedName>
    <definedName name="OSRRefP22_4x_0" localSheetId="53">'307'!$P$76</definedName>
    <definedName name="OSRRefP22_4x_0" localSheetId="55">'308'!$P$77</definedName>
    <definedName name="OSRRefP22_4x_0" localSheetId="68">'309'!$P$51</definedName>
    <definedName name="OSRRefP22_4x_0" localSheetId="67">'310'!$P$58</definedName>
    <definedName name="OSRRefP22_4x_0" localSheetId="75">'310 &amp; 491'!$P$66</definedName>
    <definedName name="OSRRefP22_4x_0" localSheetId="56">'311'!$P$77</definedName>
    <definedName name="OSRRefP22_4x_0" localSheetId="69">'313'!$P$54</definedName>
    <definedName name="OSRRefP22_4x_0" localSheetId="54">'314'!$P$73</definedName>
    <definedName name="OSRRefP22_4x_0" localSheetId="60">'315'!$P$75</definedName>
    <definedName name="OSRRefP22_4x_0" localSheetId="63">'316'!$P$57</definedName>
    <definedName name="OSRRefP22_4x_0" localSheetId="66">'317'!$P$76</definedName>
    <definedName name="OSRRefP22_4x_0" localSheetId="64">'320'!$P$52</definedName>
    <definedName name="OSRRefP22_4x_0" localSheetId="70">'321'!$P$50</definedName>
    <definedName name="OSRRefP22_4x_0" localSheetId="71">'322'!$P$51</definedName>
    <definedName name="OSRRefP22_4x_0" localSheetId="72">'325'!$P$51</definedName>
    <definedName name="OSRRefP22_4x_0" localSheetId="61">'326'!$P$70</definedName>
    <definedName name="OSRRefP22_4x_0" localSheetId="52">'330'!$P$88</definedName>
    <definedName name="OSRRefP22_4x_0" localSheetId="59">'331'!$P$83</definedName>
    <definedName name="OSRRefP22_4x_0" localSheetId="62">'332'!$P$64</definedName>
    <definedName name="OSRRefP22_4x_0" localSheetId="77">'405'!$P$51</definedName>
    <definedName name="OSRRefP22_4x_0" localSheetId="78">'406'!$P$47</definedName>
    <definedName name="OSRRefP22_4x_0" localSheetId="79">'411'!$P$48</definedName>
    <definedName name="OSRRefP22_4x_0" localSheetId="80">'412'!$P$51</definedName>
    <definedName name="OSRRefP22_4x_0" localSheetId="81">'413'!$P$52</definedName>
    <definedName name="OSRRefP22_4x_0" localSheetId="82">'414'!$P$52</definedName>
    <definedName name="OSRRefP22_4x_0" localSheetId="83">'415'!$P$51</definedName>
    <definedName name="OSRRefP22_4x_0" localSheetId="84">'418'!$P$52</definedName>
    <definedName name="OSRRefP22_4x_0" localSheetId="86">'423'!$P$45</definedName>
    <definedName name="OSRRefP22_4x_0" localSheetId="87">'424'!$P$47</definedName>
    <definedName name="OSRRefP22_4x_0" localSheetId="88">'425'!$P$52</definedName>
    <definedName name="OSRRefP22_4x_0" localSheetId="91">'430'!$P$45</definedName>
    <definedName name="OSRRefP22_4x_0" localSheetId="92">'433'!$P$53</definedName>
    <definedName name="OSRRefP22_4x_0" localSheetId="93">'435'!$P$46</definedName>
    <definedName name="OSRRefP22_4x_0" localSheetId="94">'444'!$P$53</definedName>
    <definedName name="OSRRefP22_4x_0" localSheetId="96">'450'!$P$51</definedName>
    <definedName name="OSRRefP22_4x_0" localSheetId="76">'491'!$P$60</definedName>
    <definedName name="OSRRefP22_4x_0" localSheetId="90">'492'!$P$54</definedName>
    <definedName name="OSRRefP22_4x_0" localSheetId="98">'501'!$P$46</definedName>
    <definedName name="OSRRefP22_4x_0" localSheetId="39">'Div 2'!$P$47</definedName>
    <definedName name="OSRRefP22_4x_0" localSheetId="47">'Div 3'!$P$157</definedName>
    <definedName name="OSRRefP22_4x_0" localSheetId="74">'Div 4'!$P$62</definedName>
    <definedName name="OSRRefP22_4x_0" localSheetId="97">'Div 5'!$P$46</definedName>
    <definedName name="OSRRefP22_4x_0" localSheetId="65">'Div 6'!$P$76</definedName>
    <definedName name="OSRRefP22_4x_0" localSheetId="2">Summary!$P$186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</definedName>
    <definedName name="OSRRefP22_5x_0" localSheetId="45">'205'!$P$47</definedName>
    <definedName name="OSRRefP22_5x_0" localSheetId="46">'206'!$P$47</definedName>
    <definedName name="OSRRefP22_5x_0" localSheetId="48">'300'!$P$153:$P$155</definedName>
    <definedName name="OSRRefP22_5x_0" localSheetId="49">'300 &amp; 317'!$P$175:$P$177</definedName>
    <definedName name="OSRRefP22_5x_0" localSheetId="50">'301'!$P$47:$P$49</definedName>
    <definedName name="OSRRefP22_5x_0" localSheetId="51">'306'!$P$47</definedName>
    <definedName name="OSRRefP22_5x_0" localSheetId="53">'307'!$P$78</definedName>
    <definedName name="OSRRefP22_5x_0" localSheetId="55">'308'!$P$79</definedName>
    <definedName name="OSRRefP22_5x_0" localSheetId="68">'309'!$P$53</definedName>
    <definedName name="OSRRefP22_5x_0" localSheetId="67">'310'!$P$60:$P$61</definedName>
    <definedName name="OSRRefP22_5x_0" localSheetId="75">'310 &amp; 491'!$P$68:$P$71</definedName>
    <definedName name="OSRRefP22_5x_0" localSheetId="56">'311'!$P$79</definedName>
    <definedName name="OSRRefP22_5x_0" localSheetId="69">'313'!$P$56</definedName>
    <definedName name="OSRRefP22_5x_0" localSheetId="54">'314'!$P$75</definedName>
    <definedName name="OSRRefP22_5x_0" localSheetId="60">'315'!$P$77</definedName>
    <definedName name="OSRRefP22_5x_0" localSheetId="63">'316'!$P$59</definedName>
    <definedName name="OSRRefP22_5x_0" localSheetId="66">'317'!$P$78</definedName>
    <definedName name="OSRRefP22_5x_0" localSheetId="64">'320'!$P$54</definedName>
    <definedName name="OSRRefP22_5x_0" localSheetId="70">'321'!$P$52</definedName>
    <definedName name="OSRRefP22_5x_0" localSheetId="71">'322'!$P$53</definedName>
    <definedName name="OSRRefP22_5x_0" localSheetId="72">'325'!$P$53:$P$54</definedName>
    <definedName name="OSRRefP22_5x_0" localSheetId="61">'326'!$P$72</definedName>
    <definedName name="OSRRefP22_5x_0" localSheetId="52">'330'!$P$90</definedName>
    <definedName name="OSRRefP22_5x_0" localSheetId="59">'331'!$P$85</definedName>
    <definedName name="OSRRefP22_5x_0" localSheetId="62">'332'!$P$66</definedName>
    <definedName name="OSRRefP22_5x_0" localSheetId="77">'405'!$P$53:$P$54</definedName>
    <definedName name="OSRRefP22_5x_0" localSheetId="78">'406'!$P$49</definedName>
    <definedName name="OSRRefP22_5x_0" localSheetId="79">'411'!$P$50</definedName>
    <definedName name="OSRRefP22_5x_0" localSheetId="80">'412'!$P$53</definedName>
    <definedName name="OSRRefP22_5x_0" localSheetId="81">'413'!$P$54</definedName>
    <definedName name="OSRRefP22_5x_0" localSheetId="82">'414'!$P$54:$P$55</definedName>
    <definedName name="OSRRefP22_5x_0" localSheetId="83">'415'!$P$53:$P$54</definedName>
    <definedName name="OSRRefP22_5x_0" localSheetId="84">'418'!$P$54:$P$56</definedName>
    <definedName name="OSRRefP22_5x_0" localSheetId="86">'423'!$P$47</definedName>
    <definedName name="OSRRefP22_5x_0" localSheetId="87">'424'!$P$49</definedName>
    <definedName name="OSRRefP22_5x_0" localSheetId="88">'425'!$P$54</definedName>
    <definedName name="OSRRefP22_5x_0" localSheetId="91">'430'!$P$47</definedName>
    <definedName name="OSRRefP22_5x_0" localSheetId="92">'433'!$P$55</definedName>
    <definedName name="OSRRefP22_5x_0" localSheetId="93">'435'!$P$48</definedName>
    <definedName name="OSRRefP22_5x_0" localSheetId="94">'444'!$P$55</definedName>
    <definedName name="OSRRefP22_5x_0" localSheetId="96">'450'!$P$53</definedName>
    <definedName name="OSRRefP22_5x_0" localSheetId="76">'491'!$P$62:$P$65</definedName>
    <definedName name="OSRRefP22_5x_0" localSheetId="90">'492'!$P$56</definedName>
    <definedName name="OSRRefP22_5x_0" localSheetId="98">'501'!$P$48</definedName>
    <definedName name="OSRRefP22_5x_0" localSheetId="39">'Div 2'!$P$49</definedName>
    <definedName name="OSRRefP22_5x_0" localSheetId="47">'Div 3'!$P$159:$P$161</definedName>
    <definedName name="OSRRefP22_5x_0" localSheetId="74">'Div 4'!$P$64:$P$67</definedName>
    <definedName name="OSRRefP22_5x_0" localSheetId="97">'Div 5'!$P$48</definedName>
    <definedName name="OSRRefP22_5x_0" localSheetId="65">'Div 6'!$P$78</definedName>
    <definedName name="OSRRefP22_5x_0" localSheetId="2">Summary!$P$188:$P$191</definedName>
    <definedName name="OSRRefP22_6x_0" localSheetId="41">'201'!$P$49</definedName>
    <definedName name="OSRRefP22_6x_0" localSheetId="42">'202'!$P$49</definedName>
    <definedName name="OSRRefP22_6x_0" localSheetId="43">'203'!$P$50</definedName>
    <definedName name="OSRRefP22_6x_0" localSheetId="44">'204'!$P$50:$P$53</definedName>
    <definedName name="OSRRefP22_6x_0" localSheetId="45">'205'!$P$49</definedName>
    <definedName name="OSRRefP22_6x_0" localSheetId="46">'206'!$P$49:$P$50</definedName>
    <definedName name="OSRRefP22_6x_0" localSheetId="48">'300'!$P$157:$P$158</definedName>
    <definedName name="OSRRefP22_6x_0" localSheetId="49">'300 &amp; 317'!$P$179:$P$180</definedName>
    <definedName name="OSRRefP22_6x_0" localSheetId="50">'301'!$P$51:$P$52</definedName>
    <definedName name="OSRRefP22_6x_0" localSheetId="51">'306'!$P$49</definedName>
    <definedName name="OSRRefP22_6x_0" localSheetId="53">'307'!$P$80</definedName>
    <definedName name="OSRRefP22_6x_0" localSheetId="55">'308'!$P$81</definedName>
    <definedName name="OSRRefP22_6x_0" localSheetId="68">'309'!$P$55</definedName>
    <definedName name="OSRRefP22_6x_0" localSheetId="67">'310'!$P$63</definedName>
    <definedName name="OSRRefP22_6x_0" localSheetId="75">'310 &amp; 491'!$P$73</definedName>
    <definedName name="OSRRefP22_6x_0" localSheetId="56">'311'!$P$81</definedName>
    <definedName name="OSRRefP22_6x_0" localSheetId="69">'313'!$P$58</definedName>
    <definedName name="OSRRefP22_6x_0" localSheetId="60">'315'!$P$79</definedName>
    <definedName name="OSRRefP22_6x_0" localSheetId="63">'316'!$P$61</definedName>
    <definedName name="OSRRefP22_6x_0" localSheetId="66">'317'!$P$80</definedName>
    <definedName name="OSRRefP22_6x_0" localSheetId="70">'321'!$P$54</definedName>
    <definedName name="OSRRefP22_6x_0" localSheetId="71">'322'!$P$55</definedName>
    <definedName name="OSRRefP22_6x_0" localSheetId="72">'325'!$P$56</definedName>
    <definedName name="OSRRefP22_6x_0" localSheetId="61">'326'!$P$74</definedName>
    <definedName name="OSRRefP22_6x_0" localSheetId="52">'330'!$P$92</definedName>
    <definedName name="OSRRefP22_6x_0" localSheetId="59">'331'!$P$87</definedName>
    <definedName name="OSRRefP22_6x_0" localSheetId="62">'332'!$P$68</definedName>
    <definedName name="OSRRefP22_6x_0" localSheetId="77">'405'!$P$56</definedName>
    <definedName name="OSRRefP22_6x_0" localSheetId="78">'406'!$P$51</definedName>
    <definedName name="OSRRefP22_6x_0" localSheetId="79">'411'!$P$52</definedName>
    <definedName name="OSRRefP22_6x_0" localSheetId="80">'412'!$P$55</definedName>
    <definedName name="OSRRefP22_6x_0" localSheetId="81">'413'!$P$56</definedName>
    <definedName name="OSRRefP22_6x_0" localSheetId="82">'414'!$P$57</definedName>
    <definedName name="OSRRefP22_6x_0" localSheetId="83">'415'!$P$56</definedName>
    <definedName name="OSRRefP22_6x_0" localSheetId="84">'418'!$P$58</definedName>
    <definedName name="OSRRefP22_6x_0" localSheetId="87">'424'!$P$51</definedName>
    <definedName name="OSRRefP22_6x_0" localSheetId="88">'425'!$P$56</definedName>
    <definedName name="OSRRefP22_6x_0" localSheetId="91">'430'!$P$49:$P$51</definedName>
    <definedName name="OSRRefP22_6x_0" localSheetId="92">'433'!$P$57</definedName>
    <definedName name="OSRRefP22_6x_0" localSheetId="93">'435'!$P$50</definedName>
    <definedName name="OSRRefP22_6x_0" localSheetId="94">'444'!$P$57</definedName>
    <definedName name="OSRRefP22_6x_0" localSheetId="96">'450'!$P$55</definedName>
    <definedName name="OSRRefP22_6x_0" localSheetId="76">'491'!$P$67</definedName>
    <definedName name="OSRRefP22_6x_0" localSheetId="90">'492'!$P$58</definedName>
    <definedName name="OSRRefP22_6x_0" localSheetId="98">'501'!$P$50</definedName>
    <definedName name="OSRRefP22_6x_0" localSheetId="39">'Div 2'!$P$51</definedName>
    <definedName name="OSRRefP22_6x_0" localSheetId="47">'Div 3'!$P$163:$P$164</definedName>
    <definedName name="OSRRefP22_6x_0" localSheetId="74">'Div 4'!$P$69</definedName>
    <definedName name="OSRRefP22_6x_0" localSheetId="97">'Div 5'!$P$50</definedName>
    <definedName name="OSRRefP22_6x_0" localSheetId="65">'Div 6'!$P$80</definedName>
    <definedName name="OSRRefP22_6x_0" localSheetId="2">Summary!$P$193:$P$194</definedName>
    <definedName name="OSRRefP22_7x_0" localSheetId="41">'201'!$P$51</definedName>
    <definedName name="OSRRefP22_7x_0" localSheetId="42">'202'!$P$51</definedName>
    <definedName name="OSRRefP22_7x_0" localSheetId="43">'203'!$P$52</definedName>
    <definedName name="OSRRefP22_7x_0" localSheetId="44">'204'!$P$55</definedName>
    <definedName name="OSRRefP22_7x_0" localSheetId="45">'205'!$P$51:$P$52</definedName>
    <definedName name="OSRRefP22_7x_0" localSheetId="46">'206'!$P$52</definedName>
    <definedName name="OSRRefP22_7x_0" localSheetId="48">'300'!$P$160:$P$161</definedName>
    <definedName name="OSRRefP22_7x_0" localSheetId="49">'300 &amp; 317'!$P$182:$P$183</definedName>
    <definedName name="OSRRefP22_7x_0" localSheetId="50">'301'!$P$54:$P$55</definedName>
    <definedName name="OSRRefP22_7x_0" localSheetId="51">'306'!$P$51:$P$52</definedName>
    <definedName name="OSRRefP22_7x_0" localSheetId="53">'307'!$P$82</definedName>
    <definedName name="OSRRefP22_7x_0" localSheetId="55">'308'!$P$83</definedName>
    <definedName name="OSRRefP22_7x_0" localSheetId="68">'309'!$P$57</definedName>
    <definedName name="OSRRefP22_7x_0" localSheetId="67">'310'!$P$65</definedName>
    <definedName name="OSRRefP22_7x_0" localSheetId="75">'310 &amp; 491'!$P$75</definedName>
    <definedName name="OSRRefP22_7x_0" localSheetId="56">'311'!$P$83</definedName>
    <definedName name="OSRRefP22_7x_0" localSheetId="69">'313'!$P$60</definedName>
    <definedName name="OSRRefP22_7x_0" localSheetId="60">'315'!$P$81</definedName>
    <definedName name="OSRRefP22_7x_0" localSheetId="63">'316'!$P$63</definedName>
    <definedName name="OSRRefP22_7x_0" localSheetId="66">'317'!$P$82:$P$83</definedName>
    <definedName name="OSRRefP22_7x_0" localSheetId="70">'321'!$P$56</definedName>
    <definedName name="OSRRefP22_7x_0" localSheetId="71">'322'!$P$57</definedName>
    <definedName name="OSRRefP22_7x_0" localSheetId="72">'325'!$P$58</definedName>
    <definedName name="OSRRefP22_7x_0" localSheetId="61">'326'!$P$76</definedName>
    <definedName name="OSRRefP22_7x_0" localSheetId="52">'330'!$P$94</definedName>
    <definedName name="OSRRefP22_7x_0" localSheetId="59">'331'!$P$89</definedName>
    <definedName name="OSRRefP22_7x_0" localSheetId="62">'332'!$P$70:$P$71</definedName>
    <definedName name="OSRRefP22_7x_0" localSheetId="77">'405'!$P$58</definedName>
    <definedName name="OSRRefP22_7x_0" localSheetId="78">'406'!$P$53:$P$54</definedName>
    <definedName name="OSRRefP22_7x_0" localSheetId="79">'411'!$P$54</definedName>
    <definedName name="OSRRefP22_7x_0" localSheetId="80">'412'!$P$57</definedName>
    <definedName name="OSRRefP22_7x_0" localSheetId="81">'413'!$P$58</definedName>
    <definedName name="OSRRefP22_7x_0" localSheetId="82">'414'!$P$59</definedName>
    <definedName name="OSRRefP22_7x_0" localSheetId="83">'415'!$P$58</definedName>
    <definedName name="OSRRefP22_7x_0" localSheetId="84">'418'!$P$60</definedName>
    <definedName name="OSRRefP22_7x_0" localSheetId="87">'424'!$P$53:$P$54</definedName>
    <definedName name="OSRRefP22_7x_0" localSheetId="88">'425'!$P$58</definedName>
    <definedName name="OSRRefP22_7x_0" localSheetId="91">'430'!$P$53</definedName>
    <definedName name="OSRRefP22_7x_0" localSheetId="92">'433'!$P$59</definedName>
    <definedName name="OSRRefP22_7x_0" localSheetId="93">'435'!$P$52</definedName>
    <definedName name="OSRRefP22_7x_0" localSheetId="94">'444'!$P$59</definedName>
    <definedName name="OSRRefP22_7x_0" localSheetId="96">'450'!$P$57</definedName>
    <definedName name="OSRRefP22_7x_0" localSheetId="76">'491'!$P$69</definedName>
    <definedName name="OSRRefP22_7x_0" localSheetId="90">'492'!$P$60</definedName>
    <definedName name="OSRRefP22_7x_0" localSheetId="98">'501'!$P$52</definedName>
    <definedName name="OSRRefP22_7x_0" localSheetId="39">'Div 2'!$P$53</definedName>
    <definedName name="OSRRefP22_7x_0" localSheetId="47">'Div 3'!$P$166:$P$167</definedName>
    <definedName name="OSRRefP22_7x_0" localSheetId="74">'Div 4'!$P$71</definedName>
    <definedName name="OSRRefP22_7x_0" localSheetId="97">'Div 5'!$P$52</definedName>
    <definedName name="OSRRefP22_7x_0" localSheetId="65">'Div 6'!$P$82:$P$83</definedName>
    <definedName name="OSRRefP22_7x_0" localSheetId="2">Summary!$P$196:$P$198</definedName>
    <definedName name="OSRRefP22_8x_0" localSheetId="41">'201'!$P$53:$P$54</definedName>
    <definedName name="OSRRefP22_8x_0" localSheetId="42">'202'!$P$53:$P$55</definedName>
    <definedName name="OSRRefP22_8x_0" localSheetId="43">'203'!$P$54:$P$55</definedName>
    <definedName name="OSRRefP22_8x_0" localSheetId="44">'204'!$P$57</definedName>
    <definedName name="OSRRefP22_8x_0" localSheetId="45">'205'!$P$54</definedName>
    <definedName name="OSRRefP22_8x_0" localSheetId="46">'206'!$P$54</definedName>
    <definedName name="OSRRefP22_8x_0" localSheetId="48">'300'!$P$163</definedName>
    <definedName name="OSRRefP22_8x_0" localSheetId="49">'300 &amp; 317'!$P$185</definedName>
    <definedName name="OSRRefP22_8x_0" localSheetId="50">'301'!$P$57</definedName>
    <definedName name="OSRRefP22_8x_0" localSheetId="51">'306'!$P$54</definedName>
    <definedName name="OSRRefP22_8x_0" localSheetId="53">'307'!$P$84</definedName>
    <definedName name="OSRRefP22_8x_0" localSheetId="55">'308'!$P$85</definedName>
    <definedName name="OSRRefP22_8x_0" localSheetId="68">'309'!$P$59</definedName>
    <definedName name="OSRRefP22_8x_0" localSheetId="67">'310'!$P$67</definedName>
    <definedName name="OSRRefP22_8x_0" localSheetId="75">'310 &amp; 491'!$P$77</definedName>
    <definedName name="OSRRefP22_8x_0" localSheetId="56">'311'!$P$85</definedName>
    <definedName name="OSRRefP22_8x_0" localSheetId="69">'313'!$P$62</definedName>
    <definedName name="OSRRefP22_8x_0" localSheetId="60">'315'!$P$83</definedName>
    <definedName name="OSRRefP22_8x_0" localSheetId="63">'316'!$P$65</definedName>
    <definedName name="OSRRefP22_8x_0" localSheetId="66">'317'!$P$85:$P$86</definedName>
    <definedName name="OSRRefP22_8x_0" localSheetId="70">'321'!$P$58</definedName>
    <definedName name="OSRRefP22_8x_0" localSheetId="71">'322'!$P$59</definedName>
    <definedName name="OSRRefP22_8x_0" localSheetId="72">'325'!$P$60</definedName>
    <definedName name="OSRRefP22_8x_0" localSheetId="61">'326'!$P$78</definedName>
    <definedName name="OSRRefP22_8x_0" localSheetId="52">'330'!$P$96</definedName>
    <definedName name="OSRRefP22_8x_0" localSheetId="59">'331'!$P$91</definedName>
    <definedName name="OSRRefP22_8x_0" localSheetId="62">'332'!$P$73</definedName>
    <definedName name="OSRRefP22_8x_0" localSheetId="77">'405'!$P$60</definedName>
    <definedName name="OSRRefP22_8x_0" localSheetId="78">'406'!$P$56:$P$58</definedName>
    <definedName name="OSRRefP22_8x_0" localSheetId="79">'411'!$P$56:$P$58</definedName>
    <definedName name="OSRRefP22_8x_0" localSheetId="80">'412'!$P$59</definedName>
    <definedName name="OSRRefP22_8x_0" localSheetId="81">'413'!$P$60</definedName>
    <definedName name="OSRRefP22_8x_0" localSheetId="82">'414'!$P$61</definedName>
    <definedName name="OSRRefP22_8x_0" localSheetId="83">'415'!$P$60</definedName>
    <definedName name="OSRRefP22_8x_0" localSheetId="84">'418'!$P$62:$P$63</definedName>
    <definedName name="OSRRefP22_8x_0" localSheetId="88">'425'!$P$60</definedName>
    <definedName name="OSRRefP22_8x_0" localSheetId="91">'430'!$P$55</definedName>
    <definedName name="OSRRefP22_8x_0" localSheetId="92">'433'!$P$61</definedName>
    <definedName name="OSRRefP22_8x_0" localSheetId="94">'444'!$P$61</definedName>
    <definedName name="OSRRefP22_8x_0" localSheetId="96">'450'!$P$59</definedName>
    <definedName name="OSRRefP22_8x_0" localSheetId="76">'491'!$P$71:$P$72</definedName>
    <definedName name="OSRRefP22_8x_0" localSheetId="90">'492'!$P$62</definedName>
    <definedName name="OSRRefP22_8x_0" localSheetId="98">'501'!$P$54</definedName>
    <definedName name="OSRRefP22_8x_0" localSheetId="39">'Div 2'!$P$55</definedName>
    <definedName name="OSRRefP22_8x_0" localSheetId="47">'Div 3'!$P$169</definedName>
    <definedName name="OSRRefP22_8x_0" localSheetId="74">'Div 4'!$P$73</definedName>
    <definedName name="OSRRefP22_8x_0" localSheetId="97">'Div 5'!$P$54</definedName>
    <definedName name="OSRRefP22_8x_0" localSheetId="65">'Div 6'!$P$85:$P$86</definedName>
    <definedName name="OSRRefP22_8x_0" localSheetId="2">Summary!$P$200</definedName>
    <definedName name="OSRRefP22_9x_0" localSheetId="41">'201'!$P$56:$P$57</definedName>
    <definedName name="OSRRefP22_9x_0" localSheetId="42">'202'!$P$57</definedName>
    <definedName name="OSRRefP22_9x_0" localSheetId="43">'203'!$P$57:$P$58</definedName>
    <definedName name="OSRRefP22_9x_0" localSheetId="44">'204'!$P$59:$P$60</definedName>
    <definedName name="OSRRefP22_9x_0" localSheetId="46">'206'!$P$56</definedName>
    <definedName name="OSRRefP22_9x_0" localSheetId="48">'300'!$P$165</definedName>
    <definedName name="OSRRefP22_9x_0" localSheetId="49">'300 &amp; 317'!$P$187</definedName>
    <definedName name="OSRRefP22_9x_0" localSheetId="50">'301'!$P$59</definedName>
    <definedName name="OSRRefP22_9x_0" localSheetId="53">'307'!$P$86:$P$87</definedName>
    <definedName name="OSRRefP22_9x_0" localSheetId="55">'308'!$P$87:$P$88</definedName>
    <definedName name="OSRRefP22_9x_0" localSheetId="68">'309'!$P$61</definedName>
    <definedName name="OSRRefP22_9x_0" localSheetId="67">'310'!$P$69</definedName>
    <definedName name="OSRRefP22_9x_0" localSheetId="75">'310 &amp; 491'!$P$79</definedName>
    <definedName name="OSRRefP22_9x_0" localSheetId="56">'311'!$P$87:$P$88</definedName>
    <definedName name="OSRRefP22_9x_0" localSheetId="69">'313'!$P$64</definedName>
    <definedName name="OSRRefP22_9x_0" localSheetId="60">'315'!$P$85</definedName>
    <definedName name="OSRRefP22_9x_0" localSheetId="63">'316'!$P$67</definedName>
    <definedName name="OSRRefP22_9x_0" localSheetId="66">'317'!$P$88</definedName>
    <definedName name="OSRRefP22_9x_0" localSheetId="70">'321'!$P$60</definedName>
    <definedName name="OSRRefP22_9x_0" localSheetId="71">'322'!$P$61</definedName>
    <definedName name="OSRRefP22_9x_0" localSheetId="72">'325'!$P$62</definedName>
    <definedName name="OSRRefP22_9x_0" localSheetId="61">'326'!$P$80</definedName>
    <definedName name="OSRRefP22_9x_0" localSheetId="52">'330'!$P$98:$P$99</definedName>
    <definedName name="OSRRefP22_9x_0" localSheetId="59">'331'!$P$93</definedName>
    <definedName name="OSRRefP22_9x_0" localSheetId="62">'332'!$P$75</definedName>
    <definedName name="OSRRefP22_9x_0" localSheetId="77">'405'!$P$62</definedName>
    <definedName name="OSRRefP22_9x_0" localSheetId="78">'406'!$P$60:$P$62</definedName>
    <definedName name="OSRRefP22_9x_0" localSheetId="79">'411'!$P$60:$P$64</definedName>
    <definedName name="OSRRefP22_9x_0" localSheetId="80">'412'!$P$61</definedName>
    <definedName name="OSRRefP22_9x_0" localSheetId="81">'413'!$P$62:$P$64</definedName>
    <definedName name="OSRRefP22_9x_0" localSheetId="82">'414'!$P$63</definedName>
    <definedName name="OSRRefP22_9x_0" localSheetId="83">'415'!$P$62</definedName>
    <definedName name="OSRRefP22_9x_0" localSheetId="84">'418'!$P$65</definedName>
    <definedName name="OSRRefP22_9x_0" localSheetId="88">'425'!$P$62:$P$63</definedName>
    <definedName name="OSRRefP22_9x_0" localSheetId="91">'430'!$P$57</definedName>
    <definedName name="OSRRefP22_9x_0" localSheetId="92">'433'!$P$63</definedName>
    <definedName name="OSRRefP22_9x_0" localSheetId="94">'444'!$P$63</definedName>
    <definedName name="OSRRefP22_9x_0" localSheetId="96">'450'!$P$61</definedName>
    <definedName name="OSRRefP22_9x_0" localSheetId="76">'491'!$P$74</definedName>
    <definedName name="OSRRefP22_9x_0" localSheetId="90">'492'!$P$64</definedName>
    <definedName name="OSRRefP22_9x_0" localSheetId="98">'501'!$P$56</definedName>
    <definedName name="OSRRefP22_9x_0" localSheetId="39">'Div 2'!$P$57</definedName>
    <definedName name="OSRRefP22_9x_0" localSheetId="47">'Div 3'!$P$171</definedName>
    <definedName name="OSRRefP22_9x_0" localSheetId="74">'Div 4'!$P$75</definedName>
    <definedName name="OSRRefP22_9x_0" localSheetId="97">'Div 5'!$P$56</definedName>
    <definedName name="OSRRefP22_9x_0" localSheetId="65">'Div 6'!$P$88</definedName>
    <definedName name="OSRRefP22_9x_0" localSheetId="2">Summary!$P$202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'201'!$P$20:$P$28,'201'!$P$30:$P$39,'201'!$P$41,'201'!$P$43,'201'!$P$45,'201'!$P$47,'201'!$P$49,'201'!$P$51,'201'!$P$53:$P$54,'201'!$P$56:$P$57,'201'!$P$59,'201'!$P$61:$P$63,'201'!$P$65,'201'!$P$67</definedName>
    <definedName name="OSRRefP22x_0" localSheetId="42">'202'!$P$20:$P$28,'202'!$P$30:$P$39,'202'!$P$41,'202'!$P$43,'202'!$P$45,'202'!$P$47,'202'!$P$49,'202'!$P$51,'202'!$P$53:$P$55,'202'!$P$57,'202'!$P$59,'202'!$P$61,'202'!$P$63,'202'!$P$65,'202'!$P$67</definedName>
    <definedName name="OSRRefP22x_0" localSheetId="43">'203'!$P$20:$P$29,'203'!$P$31:$P$40,'203'!$P$42,'203'!$P$44,'203'!$P$46,'203'!$P$48,'203'!$P$50,'203'!$P$52,'203'!$P$54:$P$55,'203'!$P$57:$P$58,'203'!$P$60,'203'!$P$62:$P$64,'203'!$P$66,'203'!$P$68,'203'!$P$70</definedName>
    <definedName name="OSRRefP22x_0" localSheetId="44">'204'!$P$20:$P$29,'204'!$P$31:$P$40,'204'!$P$42,'204'!$P$44,'204'!$P$46,'204'!$P$48,'204'!$P$50:$P$53,'204'!$P$55,'204'!$P$57,'204'!$P$59:$P$60,'204'!$P$62,'204'!$P$64</definedName>
    <definedName name="OSRRefP22x_0" localSheetId="45">'205'!$P$20:$P$28,'205'!$P$30:$P$39,'205'!$P$41,'205'!$P$43,'205'!$P$45,'205'!$P$47,'205'!$P$49,'205'!$P$51:$P$52,'205'!$P$54</definedName>
    <definedName name="OSRRefP22x_0" localSheetId="46">'206'!$P$20:$P$28,'206'!$P$30:$P$39,'206'!$P$41,'206'!$P$43,'206'!$P$45,'206'!$P$47,'206'!$P$49:$P$50,'206'!$P$52,'206'!$P$54,'206'!$P$56</definedName>
    <definedName name="OSRRefP22x_0" localSheetId="48">'300'!$P$124:$P$133,'300'!$P$135:$P$144,'300'!$P$146,'300'!$P$148:$P$149,'300'!$P$151,'300'!$P$153:$P$155,'300'!$P$157:$P$158,'300'!$P$160:$P$161,'300'!$P$163,'300'!$P$165,'300'!$P$167:$P$168,'300'!$P$170,'300'!$P$172,'300'!$P$174,'300'!$P$176,'300'!$P$178,'300'!$P$180:$P$182,'300'!$P$184:$P$187,'300'!$P$189:$P$192,'300'!$P$194:$P$195,'300'!$P$197:$P$203,'300'!$P$205:$P$206,'300'!$P$208,'300'!$P$210:$P$212,'300'!$P$214</definedName>
    <definedName name="OSRRefP22x_0" localSheetId="49">'300 &amp; 317'!$P$146:$P$155,'300 &amp; 317'!$P$157:$P$166,'300 &amp; 317'!$P$168,'300 &amp; 317'!$P$170:$P$171,'300 &amp; 317'!$P$173,'300 &amp; 317'!$P$175:$P$177,'300 &amp; 317'!$P$179:$P$180,'300 &amp; 317'!$P$182:$P$183,'300 &amp; 317'!$P$185,'300 &amp; 317'!$P$187,'300 &amp; 317'!$P$189:$P$190,'300 &amp; 317'!$P$192,'300 &amp; 317'!$P$194,'300 &amp; 317'!$P$196,'300 &amp; 317'!$P$198,'300 &amp; 317'!$P$200,'300 &amp; 317'!$P$202:$P$204,'300 &amp; 317'!$P$206:$P$209,'300 &amp; 317'!$P$211:$P$214,'300 &amp; 317'!$P$216:$P$217,'300 &amp; 317'!$P$219:$P$225,'300 &amp; 317'!$P$227:$P$228,'300 &amp; 317'!$P$230,'300 &amp; 317'!$P$232:$P$234,'300 &amp; 317'!$P$236</definedName>
    <definedName name="OSRRefP22x_0" localSheetId="50">'301'!$P$20:$P$28,'301'!$P$30:$P$39,'301'!$P$41,'301'!$P$43,'301'!$P$45,'301'!$P$47:$P$49,'301'!$P$51:$P$52,'301'!$P$54:$P$55,'301'!$P$57,'301'!$P$59,'301'!$P$61,'301'!$P$63,'301'!$P$65,'301'!$P$67,'301'!$P$69,'301'!$P$71:$P$73,'301'!$P$75:$P$77,'301'!$P$79:$P$80,'301'!$P$82:$P$86,'301'!$P$88,'301'!$P$90,'301'!$P$92:$P$93,'301'!$P$95</definedName>
    <definedName name="OSRRefP22x_0" localSheetId="51">'306'!$P$20:$P$28,'306'!$P$30:$P$39,'306'!$P$41,'306'!$P$43,'306'!$P$45,'306'!$P$47,'306'!$P$49,'306'!$P$51:$P$52,'306'!$P$54</definedName>
    <definedName name="OSRRefP22x_0" localSheetId="53">'307'!$P$51:$P$59,'307'!$P$61:$P$70,'307'!$P$72,'307'!$P$74,'307'!$P$76,'307'!$P$78,'307'!$P$80,'307'!$P$82,'307'!$P$84,'307'!$P$86:$P$87,'307'!$P$89,'307'!$P$91,'307'!$P$93</definedName>
    <definedName name="OSRRefP22x_0" localSheetId="55">'308'!$P$51:$P$60,'308'!$P$62:$P$71,'308'!$P$73,'308'!$P$75,'308'!$P$77,'308'!$P$79,'308'!$P$81,'308'!$P$83,'308'!$P$85,'308'!$P$87:$P$88,'308'!$P$90,'308'!$P$92:$P$94,'308'!$P$96:$P$97,'308'!$P$99,'308'!$P$101</definedName>
    <definedName name="OSRRefP22x_0" localSheetId="68">'309'!$P$26:$P$34,'309'!$P$36:$P$45,'309'!$P$47,'309'!$P$49,'309'!$P$51,'309'!$P$53,'309'!$P$55,'309'!$P$57,'309'!$P$59,'309'!$P$61,'309'!$P$63:$P$64,'309'!$P$66</definedName>
    <definedName name="OSRRefP22x_0" localSheetId="67">'310'!$P$33:$P$41,'310'!$P$43:$P$52,'310'!$P$54,'310'!$P$56,'310'!$P$58,'310'!$P$60:$P$61,'310'!$P$63,'310'!$P$65,'310'!$P$67,'310'!$P$69,'310'!$P$71,'310'!$P$73,'310'!$P$75,'310'!$P$77,'310'!$P$79,'310'!$P$81,'310'!$P$83,'310'!$P$85:$P$89,'310'!$P$91,'310'!$P$93:$P$98,'310'!$P$100,'310'!$P$102</definedName>
    <definedName name="OSRRefP22x_0" localSheetId="75">'310 &amp; 491'!$P$40:$P$49,'310 &amp; 491'!$P$51:$P$60,'310 &amp; 491'!$P$62,'310 &amp; 491'!$P$64,'310 &amp; 491'!$P$66,'310 &amp; 491'!$P$68:$P$71,'310 &amp; 491'!$P$73,'310 &amp; 491'!$P$75,'310 &amp; 491'!$P$77,'310 &amp; 491'!$P$79,'310 &amp; 491'!$P$81:$P$82,'310 &amp; 491'!$P$84,'310 &amp; 491'!$P$86,'310 &amp; 491'!$P$88,'310 &amp; 491'!$P$90,'310 &amp; 491'!$P$92:$P$95,'310 &amp; 491'!$P$97:$P$98,'310 &amp; 491'!$P$100:$P$105,'310 &amp; 491'!$P$107,'310 &amp; 491'!$P$109:$P$118,'310 &amp; 491'!$P$120:$P$121,'310 &amp; 491'!$P$123,'310 &amp; 491'!$P$125:$P$127,'310 &amp; 491'!$P$129</definedName>
    <definedName name="OSRRefP22x_0" localSheetId="56">'311'!$P$51:$P$60,'311'!$P$62:$P$71,'311'!$P$73,'311'!$P$75,'311'!$P$77,'311'!$P$79,'311'!$P$81,'311'!$P$83,'311'!$P$85,'311'!$P$87:$P$88,'311'!$P$90,'311'!$P$92:$P$94,'311'!$P$96:$P$97,'311'!$P$99,'311'!$P$101</definedName>
    <definedName name="OSRRefP22x_0" localSheetId="69">'313'!$P$29:$P$37,'313'!$P$39:$P$48,'313'!$P$50,'313'!$P$52,'313'!$P$54,'313'!$P$56,'313'!$P$58,'313'!$P$60,'313'!$P$62,'313'!$P$64,'313'!$P$66,'313'!$P$68:$P$70,'313'!$P$72</definedName>
    <definedName name="OSRRefP22x_0" localSheetId="54">'314'!$P$49:$P$56,'314'!$P$58:$P$67,'314'!$P$69,'314'!$P$71,'314'!$P$73,'314'!$P$75</definedName>
    <definedName name="OSRRefP22x_0" localSheetId="60">'315'!$P$50:$P$58,'315'!$P$60:$P$69,'315'!$P$71,'315'!$P$73,'315'!$P$75,'315'!$P$77,'315'!$P$79,'315'!$P$81,'315'!$P$83,'315'!$P$85,'315'!$P$87:$P$89,'315'!$P$91:$P$92,'315'!$P$94:$P$97,'315'!$P$99,'315'!$P$101,'315'!$P$103</definedName>
    <definedName name="OSRRefP22x_0" localSheetId="63">'316'!$P$32:$P$40,'316'!$P$42:$P$51,'316'!$P$53,'316'!$P$55,'316'!$P$57,'316'!$P$59,'316'!$P$61,'316'!$P$63,'316'!$P$65,'316'!$P$67,'316'!$P$69:$P$70,'316'!$P$72:$P$74,'316'!$P$76:$P$77</definedName>
    <definedName name="OSRRefP22x_0" localSheetId="66">'317'!$P$50:$P$59,'317'!$P$61:$P$70,'317'!$P$72,'317'!$P$74,'317'!$P$76,'317'!$P$78,'317'!$P$80,'317'!$P$82:$P$83,'317'!$P$85:$P$86,'317'!$P$88</definedName>
    <definedName name="OSRRefP22x_0" localSheetId="64">'320'!$P$27:$P$34,'320'!$P$36:$P$45,'320'!$P$47,'320'!$P$49:$P$50,'320'!$P$52,'320'!$P$54</definedName>
    <definedName name="OSRRefP22x_0" localSheetId="70">'321'!$P$26:$P$33,'321'!$P$35:$P$44,'321'!$P$46,'321'!$P$48,'321'!$P$50,'321'!$P$52,'321'!$P$54,'321'!$P$56,'321'!$P$58,'321'!$P$60,'321'!$P$62,'321'!$P$64:$P$65,'321'!$P$67:$P$68,'321'!$P$70,'321'!$P$72</definedName>
    <definedName name="OSRRefP22x_0" localSheetId="71">'322'!$P$26:$P$34,'322'!$P$36:$P$45,'322'!$P$47,'322'!$P$49,'322'!$P$51,'322'!$P$53,'322'!$P$55,'322'!$P$57,'322'!$P$59,'322'!$P$61,'322'!$P$63:$P$64,'322'!$P$66:$P$68,'322'!$P$70,'322'!$P$72</definedName>
    <definedName name="OSRRefP22x_0" localSheetId="72">'325'!$P$26:$P$34,'325'!$P$36:$P$45,'325'!$P$47,'325'!$P$49,'325'!$P$51,'325'!$P$53:$P$54,'325'!$P$56,'325'!$P$58,'325'!$P$60,'325'!$P$62,'325'!$P$64,'325'!$P$66,'325'!$P$68:$P$71,'325'!$P$73,'325'!$P$75:$P$80,'325'!$P$82,'325'!$P$84</definedName>
    <definedName name="OSRRefP22x_0" localSheetId="61">'326'!$P$45:$P$52,'326'!$P$54:$P$63,'326'!$P$65,'326'!$P$67:$P$68,'326'!$P$70,'326'!$P$72,'326'!$P$74,'326'!$P$76,'326'!$P$78,'326'!$P$80,'326'!$P$82,'326'!$P$84,'326'!$P$86,'326'!$P$88:$P$89,'326'!$P$91:$P$93,'326'!$P$95:$P$96,'326'!$P$98:$P$102,'326'!$P$104:$P$105,'326'!$P$107,'326'!$P$109,'326'!$P$111</definedName>
    <definedName name="OSRRefP22x_0" localSheetId="73">'327'!$P$24</definedName>
    <definedName name="OSRRefP22x_0" localSheetId="52">'330'!$P$63:$P$71,'330'!$P$73:$P$82,'330'!$P$84,'330'!$P$86,'330'!$P$88,'330'!$P$90,'330'!$P$92,'330'!$P$94,'330'!$P$96,'330'!$P$98:$P$99,'330'!$P$101,'330'!$P$103,'330'!$P$105</definedName>
    <definedName name="OSRRefP22x_0" localSheetId="59">'331'!$P$57:$P$65,'331'!$P$67:$P$76,'331'!$P$78,'331'!$P$80:$P$81,'331'!$P$83,'331'!$P$85,'331'!$P$87,'331'!$P$89,'331'!$P$91,'331'!$P$93,'331'!$P$95,'331'!$P$97,'331'!$P$99,'331'!$P$101,'331'!$P$103:$P$104,'331'!$P$106:$P$108,'331'!$P$110:$P$112,'331'!$P$114:$P$115,'331'!$P$117:$P$121,'331'!$P$123:$P$124,'331'!$P$126,'331'!$P$128,'331'!$P$130</definedName>
    <definedName name="OSRRefP22x_0" localSheetId="62">'332'!$P$39:$P$47,'332'!$P$49:$P$58,'332'!$P$60,'332'!$P$62,'332'!$P$64,'332'!$P$66,'332'!$P$68,'332'!$P$70:$P$71,'332'!$P$73,'332'!$P$75,'332'!$P$77:$P$78,'332'!$P$80:$P$82,'332'!$P$84:$P$85</definedName>
    <definedName name="OSRRefP22x_0" localSheetId="77">'405'!$P$26:$P$34,'405'!$P$36:$P$45,'405'!$P$47,'405'!$P$49,'405'!$P$51,'405'!$P$53:$P$54,'405'!$P$56,'405'!$P$58,'405'!$P$60,'405'!$P$62,'405'!$P$64:$P$66,'405'!$P$68,'405'!$P$70:$P$72,'405'!$P$74:$P$81,'405'!$P$83,'405'!$P$85,'405'!$P$87</definedName>
    <definedName name="OSRRefP22x_0" localSheetId="78">'406'!$P$22:$P$30,'406'!$P$32:$P$41,'406'!$P$43,'406'!$P$45,'406'!$P$47,'406'!$P$49,'406'!$P$51,'406'!$P$53:$P$54,'406'!$P$56:$P$58,'406'!$P$60:$P$62,'406'!$P$64:$P$65,'406'!$P$67,'406'!$P$69</definedName>
    <definedName name="OSRRefP22x_0" localSheetId="79">'411'!$P$20:$P$29,'411'!$P$31:$P$40,'411'!$P$42,'411'!$P$44:$P$46,'411'!$P$48,'411'!$P$50,'411'!$P$52,'411'!$P$54,'411'!$P$56:$P$58,'411'!$P$60:$P$64,'411'!$P$66:$P$70,'411'!$P$72,'411'!$P$74,'411'!$P$76:$P$78,'411'!$P$80</definedName>
    <definedName name="OSRRefP22x_0" localSheetId="80">'412'!$P$26:$P$34,'412'!$P$36:$P$45,'412'!$P$47,'412'!$P$49,'412'!$P$51,'412'!$P$53,'412'!$P$55,'412'!$P$57,'412'!$P$59,'412'!$P$61,'412'!$P$63:$P$64,'412'!$P$66:$P$71,'412'!$P$73</definedName>
    <definedName name="OSRRefP22x_0" localSheetId="81">'413'!$P$27:$P$35,'413'!$P$37:$P$46,'413'!$P$48,'413'!$P$50,'413'!$P$52,'413'!$P$54,'413'!$P$56,'413'!$P$58,'413'!$P$60,'413'!$P$62:$P$64,'413'!$P$66:$P$67</definedName>
    <definedName name="OSRRefP22x_0" localSheetId="82">'414'!$P$27:$P$35,'414'!$P$37:$P$46,'414'!$P$48,'414'!$P$50,'414'!$P$52,'414'!$P$54:$P$55,'414'!$P$57,'414'!$P$59,'414'!$P$61,'414'!$P$63,'414'!$P$65,'414'!$P$67,'414'!$P$69:$P$72,'414'!$P$74,'414'!$P$76</definedName>
    <definedName name="OSRRefP22x_0" localSheetId="83">'415'!$P$26:$P$34,'415'!$P$36:$P$45,'415'!$P$47,'415'!$P$49,'415'!$P$51,'415'!$P$53:$P$54,'415'!$P$56,'415'!$P$58,'415'!$P$60,'415'!$P$62,'415'!$P$64,'415'!$P$66,'415'!$P$68:$P$72,'415'!$P$74,'415'!$P$76:$P$82,'415'!$P$84,'415'!$P$86:$P$87,'415'!$P$89</definedName>
    <definedName name="OSRRefP22x_0" localSheetId="84">'418'!$P$27:$P$35,'418'!$P$37:$P$46,'418'!$P$48,'418'!$P$50,'418'!$P$52,'418'!$P$54:$P$56,'418'!$P$58,'418'!$P$60,'418'!$P$62:$P$63,'418'!$P$65,'418'!$P$67:$P$69,'418'!$P$71,'418'!$P$73:$P$76,'418'!$P$78,'418'!$P$80,'418'!$P$82</definedName>
    <definedName name="OSRRefP22x_0" localSheetId="86">'423'!$P$20:$P$28,'423'!$P$30:$P$39,'423'!$P$41,'423'!$P$43,'423'!$P$45,'423'!$P$47</definedName>
    <definedName name="OSRRefP22x_0" localSheetId="87">'424'!$P$23:$P$30,'424'!$P$32:$P$41,'424'!$P$43,'424'!$P$45,'424'!$P$47,'424'!$P$49,'424'!$P$51,'424'!$P$53:$P$54</definedName>
    <definedName name="OSRRefP22x_0" localSheetId="88">'425'!$P$27:$P$35,'425'!$P$37:$P$46,'425'!$P$48,'425'!$P$50,'425'!$P$52,'425'!$P$54,'425'!$P$56,'425'!$P$58,'425'!$P$60,'425'!$P$62:$P$63,'425'!$P$65:$P$68,'425'!$P$70,'425'!$P$72</definedName>
    <definedName name="OSRRefP22x_0" localSheetId="91">'430'!$P$20:$P$28,'430'!$P$30:$P$39,'430'!$P$41,'430'!$P$43,'430'!$P$45,'430'!$P$47,'430'!$P$49:$P$51,'430'!$P$53,'430'!$P$55,'430'!$P$57</definedName>
    <definedName name="OSRRefP22x_0" localSheetId="92">'433'!$P$27:$P$36,'433'!$P$38:$P$47,'433'!$P$49,'433'!$P$51,'433'!$P$53,'433'!$P$55,'433'!$P$57,'433'!$P$59,'433'!$P$61,'433'!$P$63,'433'!$P$65:$P$68,'433'!$P$70:$P$76,'433'!$P$78,'433'!$P$80,'433'!$P$82:$P$83</definedName>
    <definedName name="OSRRefP22x_0" localSheetId="93">'435'!$P$22:$P$29,'435'!$P$31:$P$40,'435'!$P$42,'435'!$P$44,'435'!$P$46,'435'!$P$48,'435'!$P$50,'435'!$P$52</definedName>
    <definedName name="OSRRefP22x_0" localSheetId="94">'444'!$P$27:$P$36,'444'!$P$38:$P$47,'444'!$P$49,'444'!$P$51,'444'!$P$53,'444'!$P$55,'444'!$P$57,'444'!$P$59,'444'!$P$61,'444'!$P$63,'444'!$P$65:$P$67,'444'!$P$69:$P$72,'444'!$P$74:$P$78,'444'!$P$80,'444'!$P$82,'444'!$P$84</definedName>
    <definedName name="OSRRefP22x_0" localSheetId="96">'450'!$P$24:$P$33,'450'!$P$35:$P$44,'450'!$P$46,'450'!$P$48:$P$49,'450'!$P$51,'450'!$P$53,'450'!$P$55,'450'!$P$57,'450'!$P$59,'450'!$P$61,'450'!$P$63:$P$65,'450'!$P$67:$P$71,'450'!$P$73,'450'!$P$75,'450'!$P$77:$P$78</definedName>
    <definedName name="OSRRefP22x_0" localSheetId="89">'455'!$P$20:$P$27,'455'!$P$29:$P$38</definedName>
    <definedName name="OSRRefP22x_0" localSheetId="76">'491'!$P$34:$P$43,'491'!$P$45:$P$54,'491'!$P$56,'491'!$P$58,'491'!$P$60,'491'!$P$62:$P$65,'491'!$P$67,'491'!$P$69,'491'!$P$71:$P$72,'491'!$P$74,'491'!$P$76,'491'!$P$78,'491'!$P$80:$P$83,'491'!$P$85:$P$86,'491'!$P$88:$P$92,'491'!$P$94,'491'!$P$96:$P$105,'491'!$P$107:$P$108,'491'!$P$110,'491'!$P$112:$P$114,'491'!$P$116</definedName>
    <definedName name="OSRRefP22x_0" localSheetId="90">'492'!$P$27:$P$36,'492'!$P$38:$P$47,'492'!$P$49,'492'!$P$51:$P$52,'492'!$P$54,'492'!$P$56,'492'!$P$58,'492'!$P$60,'492'!$P$62,'492'!$P$64,'492'!$P$66,'492'!$P$68,'492'!$P$70:$P$72,'492'!$P$74:$P$77,'492'!$P$79:$P$87,'492'!$P$89,'492'!$P$91,'492'!$P$93:$P$94</definedName>
    <definedName name="OSRRefP22x_0" localSheetId="98">'501'!$P$21:$P$29,'501'!$P$31:$P$40,'501'!$P$42,'501'!$P$44,'501'!$P$46,'501'!$P$48,'501'!$P$50,'501'!$P$52,'501'!$P$54,'501'!$P$56,'501'!$P$58:$P$59,'501'!$P$61:$P$62,'501'!$P$64</definedName>
    <definedName name="OSRRefP22x_0" localSheetId="39">'Div 2'!$P$20:$P$30,'Div 2'!$P$32:$P$41,'Div 2'!$P$43,'Div 2'!$P$45,'Div 2'!$P$47,'Div 2'!$P$49,'Div 2'!$P$51,'Div 2'!$P$53,'Div 2'!$P$55,'Div 2'!$P$57,'Div 2'!$P$59,'Div 2'!$P$61,'Div 2'!$P$63:$P$65,'Div 2'!$P$67:$P$70,'Div 2'!$P$72:$P$75,'Div 2'!$P$77:$P$78,'Div 2'!$P$80:$P$81,'Div 2'!$P$83:$P$86,'Div 2'!$P$88:$P$89,'Div 2'!$P$91,'Div 2'!$P$93</definedName>
    <definedName name="OSRRefP22x_0" localSheetId="47">'Div 3'!$P$130:$P$139,'Div 3'!$P$141:$P$150,'Div 3'!$P$152,'Div 3'!$P$154:$P$155,'Div 3'!$P$157,'Div 3'!$P$159:$P$161,'Div 3'!$P$163:$P$164,'Div 3'!$P$166:$P$167,'Div 3'!$P$169,'Div 3'!$P$171,'Div 3'!$P$173:$P$174,'Div 3'!$P$176,'Div 3'!$P$178,'Div 3'!$P$180,'Div 3'!$P$182,'Div 3'!$P$184,'Div 3'!$P$186,'Div 3'!$P$188,'Div 3'!$P$190:$P$192,'Div 3'!$P$194:$P$197,'Div 3'!$P$199:$P$204,'Div 3'!$P$206:$P$207,'Div 3'!$P$209:$P$216,'Div 3'!$P$218:$P$219,'Div 3'!$P$221,'Div 3'!$P$223:$P$225,'Div 3'!$P$227</definedName>
    <definedName name="OSRRefP22x_0" localSheetId="74">'Div 4'!$P$35:$P$44,'Div 4'!$P$46:$P$55,'Div 4'!$P$57,'Div 4'!$P$59:$P$60,'Div 4'!$P$62,'Div 4'!$P$64:$P$67,'Div 4'!$P$69,'Div 4'!$P$71,'Div 4'!$P$73,'Div 4'!$P$75,'Div 4'!$P$77:$P$78,'Div 4'!$P$80,'Div 4'!$P$82,'Div 4'!$P$84,'Div 4'!$P$86,'Div 4'!$P$88:$P$91,'Div 4'!$P$93:$P$94,'Div 4'!$P$96:$P$100,'Div 4'!$P$102,'Div 4'!$P$104:$P$113,'Div 4'!$P$115:$P$116,'Div 4'!$P$118,'Div 4'!$P$120:$P$122,'Div 4'!$P$124</definedName>
    <definedName name="OSRRefP22x_0" localSheetId="97">'Div 5'!$P$21:$P$29,'Div 5'!$P$31:$P$40,'Div 5'!$P$42,'Div 5'!$P$44,'Div 5'!$P$46,'Div 5'!$P$48,'Div 5'!$P$50,'Div 5'!$P$52,'Div 5'!$P$54,'Div 5'!$P$56,'Div 5'!$P$58:$P$59,'Div 5'!$P$61:$P$62,'Div 5'!$P$64</definedName>
    <definedName name="OSRRefP22x_0" localSheetId="65">'Div 6'!$P$50:$P$59,'Div 6'!$P$61:$P$70,'Div 6'!$P$72,'Div 6'!$P$74,'Div 6'!$P$76,'Div 6'!$P$78,'Div 6'!$P$80,'Div 6'!$P$82:$P$83,'Div 6'!$P$85:$P$86,'Div 6'!$P$88</definedName>
    <definedName name="OSRRefP22x_0" localSheetId="2">Summary!$P$159:$P$168,Summary!$P$170:$P$179,Summary!$P$181,Summary!$P$183:$P$184,Summary!$P$186,Summary!$P$188:$P$191,Summary!$P$193:$P$194,Summary!$P$196:$P$198,Summary!$P$200,Summary!$P$202,Summary!$P$204:$P$205,Summary!$P$207:$P$208,Summary!$P$210,Summary!$P$212,Summary!$P$214,Summary!$P$216,Summary!$P$218,Summary!$P$220,Summary!$P$222:$P$225,Summary!$P$227:$P$230,Summary!$P$232:$P$237,Summary!$P$239:$P$240,Summary!$P$242:$P$251,Summary!$P$253:$P$254,Summary!$P$256,Summary!$P$258:$P$260,Summary!$P$262</definedName>
    <definedName name="OSRRefP25x_0" localSheetId="48">'300'!$P$217:$P$221</definedName>
    <definedName name="OSRRefP25x_0" localSheetId="49">'300 &amp; 317'!$P$239:$P$245</definedName>
    <definedName name="OSRRefP25x_0" localSheetId="50">'301'!$P$98:$P$100</definedName>
    <definedName name="OSRRefP25x_0" localSheetId="55">'308'!$P$104:$P$105</definedName>
    <definedName name="OSRRefP25x_0" localSheetId="75">'310 &amp; 491'!$P$132:$P$135</definedName>
    <definedName name="OSRRefP25x_0" localSheetId="56">'311'!$P$104:$P$105</definedName>
    <definedName name="OSRRefP25x_0" localSheetId="60">'315'!$P$106:$P$108</definedName>
    <definedName name="OSRRefP25x_0" localSheetId="63">'316'!$P$80:$P$81</definedName>
    <definedName name="OSRRefP25x_0" localSheetId="66">'317'!$P$91:$P$93</definedName>
    <definedName name="OSRRefP25x_0" localSheetId="64">'320'!$P$57:$P$59</definedName>
    <definedName name="OSRRefP25x_0" localSheetId="59">'331'!$P$133:$P$135</definedName>
    <definedName name="OSRRefP25x_0" localSheetId="62">'332'!$P$88:$P$92</definedName>
    <definedName name="OSRRefP25x_0" localSheetId="79">'411'!$P$83:$P$84</definedName>
    <definedName name="OSRRefP25x_0" localSheetId="86">'423'!$P$50</definedName>
    <definedName name="OSRRefP25x_0" localSheetId="87">'424'!$P$57</definedName>
    <definedName name="OSRRefP25x_0" localSheetId="88">'425'!$P$75</definedName>
    <definedName name="OSRRefP25x_0" localSheetId="89">'455'!$P$41:$P$44</definedName>
    <definedName name="OSRRefP25x_0" localSheetId="76">'491'!$P$119:$P$122</definedName>
    <definedName name="OSRRefP25x_0" localSheetId="98">'501'!$P$67</definedName>
    <definedName name="OSRRefP25x_0" localSheetId="47">'Div 3'!$P$230:$P$234</definedName>
    <definedName name="OSRRefP25x_0" localSheetId="74">'Div 4'!$P$127:$P$130</definedName>
    <definedName name="OSRRefP25x_0" localSheetId="97">'Div 5'!$P$67</definedName>
    <definedName name="OSRRefP25x_0" localSheetId="65">'Div 6'!$P$91:$P$93</definedName>
    <definedName name="OSRRefP25x_0" localSheetId="2">Summary!$P$265:$P$272</definedName>
    <definedName name="OSRRefT13x_0" localSheetId="48">'300'!$T$13:$T$79</definedName>
    <definedName name="OSRRefT13x_0" localSheetId="49">'300 &amp; 317'!$T$13:$T$94</definedName>
    <definedName name="OSRRefT13x_0" localSheetId="53">'307'!$T$13:$T$33</definedName>
    <definedName name="OSRRefT13x_0" localSheetId="55">'308'!$T$13:$T$30</definedName>
    <definedName name="OSRRefT13x_0" localSheetId="68">'309'!$T$13:$T$15</definedName>
    <definedName name="OSRRefT13x_0" localSheetId="67">'310'!$T$13:$T$22</definedName>
    <definedName name="OSRRefT13x_0" localSheetId="75">'310 &amp; 491'!$T$13:$T$29</definedName>
    <definedName name="OSRRefT13x_0" localSheetId="56">'311'!$T$13:$T$30</definedName>
    <definedName name="OSRRefT13x_0" localSheetId="69">'313'!$T$13:$T$18</definedName>
    <definedName name="OSRRefT13x_0" localSheetId="54">'314'!$T$13:$T$30</definedName>
    <definedName name="OSRRefT13x_0" localSheetId="60">'315'!$T$13:$T$28</definedName>
    <definedName name="OSRRefT13x_0" localSheetId="63">'316'!$T$13:$T$24</definedName>
    <definedName name="OSRRefT13x_0" localSheetId="66">'317'!$T$13:$T$32</definedName>
    <definedName name="OSRRefT13x_0" localSheetId="64">'320'!$T$13:$T$15</definedName>
    <definedName name="OSRRefT13x_0" localSheetId="70">'321'!$T$13:$T$15</definedName>
    <definedName name="OSRRefT13x_0" localSheetId="71">'322'!$T$13:$T$15</definedName>
    <definedName name="OSRRefT13x_0" localSheetId="57">'324'!$T$13:$T$15</definedName>
    <definedName name="OSRRefT13x_0" localSheetId="72">'325'!$T$13:$T$15</definedName>
    <definedName name="OSRRefT13x_0" localSheetId="61">'326'!$T$13:$T$25</definedName>
    <definedName name="OSRRefT13x_0" localSheetId="73">'327'!$T$13:$T$14</definedName>
    <definedName name="OSRRefT13x_0" localSheetId="52">'330'!$T$13:$T$41</definedName>
    <definedName name="OSRRefT13x_0" localSheetId="59">'331'!$T$13:$T$31</definedName>
    <definedName name="OSRRefT13x_0" localSheetId="62">'332'!$T$13:$T$27</definedName>
    <definedName name="OSRRefT13x_0" localSheetId="77">'405'!$T$13:$T$15</definedName>
    <definedName name="OSRRefT13x_0" localSheetId="80">'412'!$T$13:$T$16</definedName>
    <definedName name="OSRRefT13x_0" localSheetId="81">'413'!$T$13:$T$16</definedName>
    <definedName name="OSRRefT13x_0" localSheetId="82">'414'!$T$13:$T$16</definedName>
    <definedName name="OSRRefT13x_0" localSheetId="83">'415'!$T$13:$T$15</definedName>
    <definedName name="OSRRefT13x_0" localSheetId="84">'418'!$T$13:$T$16</definedName>
    <definedName name="OSRRefT13x_0" localSheetId="87">'424'!$T$13</definedName>
    <definedName name="OSRRefT13x_0" localSheetId="88">'425'!$T$13:$T$16</definedName>
    <definedName name="OSRRefT13x_0" localSheetId="92">'433'!$T$13:$T$16</definedName>
    <definedName name="OSRRefT13x_0" localSheetId="93">'435'!$T$13</definedName>
    <definedName name="OSRRefT13x_0" localSheetId="94">'444'!$T$13:$T$16</definedName>
    <definedName name="OSRRefT13x_0" localSheetId="96">'450'!$T$13:$T$14</definedName>
    <definedName name="OSRRefT13x_0" localSheetId="76">'491'!$T$13:$T$23</definedName>
    <definedName name="OSRRefT13x_0" localSheetId="90">'492'!$T$13:$T$16</definedName>
    <definedName name="OSRRefT13x_0" localSheetId="98">'501'!$T$13</definedName>
    <definedName name="OSRRefT13x_0" localSheetId="47">'Div 3'!$T$13:$T$83</definedName>
    <definedName name="OSRRefT13x_0" localSheetId="74">'Div 4'!$T$13:$T$24</definedName>
    <definedName name="OSRRefT13x_0" localSheetId="97">'Div 5'!$T$13</definedName>
    <definedName name="OSRRefT13x_0" localSheetId="65">'Div 6'!$T$13:$T$32</definedName>
    <definedName name="OSRRefT13x_0" localSheetId="2">Summary!$T$13:$T$105</definedName>
    <definedName name="OSRRefT16x_0" localSheetId="48">'300'!$T$82:$T$118</definedName>
    <definedName name="OSRRefT16x_0" localSheetId="49">'300 &amp; 317'!$T$97:$T$140</definedName>
    <definedName name="OSRRefT16x_0" localSheetId="53">'307'!$T$36:$T$45</definedName>
    <definedName name="OSRRefT16x_0" localSheetId="55">'308'!$T$33:$T$45</definedName>
    <definedName name="OSRRefT16x_0" localSheetId="68">'309'!$T$18:$T$20</definedName>
    <definedName name="OSRRefT16x_0" localSheetId="67">'310'!$T$25:$T$27</definedName>
    <definedName name="OSRRefT16x_0" localSheetId="75">'310 &amp; 491'!$T$32:$T$34</definedName>
    <definedName name="OSRRefT16x_0" localSheetId="56">'311'!$T$33:$T$45</definedName>
    <definedName name="OSRRefT16x_0" localSheetId="69">'313'!$T$21:$T$23</definedName>
    <definedName name="OSRRefT16x_0" localSheetId="54">'314'!$T$33:$T$43</definedName>
    <definedName name="OSRRefT16x_0" localSheetId="60">'315'!$T$31:$T$44</definedName>
    <definedName name="OSRRefT16x_0" localSheetId="66">'317'!$T$35:$T$44</definedName>
    <definedName name="OSRRefT16x_0" localSheetId="64">'320'!$T$18:$T$21</definedName>
    <definedName name="OSRRefT16x_0" localSheetId="70">'321'!$T$18:$T$20</definedName>
    <definedName name="OSRRefT16x_0" localSheetId="71">'322'!$T$18:$T$20</definedName>
    <definedName name="OSRRefT16x_0" localSheetId="57">'324'!$T$18:$T$20</definedName>
    <definedName name="OSRRefT16x_0" localSheetId="72">'325'!$T$18:$T$20</definedName>
    <definedName name="OSRRefT16x_0" localSheetId="61">'326'!$T$28:$T$39</definedName>
    <definedName name="OSRRefT16x_0" localSheetId="73">'327'!$T$17:$T$18</definedName>
    <definedName name="OSRRefT16x_0" localSheetId="52">'330'!$T$44:$T$57</definedName>
    <definedName name="OSRRefT16x_0" localSheetId="59">'331'!$T$34:$T$51</definedName>
    <definedName name="OSRRefT16x_0" localSheetId="62">'332'!$T$30:$T$33</definedName>
    <definedName name="OSRRefT16x_0" localSheetId="77">'405'!$T$18:$T$20</definedName>
    <definedName name="OSRRefT16x_0" localSheetId="78">'406'!$T$15:$T$16</definedName>
    <definedName name="OSRRefT16x_0" localSheetId="80">'412'!$T$19:$T$20</definedName>
    <definedName name="OSRRefT16x_0" localSheetId="81">'413'!$T$19:$T$21</definedName>
    <definedName name="OSRRefT16x_0" localSheetId="82">'414'!$T$19:$T$21</definedName>
    <definedName name="OSRRefT16x_0" localSheetId="83">'415'!$T$18:$T$20</definedName>
    <definedName name="OSRRefT16x_0" localSheetId="84">'418'!$T$19:$T$21</definedName>
    <definedName name="OSRRefT16x_0" localSheetId="87">'424'!$T$16:$T$17</definedName>
    <definedName name="OSRRefT16x_0" localSheetId="88">'425'!$T$19:$T$21</definedName>
    <definedName name="OSRRefT16x_0" localSheetId="92">'433'!$T$19:$T$21</definedName>
    <definedName name="OSRRefT16x_0" localSheetId="93">'435'!$T$16</definedName>
    <definedName name="OSRRefT16x_0" localSheetId="94">'444'!$T$19:$T$21</definedName>
    <definedName name="OSRRefT16x_0" localSheetId="96">'450'!$T$17:$T$18</definedName>
    <definedName name="OSRRefT16x_0" localSheetId="76">'491'!$T$26:$T$28</definedName>
    <definedName name="OSRRefT16x_0" localSheetId="90">'492'!$T$19:$T$21</definedName>
    <definedName name="OSRRefT16x_0" localSheetId="47">'Div 3'!$T$86:$T$124</definedName>
    <definedName name="OSRRefT16x_0" localSheetId="74">'Div 4'!$T$27:$T$29</definedName>
    <definedName name="OSRRefT16x_0" localSheetId="65">'Div 6'!$T$35:$T$44</definedName>
    <definedName name="OSRRefT16x_0" localSheetId="2">Summary!$T$108:$T$153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'300'!$T$124:$T$133</definedName>
    <definedName name="OSRRefT22_0x_0" localSheetId="49">'300 &amp; 317'!$T$146:$T$155</definedName>
    <definedName name="OSRRefT22_0x_0" localSheetId="50">'301'!$T$20:$T$28</definedName>
    <definedName name="OSRRefT22_0x_0" localSheetId="51">'306'!$T$20:$T$28</definedName>
    <definedName name="OSRRefT22_0x_0" localSheetId="53">'307'!$T$51:$T$59</definedName>
    <definedName name="OSRRefT22_0x_0" localSheetId="55">'308'!$T$51:$T$60</definedName>
    <definedName name="OSRRefT22_0x_0" localSheetId="68">'309'!$T$26:$T$34</definedName>
    <definedName name="OSRRefT22_0x_0" localSheetId="67">'310'!$T$33:$T$41</definedName>
    <definedName name="OSRRefT22_0x_0" localSheetId="75">'310 &amp; 491'!$T$40:$T$49</definedName>
    <definedName name="OSRRefT22_0x_0" localSheetId="56">'311'!$T$51:$T$60</definedName>
    <definedName name="OSRRefT22_0x_0" localSheetId="69">'313'!$T$29:$T$37</definedName>
    <definedName name="OSRRefT22_0x_0" localSheetId="54">'314'!$T$49:$T$56</definedName>
    <definedName name="OSRRefT22_0x_0" localSheetId="60">'315'!$T$50:$T$58</definedName>
    <definedName name="OSRRefT22_0x_0" localSheetId="63">'316'!$T$32:$T$40</definedName>
    <definedName name="OSRRefT22_0x_0" localSheetId="66">'317'!$T$50:$T$59</definedName>
    <definedName name="OSRRefT22_0x_0" localSheetId="64">'320'!$T$27:$T$34</definedName>
    <definedName name="OSRRefT22_0x_0" localSheetId="70">'321'!$T$26:$T$33</definedName>
    <definedName name="OSRRefT22_0x_0" localSheetId="71">'322'!$T$26:$T$34</definedName>
    <definedName name="OSRRefT22_0x_0" localSheetId="72">'325'!$T$26:$T$34</definedName>
    <definedName name="OSRRefT22_0x_0" localSheetId="61">'326'!$T$45:$T$52</definedName>
    <definedName name="OSRRefT22_0x_0" localSheetId="73">'327'!$T$24</definedName>
    <definedName name="OSRRefT22_0x_0" localSheetId="52">'330'!$T$63:$T$71</definedName>
    <definedName name="OSRRefT22_0x_0" localSheetId="59">'331'!$T$57:$T$65</definedName>
    <definedName name="OSRRefT22_0x_0" localSheetId="62">'332'!$T$39:$T$47</definedName>
    <definedName name="OSRRefT22_0x_0" localSheetId="77">'405'!$T$26:$T$34</definedName>
    <definedName name="OSRRefT22_0x_0" localSheetId="78">'406'!$T$22:$T$30</definedName>
    <definedName name="OSRRefT22_0x_0" localSheetId="79">'411'!$T$20:$T$29</definedName>
    <definedName name="OSRRefT22_0x_0" localSheetId="80">'412'!$T$26:$T$34</definedName>
    <definedName name="OSRRefT22_0x_0" localSheetId="81">'413'!$T$27:$T$35</definedName>
    <definedName name="OSRRefT22_0x_0" localSheetId="82">'414'!$T$27:$T$35</definedName>
    <definedName name="OSRRefT22_0x_0" localSheetId="83">'415'!$T$26:$T$34</definedName>
    <definedName name="OSRRefT22_0x_0" localSheetId="84">'418'!$T$27:$T$35</definedName>
    <definedName name="OSRRefT22_0x_0" localSheetId="86">'423'!$T$20:$T$28</definedName>
    <definedName name="OSRRefT22_0x_0" localSheetId="87">'424'!$T$23:$T$30</definedName>
    <definedName name="OSRRefT22_0x_0" localSheetId="88">'425'!$T$27:$T$35</definedName>
    <definedName name="OSRRefT22_0x_0" localSheetId="91">'430'!$T$20:$T$28</definedName>
    <definedName name="OSRRefT22_0x_0" localSheetId="92">'433'!$T$27:$T$36</definedName>
    <definedName name="OSRRefT22_0x_0" localSheetId="93">'435'!$T$22:$T$29</definedName>
    <definedName name="OSRRefT22_0x_0" localSheetId="94">'444'!$T$27:$T$36</definedName>
    <definedName name="OSRRefT22_0x_0" localSheetId="96">'450'!$T$24:$T$33</definedName>
    <definedName name="OSRRefT22_0x_0" localSheetId="89">'455'!$T$20:$T$27</definedName>
    <definedName name="OSRRefT22_0x_0" localSheetId="76">'491'!$T$34:$T$43</definedName>
    <definedName name="OSRRefT22_0x_0" localSheetId="90">'492'!$T$27:$T$36</definedName>
    <definedName name="OSRRefT22_0x_0" localSheetId="98">'501'!$T$21:$T$29</definedName>
    <definedName name="OSRRefT22_0x_0" localSheetId="39">'Div 2'!$T$20:$T$30</definedName>
    <definedName name="OSRRefT22_0x_0" localSheetId="47">'Div 3'!$T$130:$T$139</definedName>
    <definedName name="OSRRefT22_0x_0" localSheetId="74">'Div 4'!$T$35:$T$44</definedName>
    <definedName name="OSRRefT22_0x_0" localSheetId="97">'Div 5'!$T$21:$T$29</definedName>
    <definedName name="OSRRefT22_0x_0" localSheetId="65">'Div 6'!$T$50:$T$59</definedName>
    <definedName name="OSRRefT22_0x_0" localSheetId="2">Summary!$T$159:$T$168</definedName>
    <definedName name="OSRRefT22_10x_0" localSheetId="41">'201'!$T$59</definedName>
    <definedName name="OSRRefT22_10x_0" localSheetId="42">'202'!$T$59</definedName>
    <definedName name="OSRRefT22_10x_0" localSheetId="43">'203'!$T$60</definedName>
    <definedName name="OSRRefT22_10x_0" localSheetId="44">'204'!$T$62</definedName>
    <definedName name="OSRRefT22_10x_0" localSheetId="48">'300'!$T$167:$T$168</definedName>
    <definedName name="OSRRefT22_10x_0" localSheetId="49">'300 &amp; 317'!$T$189:$T$190</definedName>
    <definedName name="OSRRefT22_10x_0" localSheetId="50">'301'!$T$61</definedName>
    <definedName name="OSRRefT22_10x_0" localSheetId="53">'307'!$T$89</definedName>
    <definedName name="OSRRefT22_10x_0" localSheetId="55">'308'!$T$90</definedName>
    <definedName name="OSRRefT22_10x_0" localSheetId="68">'309'!$T$63:$T$64</definedName>
    <definedName name="OSRRefT22_10x_0" localSheetId="67">'310'!$T$71</definedName>
    <definedName name="OSRRefT22_10x_0" localSheetId="75">'310 &amp; 491'!$T$81:$T$82</definedName>
    <definedName name="OSRRefT22_10x_0" localSheetId="56">'311'!$T$90</definedName>
    <definedName name="OSRRefT22_10x_0" localSheetId="69">'313'!$T$66</definedName>
    <definedName name="OSRRefT22_10x_0" localSheetId="60">'315'!$T$87:$T$89</definedName>
    <definedName name="OSRRefT22_10x_0" localSheetId="63">'316'!$T$69:$T$70</definedName>
    <definedName name="OSRRefT22_10x_0" localSheetId="70">'321'!$T$62</definedName>
    <definedName name="OSRRefT22_10x_0" localSheetId="71">'322'!$T$63:$T$64</definedName>
    <definedName name="OSRRefT22_10x_0" localSheetId="72">'325'!$T$64</definedName>
    <definedName name="OSRRefT22_10x_0" localSheetId="61">'326'!$T$82</definedName>
    <definedName name="OSRRefT22_10x_0" localSheetId="52">'330'!$T$101</definedName>
    <definedName name="OSRRefT22_10x_0" localSheetId="59">'331'!$T$95</definedName>
    <definedName name="OSRRefT22_10x_0" localSheetId="62">'332'!$T$77:$T$78</definedName>
    <definedName name="OSRRefT22_10x_0" localSheetId="77">'405'!$T$64:$T$66</definedName>
    <definedName name="OSRRefT22_10x_0" localSheetId="78">'406'!$T$64:$T$65</definedName>
    <definedName name="OSRRefT22_10x_0" localSheetId="79">'411'!$T$66:$T$70</definedName>
    <definedName name="OSRRefT22_10x_0" localSheetId="80">'412'!$T$63:$T$64</definedName>
    <definedName name="OSRRefT22_10x_0" localSheetId="81">'413'!$T$66:$T$67</definedName>
    <definedName name="OSRRefT22_10x_0" localSheetId="82">'414'!$T$65</definedName>
    <definedName name="OSRRefT22_10x_0" localSheetId="83">'415'!$T$64</definedName>
    <definedName name="OSRRefT22_10x_0" localSheetId="84">'418'!$T$67:$T$69</definedName>
    <definedName name="OSRRefT22_10x_0" localSheetId="88">'425'!$T$65:$T$68</definedName>
    <definedName name="OSRRefT22_10x_0" localSheetId="92">'433'!$T$65:$T$68</definedName>
    <definedName name="OSRRefT22_10x_0" localSheetId="94">'444'!$T$65:$T$67</definedName>
    <definedName name="OSRRefT22_10x_0" localSheetId="96">'450'!$T$63:$T$65</definedName>
    <definedName name="OSRRefT22_10x_0" localSheetId="76">'491'!$T$76</definedName>
    <definedName name="OSRRefT22_10x_0" localSheetId="90">'492'!$T$66</definedName>
    <definedName name="OSRRefT22_10x_0" localSheetId="98">'501'!$T$58:$T$59</definedName>
    <definedName name="OSRRefT22_10x_0" localSheetId="39">'Div 2'!$T$59</definedName>
    <definedName name="OSRRefT22_10x_0" localSheetId="47">'Div 3'!$T$173:$T$174</definedName>
    <definedName name="OSRRefT22_10x_0" localSheetId="74">'Div 4'!$T$77:$T$78</definedName>
    <definedName name="OSRRefT22_10x_0" localSheetId="97">'Div 5'!$T$58:$T$59</definedName>
    <definedName name="OSRRefT22_10x_0" localSheetId="2">Summary!$T$204:$T$205</definedName>
    <definedName name="OSRRefT22_11x_0" localSheetId="41">'201'!$T$61:$T$63</definedName>
    <definedName name="OSRRefT22_11x_0" localSheetId="42">'202'!$T$61</definedName>
    <definedName name="OSRRefT22_11x_0" localSheetId="43">'203'!$T$62:$T$64</definedName>
    <definedName name="OSRRefT22_11x_0" localSheetId="44">'204'!$T$64</definedName>
    <definedName name="OSRRefT22_11x_0" localSheetId="48">'300'!$T$170</definedName>
    <definedName name="OSRRefT22_11x_0" localSheetId="49">'300 &amp; 317'!$T$192</definedName>
    <definedName name="OSRRefT22_11x_0" localSheetId="50">'301'!$T$63</definedName>
    <definedName name="OSRRefT22_11x_0" localSheetId="53">'307'!$T$91</definedName>
    <definedName name="OSRRefT22_11x_0" localSheetId="55">'308'!$T$92:$T$94</definedName>
    <definedName name="OSRRefT22_11x_0" localSheetId="68">'309'!$T$66</definedName>
    <definedName name="OSRRefT22_11x_0" localSheetId="67">'310'!$T$73</definedName>
    <definedName name="OSRRefT22_11x_0" localSheetId="75">'310 &amp; 491'!$T$84</definedName>
    <definedName name="OSRRefT22_11x_0" localSheetId="56">'311'!$T$92:$T$94</definedName>
    <definedName name="OSRRefT22_11x_0" localSheetId="69">'313'!$T$68:$T$70</definedName>
    <definedName name="OSRRefT22_11x_0" localSheetId="60">'315'!$T$91:$T$92</definedName>
    <definedName name="OSRRefT22_11x_0" localSheetId="63">'316'!$T$72:$T$74</definedName>
    <definedName name="OSRRefT22_11x_0" localSheetId="70">'321'!$T$64:$T$65</definedName>
    <definedName name="OSRRefT22_11x_0" localSheetId="71">'322'!$T$66:$T$68</definedName>
    <definedName name="OSRRefT22_11x_0" localSheetId="72">'325'!$T$66</definedName>
    <definedName name="OSRRefT22_11x_0" localSheetId="61">'326'!$T$84</definedName>
    <definedName name="OSRRefT22_11x_0" localSheetId="52">'330'!$T$103</definedName>
    <definedName name="OSRRefT22_11x_0" localSheetId="59">'331'!$T$97</definedName>
    <definedName name="OSRRefT22_11x_0" localSheetId="62">'332'!$T$80:$T$82</definedName>
    <definedName name="OSRRefT22_11x_0" localSheetId="77">'405'!$T$68</definedName>
    <definedName name="OSRRefT22_11x_0" localSheetId="78">'406'!$T$67</definedName>
    <definedName name="OSRRefT22_11x_0" localSheetId="79">'411'!$T$72</definedName>
    <definedName name="OSRRefT22_11x_0" localSheetId="80">'412'!$T$66:$T$71</definedName>
    <definedName name="OSRRefT22_11x_0" localSheetId="82">'414'!$T$67</definedName>
    <definedName name="OSRRefT22_11x_0" localSheetId="83">'415'!$T$66</definedName>
    <definedName name="OSRRefT22_11x_0" localSheetId="84">'418'!$T$71</definedName>
    <definedName name="OSRRefT22_11x_0" localSheetId="88">'425'!$T$70</definedName>
    <definedName name="OSRRefT22_11x_0" localSheetId="92">'433'!$T$70:$T$76</definedName>
    <definedName name="OSRRefT22_11x_0" localSheetId="94">'444'!$T$69:$T$72</definedName>
    <definedName name="OSRRefT22_11x_0" localSheetId="96">'450'!$T$67:$T$71</definedName>
    <definedName name="OSRRefT22_11x_0" localSheetId="76">'491'!$T$78</definedName>
    <definedName name="OSRRefT22_11x_0" localSheetId="90">'492'!$T$68</definedName>
    <definedName name="OSRRefT22_11x_0" localSheetId="98">'501'!$T$61:$T$62</definedName>
    <definedName name="OSRRefT22_11x_0" localSheetId="39">'Div 2'!$T$61</definedName>
    <definedName name="OSRRefT22_11x_0" localSheetId="47">'Div 3'!$T$176</definedName>
    <definedName name="OSRRefT22_11x_0" localSheetId="74">'Div 4'!$T$80</definedName>
    <definedName name="OSRRefT22_11x_0" localSheetId="97">'Div 5'!$T$61:$T$62</definedName>
    <definedName name="OSRRefT22_11x_0" localSheetId="2">Summary!$T$207:$T$208</definedName>
    <definedName name="OSRRefT22_12x_0" localSheetId="41">'201'!$T$65</definedName>
    <definedName name="OSRRefT22_12x_0" localSheetId="42">'202'!$T$63</definedName>
    <definedName name="OSRRefT22_12x_0" localSheetId="43">'203'!$T$66</definedName>
    <definedName name="OSRRefT22_12x_0" localSheetId="48">'300'!$T$172</definedName>
    <definedName name="OSRRefT22_12x_0" localSheetId="49">'300 &amp; 317'!$T$194</definedName>
    <definedName name="OSRRefT22_12x_0" localSheetId="50">'301'!$T$65</definedName>
    <definedName name="OSRRefT22_12x_0" localSheetId="53">'307'!$T$93</definedName>
    <definedName name="OSRRefT22_12x_0" localSheetId="55">'308'!$T$96:$T$97</definedName>
    <definedName name="OSRRefT22_12x_0" localSheetId="67">'310'!$T$75</definedName>
    <definedName name="OSRRefT22_12x_0" localSheetId="75">'310 &amp; 491'!$T$86</definedName>
    <definedName name="OSRRefT22_12x_0" localSheetId="56">'311'!$T$96:$T$97</definedName>
    <definedName name="OSRRefT22_12x_0" localSheetId="69">'313'!$T$72</definedName>
    <definedName name="OSRRefT22_12x_0" localSheetId="60">'315'!$T$94:$T$97</definedName>
    <definedName name="OSRRefT22_12x_0" localSheetId="63">'316'!$T$76:$T$77</definedName>
    <definedName name="OSRRefT22_12x_0" localSheetId="70">'321'!$T$67:$T$68</definedName>
    <definedName name="OSRRefT22_12x_0" localSheetId="71">'322'!$T$70</definedName>
    <definedName name="OSRRefT22_12x_0" localSheetId="72">'325'!$T$68:$T$71</definedName>
    <definedName name="OSRRefT22_12x_0" localSheetId="61">'326'!$T$86</definedName>
    <definedName name="OSRRefT22_12x_0" localSheetId="52">'330'!$T$105</definedName>
    <definedName name="OSRRefT22_12x_0" localSheetId="59">'331'!$T$99</definedName>
    <definedName name="OSRRefT22_12x_0" localSheetId="62">'332'!$T$84:$T$85</definedName>
    <definedName name="OSRRefT22_12x_0" localSheetId="77">'405'!$T$70:$T$72</definedName>
    <definedName name="OSRRefT22_12x_0" localSheetId="78">'406'!$T$69</definedName>
    <definedName name="OSRRefT22_12x_0" localSheetId="79">'411'!$T$74</definedName>
    <definedName name="OSRRefT22_12x_0" localSheetId="80">'412'!$T$73</definedName>
    <definedName name="OSRRefT22_12x_0" localSheetId="82">'414'!$T$69:$T$72</definedName>
    <definedName name="OSRRefT22_12x_0" localSheetId="83">'415'!$T$68:$T$72</definedName>
    <definedName name="OSRRefT22_12x_0" localSheetId="84">'418'!$T$73:$T$76</definedName>
    <definedName name="OSRRefT22_12x_0" localSheetId="88">'425'!$T$72</definedName>
    <definedName name="OSRRefT22_12x_0" localSheetId="92">'433'!$T$78</definedName>
    <definedName name="OSRRefT22_12x_0" localSheetId="94">'444'!$T$74:$T$78</definedName>
    <definedName name="OSRRefT22_12x_0" localSheetId="96">'450'!$T$73</definedName>
    <definedName name="OSRRefT22_12x_0" localSheetId="76">'491'!$T$80:$T$83</definedName>
    <definedName name="OSRRefT22_12x_0" localSheetId="90">'492'!$T$70:$T$72</definedName>
    <definedName name="OSRRefT22_12x_0" localSheetId="98">'501'!$T$64</definedName>
    <definedName name="OSRRefT22_12x_0" localSheetId="39">'Div 2'!$T$63:$T$65</definedName>
    <definedName name="OSRRefT22_12x_0" localSheetId="47">'Div 3'!$T$178</definedName>
    <definedName name="OSRRefT22_12x_0" localSheetId="74">'Div 4'!$T$82</definedName>
    <definedName name="OSRRefT22_12x_0" localSheetId="97">'Div 5'!$T$64</definedName>
    <definedName name="OSRRefT22_12x_0" localSheetId="2">Summary!$T$210</definedName>
    <definedName name="OSRRefT22_13x_0" localSheetId="41">'201'!$T$67</definedName>
    <definedName name="OSRRefT22_13x_0" localSheetId="42">'202'!$T$65</definedName>
    <definedName name="OSRRefT22_13x_0" localSheetId="43">'203'!$T$68</definedName>
    <definedName name="OSRRefT22_13x_0" localSheetId="48">'300'!$T$174</definedName>
    <definedName name="OSRRefT22_13x_0" localSheetId="49">'300 &amp; 317'!$T$196</definedName>
    <definedName name="OSRRefT22_13x_0" localSheetId="50">'301'!$T$67</definedName>
    <definedName name="OSRRefT22_13x_0" localSheetId="55">'308'!$T$99</definedName>
    <definedName name="OSRRefT22_13x_0" localSheetId="67">'310'!$T$77</definedName>
    <definedName name="OSRRefT22_13x_0" localSheetId="75">'310 &amp; 491'!$T$88</definedName>
    <definedName name="OSRRefT22_13x_0" localSheetId="56">'311'!$T$99</definedName>
    <definedName name="OSRRefT22_13x_0" localSheetId="60">'315'!$T$99</definedName>
    <definedName name="OSRRefT22_13x_0" localSheetId="70">'321'!$T$70</definedName>
    <definedName name="OSRRefT22_13x_0" localSheetId="71">'322'!$T$72</definedName>
    <definedName name="OSRRefT22_13x_0" localSheetId="72">'325'!$T$73</definedName>
    <definedName name="OSRRefT22_13x_0" localSheetId="61">'326'!$T$88:$T$89</definedName>
    <definedName name="OSRRefT22_13x_0" localSheetId="59">'331'!$T$101</definedName>
    <definedName name="OSRRefT22_13x_0" localSheetId="77">'405'!$T$74:$T$81</definedName>
    <definedName name="OSRRefT22_13x_0" localSheetId="79">'411'!$T$76:$T$78</definedName>
    <definedName name="OSRRefT22_13x_0" localSheetId="82">'414'!$T$74</definedName>
    <definedName name="OSRRefT22_13x_0" localSheetId="83">'415'!$T$74</definedName>
    <definedName name="OSRRefT22_13x_0" localSheetId="84">'418'!$T$78</definedName>
    <definedName name="OSRRefT22_13x_0" localSheetId="92">'433'!$T$80</definedName>
    <definedName name="OSRRefT22_13x_0" localSheetId="94">'444'!$T$80</definedName>
    <definedName name="OSRRefT22_13x_0" localSheetId="96">'450'!$T$75</definedName>
    <definedName name="OSRRefT22_13x_0" localSheetId="76">'491'!$T$85:$T$86</definedName>
    <definedName name="OSRRefT22_13x_0" localSheetId="90">'492'!$T$74:$T$77</definedName>
    <definedName name="OSRRefT22_13x_0" localSheetId="39">'Div 2'!$T$67:$T$70</definedName>
    <definedName name="OSRRefT22_13x_0" localSheetId="47">'Div 3'!$T$180</definedName>
    <definedName name="OSRRefT22_13x_0" localSheetId="74">'Div 4'!$T$84</definedName>
    <definedName name="OSRRefT22_13x_0" localSheetId="2">Summary!$T$212</definedName>
    <definedName name="OSRRefT22_14x_0" localSheetId="42">'202'!$T$67</definedName>
    <definedName name="OSRRefT22_14x_0" localSheetId="43">'203'!$T$70</definedName>
    <definedName name="OSRRefT22_14x_0" localSheetId="48">'300'!$T$176</definedName>
    <definedName name="OSRRefT22_14x_0" localSheetId="49">'300 &amp; 317'!$T$198</definedName>
    <definedName name="OSRRefT22_14x_0" localSheetId="50">'301'!$T$69</definedName>
    <definedName name="OSRRefT22_14x_0" localSheetId="55">'308'!$T$101</definedName>
    <definedName name="OSRRefT22_14x_0" localSheetId="67">'310'!$T$79</definedName>
    <definedName name="OSRRefT22_14x_0" localSheetId="75">'310 &amp; 491'!$T$90</definedName>
    <definedName name="OSRRefT22_14x_0" localSheetId="56">'311'!$T$101</definedName>
    <definedName name="OSRRefT22_14x_0" localSheetId="60">'315'!$T$101</definedName>
    <definedName name="OSRRefT22_14x_0" localSheetId="70">'321'!$T$72</definedName>
    <definedName name="OSRRefT22_14x_0" localSheetId="72">'325'!$T$75:$T$80</definedName>
    <definedName name="OSRRefT22_14x_0" localSheetId="61">'326'!$T$91:$T$93</definedName>
    <definedName name="OSRRefT22_14x_0" localSheetId="59">'331'!$T$103:$T$104</definedName>
    <definedName name="OSRRefT22_14x_0" localSheetId="77">'405'!$T$83</definedName>
    <definedName name="OSRRefT22_14x_0" localSheetId="79">'411'!$T$80</definedName>
    <definedName name="OSRRefT22_14x_0" localSheetId="82">'414'!$T$76</definedName>
    <definedName name="OSRRefT22_14x_0" localSheetId="83">'415'!$T$76:$T$82</definedName>
    <definedName name="OSRRefT22_14x_0" localSheetId="84">'418'!$T$80</definedName>
    <definedName name="OSRRefT22_14x_0" localSheetId="92">'433'!$T$82:$T$83</definedName>
    <definedName name="OSRRefT22_14x_0" localSheetId="94">'444'!$T$82</definedName>
    <definedName name="OSRRefT22_14x_0" localSheetId="96">'450'!$T$77:$T$78</definedName>
    <definedName name="OSRRefT22_14x_0" localSheetId="76">'491'!$T$88:$T$92</definedName>
    <definedName name="OSRRefT22_14x_0" localSheetId="90">'492'!$T$79:$T$87</definedName>
    <definedName name="OSRRefT22_14x_0" localSheetId="39">'Div 2'!$T$72:$T$75</definedName>
    <definedName name="OSRRefT22_14x_0" localSheetId="47">'Div 3'!$T$182</definedName>
    <definedName name="OSRRefT22_14x_0" localSheetId="74">'Div 4'!$T$86</definedName>
    <definedName name="OSRRefT22_14x_0" localSheetId="2">Summary!$T$214</definedName>
    <definedName name="OSRRefT22_15x_0" localSheetId="48">'300'!$T$178</definedName>
    <definedName name="OSRRefT22_15x_0" localSheetId="49">'300 &amp; 317'!$T$200</definedName>
    <definedName name="OSRRefT22_15x_0" localSheetId="50">'301'!$T$71:$T$73</definedName>
    <definedName name="OSRRefT22_15x_0" localSheetId="67">'310'!$T$81</definedName>
    <definedName name="OSRRefT22_15x_0" localSheetId="75">'310 &amp; 491'!$T$92:$T$95</definedName>
    <definedName name="OSRRefT22_15x_0" localSheetId="60">'315'!$T$103</definedName>
    <definedName name="OSRRefT22_15x_0" localSheetId="72">'325'!$T$82</definedName>
    <definedName name="OSRRefT22_15x_0" localSheetId="61">'326'!$T$95:$T$96</definedName>
    <definedName name="OSRRefT22_15x_0" localSheetId="59">'331'!$T$106:$T$108</definedName>
    <definedName name="OSRRefT22_15x_0" localSheetId="77">'405'!$T$85</definedName>
    <definedName name="OSRRefT22_15x_0" localSheetId="83">'415'!$T$84</definedName>
    <definedName name="OSRRefT22_15x_0" localSheetId="84">'418'!$T$82</definedName>
    <definedName name="OSRRefT22_15x_0" localSheetId="94">'444'!$T$84</definedName>
    <definedName name="OSRRefT22_15x_0" localSheetId="76">'491'!$T$94</definedName>
    <definedName name="OSRRefT22_15x_0" localSheetId="90">'492'!$T$89</definedName>
    <definedName name="OSRRefT22_15x_0" localSheetId="39">'Div 2'!$T$77:$T$78</definedName>
    <definedName name="OSRRefT22_15x_0" localSheetId="47">'Div 3'!$T$184</definedName>
    <definedName name="OSRRefT22_15x_0" localSheetId="74">'Div 4'!$T$88:$T$91</definedName>
    <definedName name="OSRRefT22_15x_0" localSheetId="2">Summary!$T$216</definedName>
    <definedName name="OSRRefT22_16x_0" localSheetId="48">'300'!$T$180:$T$182</definedName>
    <definedName name="OSRRefT22_16x_0" localSheetId="49">'300 &amp; 317'!$T$202:$T$204</definedName>
    <definedName name="OSRRefT22_16x_0" localSheetId="50">'301'!$T$75:$T$77</definedName>
    <definedName name="OSRRefT22_16x_0" localSheetId="67">'310'!$T$83</definedName>
    <definedName name="OSRRefT22_16x_0" localSheetId="75">'310 &amp; 491'!$T$97:$T$98</definedName>
    <definedName name="OSRRefT22_16x_0" localSheetId="72">'325'!$T$84</definedName>
    <definedName name="OSRRefT22_16x_0" localSheetId="61">'326'!$T$98:$T$102</definedName>
    <definedName name="OSRRefT22_16x_0" localSheetId="59">'331'!$T$110:$T$112</definedName>
    <definedName name="OSRRefT22_16x_0" localSheetId="77">'405'!$T$87</definedName>
    <definedName name="OSRRefT22_16x_0" localSheetId="83">'415'!$T$86:$T$87</definedName>
    <definedName name="OSRRefT22_16x_0" localSheetId="76">'491'!$T$96:$T$105</definedName>
    <definedName name="OSRRefT22_16x_0" localSheetId="90">'492'!$T$91</definedName>
    <definedName name="OSRRefT22_16x_0" localSheetId="39">'Div 2'!$T$80:$T$81</definedName>
    <definedName name="OSRRefT22_16x_0" localSheetId="47">'Div 3'!$T$186</definedName>
    <definedName name="OSRRefT22_16x_0" localSheetId="74">'Div 4'!$T$93:$T$94</definedName>
    <definedName name="OSRRefT22_16x_0" localSheetId="2">Summary!$T$218</definedName>
    <definedName name="OSRRefT22_17x_0" localSheetId="48">'300'!$T$184:$T$187</definedName>
    <definedName name="OSRRefT22_17x_0" localSheetId="49">'300 &amp; 317'!$T$206:$T$209</definedName>
    <definedName name="OSRRefT22_17x_0" localSheetId="50">'301'!$T$79:$T$80</definedName>
    <definedName name="OSRRefT22_17x_0" localSheetId="67">'310'!$T$85:$T$89</definedName>
    <definedName name="OSRRefT22_17x_0" localSheetId="75">'310 &amp; 491'!$T$100:$T$105</definedName>
    <definedName name="OSRRefT22_17x_0" localSheetId="61">'326'!$T$104:$T$105</definedName>
    <definedName name="OSRRefT22_17x_0" localSheetId="59">'331'!$T$114:$T$115</definedName>
    <definedName name="OSRRefT22_17x_0" localSheetId="83">'415'!$T$89</definedName>
    <definedName name="OSRRefT22_17x_0" localSheetId="76">'491'!$T$107:$T$108</definedName>
    <definedName name="OSRRefT22_17x_0" localSheetId="90">'492'!$T$93:$T$94</definedName>
    <definedName name="OSRRefT22_17x_0" localSheetId="39">'Div 2'!$T$83:$T$86</definedName>
    <definedName name="OSRRefT22_17x_0" localSheetId="47">'Div 3'!$T$188</definedName>
    <definedName name="OSRRefT22_17x_0" localSheetId="74">'Div 4'!$T$96:$T$100</definedName>
    <definedName name="OSRRefT22_17x_0" localSheetId="2">Summary!$T$220</definedName>
    <definedName name="OSRRefT22_18x_0" localSheetId="48">'300'!$T$189:$T$192</definedName>
    <definedName name="OSRRefT22_18x_0" localSheetId="49">'300 &amp; 317'!$T$211:$T$214</definedName>
    <definedName name="OSRRefT22_18x_0" localSheetId="50">'301'!$T$82:$T$86</definedName>
    <definedName name="OSRRefT22_18x_0" localSheetId="67">'310'!$T$91</definedName>
    <definedName name="OSRRefT22_18x_0" localSheetId="75">'310 &amp; 491'!$T$107</definedName>
    <definedName name="OSRRefT22_18x_0" localSheetId="61">'326'!$T$107</definedName>
    <definedName name="OSRRefT22_18x_0" localSheetId="59">'331'!$T$117:$T$121</definedName>
    <definedName name="OSRRefT22_18x_0" localSheetId="76">'491'!$T$110</definedName>
    <definedName name="OSRRefT22_18x_0" localSheetId="39">'Div 2'!$T$88:$T$89</definedName>
    <definedName name="OSRRefT22_18x_0" localSheetId="47">'Div 3'!$T$190:$T$192</definedName>
    <definedName name="OSRRefT22_18x_0" localSheetId="74">'Div 4'!$T$102</definedName>
    <definedName name="OSRRefT22_18x_0" localSheetId="2">Summary!$T$222:$T$225</definedName>
    <definedName name="OSRRefT22_19x_0" localSheetId="48">'300'!$T$194:$T$195</definedName>
    <definedName name="OSRRefT22_19x_0" localSheetId="49">'300 &amp; 317'!$T$216:$T$217</definedName>
    <definedName name="OSRRefT22_19x_0" localSheetId="50">'301'!$T$88</definedName>
    <definedName name="OSRRefT22_19x_0" localSheetId="67">'310'!$T$93:$T$98</definedName>
    <definedName name="OSRRefT22_19x_0" localSheetId="75">'310 &amp; 491'!$T$109:$T$118</definedName>
    <definedName name="OSRRefT22_19x_0" localSheetId="61">'326'!$T$109</definedName>
    <definedName name="OSRRefT22_19x_0" localSheetId="59">'331'!$T$123:$T$124</definedName>
    <definedName name="OSRRefT22_19x_0" localSheetId="76">'491'!$T$112:$T$114</definedName>
    <definedName name="OSRRefT22_19x_0" localSheetId="39">'Div 2'!$T$91</definedName>
    <definedName name="OSRRefT22_19x_0" localSheetId="47">'Div 3'!$T$194:$T$197</definedName>
    <definedName name="OSRRefT22_19x_0" localSheetId="74">'Div 4'!$T$104:$T$113</definedName>
    <definedName name="OSRRefT22_19x_0" localSheetId="2">Summary!$T$227:$T$230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'300'!$T$135:$T$144</definedName>
    <definedName name="OSRRefT22_1x_0" localSheetId="49">'300 &amp; 317'!$T$157:$T$166</definedName>
    <definedName name="OSRRefT22_1x_0" localSheetId="50">'301'!$T$30:$T$39</definedName>
    <definedName name="OSRRefT22_1x_0" localSheetId="51">'306'!$T$30:$T$39</definedName>
    <definedName name="OSRRefT22_1x_0" localSheetId="53">'307'!$T$61:$T$70</definedName>
    <definedName name="OSRRefT22_1x_0" localSheetId="55">'308'!$T$62:$T$71</definedName>
    <definedName name="OSRRefT22_1x_0" localSheetId="68">'309'!$T$36:$T$45</definedName>
    <definedName name="OSRRefT22_1x_0" localSheetId="67">'310'!$T$43:$T$52</definedName>
    <definedName name="OSRRefT22_1x_0" localSheetId="75">'310 &amp; 491'!$T$51:$T$60</definedName>
    <definedName name="OSRRefT22_1x_0" localSheetId="56">'311'!$T$62:$T$71</definedName>
    <definedName name="OSRRefT22_1x_0" localSheetId="69">'313'!$T$39:$T$48</definedName>
    <definedName name="OSRRefT22_1x_0" localSheetId="54">'314'!$T$58:$T$67</definedName>
    <definedName name="OSRRefT22_1x_0" localSheetId="60">'315'!$T$60:$T$69</definedName>
    <definedName name="OSRRefT22_1x_0" localSheetId="63">'316'!$T$42:$T$51</definedName>
    <definedName name="OSRRefT22_1x_0" localSheetId="66">'317'!$T$61:$T$70</definedName>
    <definedName name="OSRRefT22_1x_0" localSheetId="64">'320'!$T$36:$T$45</definedName>
    <definedName name="OSRRefT22_1x_0" localSheetId="70">'321'!$T$35:$T$44</definedName>
    <definedName name="OSRRefT22_1x_0" localSheetId="71">'322'!$T$36:$T$45</definedName>
    <definedName name="OSRRefT22_1x_0" localSheetId="72">'325'!$T$36:$T$45</definedName>
    <definedName name="OSRRefT22_1x_0" localSheetId="61">'326'!$T$54:$T$63</definedName>
    <definedName name="OSRRefT22_1x_0" localSheetId="52">'330'!$T$73:$T$82</definedName>
    <definedName name="OSRRefT22_1x_0" localSheetId="59">'331'!$T$67:$T$76</definedName>
    <definedName name="OSRRefT22_1x_0" localSheetId="62">'332'!$T$49:$T$58</definedName>
    <definedName name="OSRRefT22_1x_0" localSheetId="77">'405'!$T$36:$T$45</definedName>
    <definedName name="OSRRefT22_1x_0" localSheetId="78">'406'!$T$32:$T$41</definedName>
    <definedName name="OSRRefT22_1x_0" localSheetId="79">'411'!$T$31:$T$40</definedName>
    <definedName name="OSRRefT22_1x_0" localSheetId="80">'412'!$T$36:$T$45</definedName>
    <definedName name="OSRRefT22_1x_0" localSheetId="81">'413'!$T$37:$T$46</definedName>
    <definedName name="OSRRefT22_1x_0" localSheetId="82">'414'!$T$37:$T$46</definedName>
    <definedName name="OSRRefT22_1x_0" localSheetId="83">'415'!$T$36:$T$45</definedName>
    <definedName name="OSRRefT22_1x_0" localSheetId="84">'418'!$T$37:$T$46</definedName>
    <definedName name="OSRRefT22_1x_0" localSheetId="86">'423'!$T$30:$T$39</definedName>
    <definedName name="OSRRefT22_1x_0" localSheetId="87">'424'!$T$32:$T$41</definedName>
    <definedName name="OSRRefT22_1x_0" localSheetId="88">'425'!$T$37:$T$46</definedName>
    <definedName name="OSRRefT22_1x_0" localSheetId="91">'430'!$T$30:$T$39</definedName>
    <definedName name="OSRRefT22_1x_0" localSheetId="92">'433'!$T$38:$T$47</definedName>
    <definedName name="OSRRefT22_1x_0" localSheetId="93">'435'!$T$31:$T$40</definedName>
    <definedName name="OSRRefT22_1x_0" localSheetId="94">'444'!$T$38:$T$47</definedName>
    <definedName name="OSRRefT22_1x_0" localSheetId="96">'450'!$T$35:$T$44</definedName>
    <definedName name="OSRRefT22_1x_0" localSheetId="89">'455'!$T$29:$T$38</definedName>
    <definedName name="OSRRefT22_1x_0" localSheetId="76">'491'!$T$45:$T$54</definedName>
    <definedName name="OSRRefT22_1x_0" localSheetId="90">'492'!$T$38:$T$47</definedName>
    <definedName name="OSRRefT22_1x_0" localSheetId="98">'501'!$T$31:$T$40</definedName>
    <definedName name="OSRRefT22_1x_0" localSheetId="39">'Div 2'!$T$32:$T$41</definedName>
    <definedName name="OSRRefT22_1x_0" localSheetId="47">'Div 3'!$T$141:$T$150</definedName>
    <definedName name="OSRRefT22_1x_0" localSheetId="74">'Div 4'!$T$46:$T$55</definedName>
    <definedName name="OSRRefT22_1x_0" localSheetId="97">'Div 5'!$T$31:$T$40</definedName>
    <definedName name="OSRRefT22_1x_0" localSheetId="65">'Div 6'!$T$61:$T$70</definedName>
    <definedName name="OSRRefT22_1x_0" localSheetId="2">Summary!$T$170:$T$179</definedName>
    <definedName name="OSRRefT22_20x_0" localSheetId="48">'300'!$T$197:$T$203</definedName>
    <definedName name="OSRRefT22_20x_0" localSheetId="49">'300 &amp; 317'!$T$219:$T$225</definedName>
    <definedName name="OSRRefT22_20x_0" localSheetId="50">'301'!$T$90</definedName>
    <definedName name="OSRRefT22_20x_0" localSheetId="67">'310'!$T$100</definedName>
    <definedName name="OSRRefT22_20x_0" localSheetId="75">'310 &amp; 491'!$T$120:$T$121</definedName>
    <definedName name="OSRRefT22_20x_0" localSheetId="61">'326'!$T$111</definedName>
    <definedName name="OSRRefT22_20x_0" localSheetId="59">'331'!$T$126</definedName>
    <definedName name="OSRRefT22_20x_0" localSheetId="76">'491'!$T$116</definedName>
    <definedName name="OSRRefT22_20x_0" localSheetId="39">'Div 2'!$T$93</definedName>
    <definedName name="OSRRefT22_20x_0" localSheetId="47">'Div 3'!$T$199:$T$204</definedName>
    <definedName name="OSRRefT22_20x_0" localSheetId="74">'Div 4'!$T$115:$T$116</definedName>
    <definedName name="OSRRefT22_20x_0" localSheetId="2">Summary!$T$232:$T$237</definedName>
    <definedName name="OSRRefT22_21x_0" localSheetId="48">'300'!$T$205:$T$206</definedName>
    <definedName name="OSRRefT22_21x_0" localSheetId="49">'300 &amp; 317'!$T$227:$T$228</definedName>
    <definedName name="OSRRefT22_21x_0" localSheetId="50">'301'!$T$92:$T$93</definedName>
    <definedName name="OSRRefT22_21x_0" localSheetId="67">'310'!$T$102</definedName>
    <definedName name="OSRRefT22_21x_0" localSheetId="75">'310 &amp; 491'!$T$123</definedName>
    <definedName name="OSRRefT22_21x_0" localSheetId="59">'331'!$T$128</definedName>
    <definedName name="OSRRefT22_21x_0" localSheetId="47">'Div 3'!$T$206:$T$207</definedName>
    <definedName name="OSRRefT22_21x_0" localSheetId="74">'Div 4'!$T$118</definedName>
    <definedName name="OSRRefT22_21x_0" localSheetId="2">Summary!$T$239:$T$240</definedName>
    <definedName name="OSRRefT22_22x_0" localSheetId="48">'300'!$T$208</definedName>
    <definedName name="OSRRefT22_22x_0" localSheetId="49">'300 &amp; 317'!$T$230</definedName>
    <definedName name="OSRRefT22_22x_0" localSheetId="50">'301'!$T$95</definedName>
    <definedName name="OSRRefT22_22x_0" localSheetId="75">'310 &amp; 491'!$T$125:$T$127</definedName>
    <definedName name="OSRRefT22_22x_0" localSheetId="59">'331'!$T$130</definedName>
    <definedName name="OSRRefT22_22x_0" localSheetId="47">'Div 3'!$T$209:$T$216</definedName>
    <definedName name="OSRRefT22_22x_0" localSheetId="74">'Div 4'!$T$120:$T$122</definedName>
    <definedName name="OSRRefT22_22x_0" localSheetId="2">Summary!$T$242:$T$251</definedName>
    <definedName name="OSRRefT22_23x_0" localSheetId="48">'300'!$T$210:$T$212</definedName>
    <definedName name="OSRRefT22_23x_0" localSheetId="49">'300 &amp; 317'!$T$232:$T$234</definedName>
    <definedName name="OSRRefT22_23x_0" localSheetId="75">'310 &amp; 491'!$T$129</definedName>
    <definedName name="OSRRefT22_23x_0" localSheetId="47">'Div 3'!$T$218:$T$219</definedName>
    <definedName name="OSRRefT22_23x_0" localSheetId="74">'Div 4'!$T$124</definedName>
    <definedName name="OSRRefT22_23x_0" localSheetId="2">Summary!$T$253:$T$254</definedName>
    <definedName name="OSRRefT22_24x_0" localSheetId="48">'300'!$T$214</definedName>
    <definedName name="OSRRefT22_24x_0" localSheetId="49">'300 &amp; 317'!$T$236</definedName>
    <definedName name="OSRRefT22_24x_0" localSheetId="47">'Div 3'!$T$221</definedName>
    <definedName name="OSRRefT22_24x_0" localSheetId="2">Summary!$T$256</definedName>
    <definedName name="OSRRefT22_25x_0" localSheetId="47">'Div 3'!$T$223:$T$225</definedName>
    <definedName name="OSRRefT22_25x_0" localSheetId="2">Summary!$T$258:$T$260</definedName>
    <definedName name="OSRRefT22_26x_0" localSheetId="47">'Div 3'!$T$227</definedName>
    <definedName name="OSRRefT22_26x_0" localSheetId="2">Summary!$T$262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'300'!$T$146</definedName>
    <definedName name="OSRRefT22_2x_0" localSheetId="49">'300 &amp; 317'!$T$168</definedName>
    <definedName name="OSRRefT22_2x_0" localSheetId="50">'301'!$T$41</definedName>
    <definedName name="OSRRefT22_2x_0" localSheetId="51">'306'!$T$41</definedName>
    <definedName name="OSRRefT22_2x_0" localSheetId="53">'307'!$T$72</definedName>
    <definedName name="OSRRefT22_2x_0" localSheetId="55">'308'!$T$73</definedName>
    <definedName name="OSRRefT22_2x_0" localSheetId="68">'309'!$T$47</definedName>
    <definedName name="OSRRefT22_2x_0" localSheetId="67">'310'!$T$54</definedName>
    <definedName name="OSRRefT22_2x_0" localSheetId="75">'310 &amp; 491'!$T$62</definedName>
    <definedName name="OSRRefT22_2x_0" localSheetId="56">'311'!$T$73</definedName>
    <definedName name="OSRRefT22_2x_0" localSheetId="69">'313'!$T$50</definedName>
    <definedName name="OSRRefT22_2x_0" localSheetId="54">'314'!$T$69</definedName>
    <definedName name="OSRRefT22_2x_0" localSheetId="60">'315'!$T$71</definedName>
    <definedName name="OSRRefT22_2x_0" localSheetId="63">'316'!$T$53</definedName>
    <definedName name="OSRRefT22_2x_0" localSheetId="66">'317'!$T$72</definedName>
    <definedName name="OSRRefT22_2x_0" localSheetId="64">'320'!$T$47</definedName>
    <definedName name="OSRRefT22_2x_0" localSheetId="70">'321'!$T$46</definedName>
    <definedName name="OSRRefT22_2x_0" localSheetId="71">'322'!$T$47</definedName>
    <definedName name="OSRRefT22_2x_0" localSheetId="72">'325'!$T$47</definedName>
    <definedName name="OSRRefT22_2x_0" localSheetId="61">'326'!$T$65</definedName>
    <definedName name="OSRRefT22_2x_0" localSheetId="52">'330'!$T$84</definedName>
    <definedName name="OSRRefT22_2x_0" localSheetId="59">'331'!$T$78</definedName>
    <definedName name="OSRRefT22_2x_0" localSheetId="62">'332'!$T$60</definedName>
    <definedName name="OSRRefT22_2x_0" localSheetId="77">'405'!$T$47</definedName>
    <definedName name="OSRRefT22_2x_0" localSheetId="78">'406'!$T$43</definedName>
    <definedName name="OSRRefT22_2x_0" localSheetId="79">'411'!$T$42</definedName>
    <definedName name="OSRRefT22_2x_0" localSheetId="80">'412'!$T$47</definedName>
    <definedName name="OSRRefT22_2x_0" localSheetId="81">'413'!$T$48</definedName>
    <definedName name="OSRRefT22_2x_0" localSheetId="82">'414'!$T$48</definedName>
    <definedName name="OSRRefT22_2x_0" localSheetId="83">'415'!$T$47</definedName>
    <definedName name="OSRRefT22_2x_0" localSheetId="84">'418'!$T$48</definedName>
    <definedName name="OSRRefT22_2x_0" localSheetId="86">'423'!$T$41</definedName>
    <definedName name="OSRRefT22_2x_0" localSheetId="87">'424'!$T$43</definedName>
    <definedName name="OSRRefT22_2x_0" localSheetId="88">'425'!$T$48</definedName>
    <definedName name="OSRRefT22_2x_0" localSheetId="91">'430'!$T$41</definedName>
    <definedName name="OSRRefT22_2x_0" localSheetId="92">'433'!$T$49</definedName>
    <definedName name="OSRRefT22_2x_0" localSheetId="93">'435'!$T$42</definedName>
    <definedName name="OSRRefT22_2x_0" localSheetId="94">'444'!$T$49</definedName>
    <definedName name="OSRRefT22_2x_0" localSheetId="96">'450'!$T$46</definedName>
    <definedName name="OSRRefT22_2x_0" localSheetId="76">'491'!$T$56</definedName>
    <definedName name="OSRRefT22_2x_0" localSheetId="90">'492'!$T$49</definedName>
    <definedName name="OSRRefT22_2x_0" localSheetId="98">'501'!$T$42</definedName>
    <definedName name="OSRRefT22_2x_0" localSheetId="39">'Div 2'!$T$43</definedName>
    <definedName name="OSRRefT22_2x_0" localSheetId="47">'Div 3'!$T$152</definedName>
    <definedName name="OSRRefT22_2x_0" localSheetId="74">'Div 4'!$T$57</definedName>
    <definedName name="OSRRefT22_2x_0" localSheetId="97">'Div 5'!$T$42</definedName>
    <definedName name="OSRRefT22_2x_0" localSheetId="65">'Div 6'!$T$72</definedName>
    <definedName name="OSRRefT22_2x_0" localSheetId="2">Summary!$T$181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'204'!$T$44</definedName>
    <definedName name="OSRRefT22_3x_0" localSheetId="45">'205'!$T$43</definedName>
    <definedName name="OSRRefT22_3x_0" localSheetId="46">'206'!$T$43</definedName>
    <definedName name="OSRRefT22_3x_0" localSheetId="48">'300'!$T$148:$T$149</definedName>
    <definedName name="OSRRefT22_3x_0" localSheetId="49">'300 &amp; 317'!$T$170:$T$171</definedName>
    <definedName name="OSRRefT22_3x_0" localSheetId="50">'301'!$T$43</definedName>
    <definedName name="OSRRefT22_3x_0" localSheetId="51">'306'!$T$43</definedName>
    <definedName name="OSRRefT22_3x_0" localSheetId="53">'307'!$T$74</definedName>
    <definedName name="OSRRefT22_3x_0" localSheetId="55">'308'!$T$75</definedName>
    <definedName name="OSRRefT22_3x_0" localSheetId="68">'309'!$T$49</definedName>
    <definedName name="OSRRefT22_3x_0" localSheetId="67">'310'!$T$56</definedName>
    <definedName name="OSRRefT22_3x_0" localSheetId="75">'310 &amp; 491'!$T$64</definedName>
    <definedName name="OSRRefT22_3x_0" localSheetId="56">'311'!$T$75</definedName>
    <definedName name="OSRRefT22_3x_0" localSheetId="69">'313'!$T$52</definedName>
    <definedName name="OSRRefT22_3x_0" localSheetId="54">'314'!$T$71</definedName>
    <definedName name="OSRRefT22_3x_0" localSheetId="60">'315'!$T$73</definedName>
    <definedName name="OSRRefT22_3x_0" localSheetId="63">'316'!$T$55</definedName>
    <definedName name="OSRRefT22_3x_0" localSheetId="66">'317'!$T$74</definedName>
    <definedName name="OSRRefT22_3x_0" localSheetId="64">'320'!$T$49:$T$50</definedName>
    <definedName name="OSRRefT22_3x_0" localSheetId="70">'321'!$T$48</definedName>
    <definedName name="OSRRefT22_3x_0" localSheetId="71">'322'!$T$49</definedName>
    <definedName name="OSRRefT22_3x_0" localSheetId="72">'325'!$T$49</definedName>
    <definedName name="OSRRefT22_3x_0" localSheetId="61">'326'!$T$67:$T$68</definedName>
    <definedName name="OSRRefT22_3x_0" localSheetId="52">'330'!$T$86</definedName>
    <definedName name="OSRRefT22_3x_0" localSheetId="59">'331'!$T$80:$T$81</definedName>
    <definedName name="OSRRefT22_3x_0" localSheetId="62">'332'!$T$62</definedName>
    <definedName name="OSRRefT22_3x_0" localSheetId="77">'405'!$T$49</definedName>
    <definedName name="OSRRefT22_3x_0" localSheetId="78">'406'!$T$45</definedName>
    <definedName name="OSRRefT22_3x_0" localSheetId="79">'411'!$T$44:$T$46</definedName>
    <definedName name="OSRRefT22_3x_0" localSheetId="80">'412'!$T$49</definedName>
    <definedName name="OSRRefT22_3x_0" localSheetId="81">'413'!$T$50</definedName>
    <definedName name="OSRRefT22_3x_0" localSheetId="82">'414'!$T$50</definedName>
    <definedName name="OSRRefT22_3x_0" localSheetId="83">'415'!$T$49</definedName>
    <definedName name="OSRRefT22_3x_0" localSheetId="84">'418'!$T$50</definedName>
    <definedName name="OSRRefT22_3x_0" localSheetId="86">'423'!$T$43</definedName>
    <definedName name="OSRRefT22_3x_0" localSheetId="87">'424'!$T$45</definedName>
    <definedName name="OSRRefT22_3x_0" localSheetId="88">'425'!$T$50</definedName>
    <definedName name="OSRRefT22_3x_0" localSheetId="91">'430'!$T$43</definedName>
    <definedName name="OSRRefT22_3x_0" localSheetId="92">'433'!$T$51</definedName>
    <definedName name="OSRRefT22_3x_0" localSheetId="93">'435'!$T$44</definedName>
    <definedName name="OSRRefT22_3x_0" localSheetId="94">'444'!$T$51</definedName>
    <definedName name="OSRRefT22_3x_0" localSheetId="96">'450'!$T$48:$T$49</definedName>
    <definedName name="OSRRefT22_3x_0" localSheetId="76">'491'!$T$58</definedName>
    <definedName name="OSRRefT22_3x_0" localSheetId="90">'492'!$T$51:$T$52</definedName>
    <definedName name="OSRRefT22_3x_0" localSheetId="98">'501'!$T$44</definedName>
    <definedName name="OSRRefT22_3x_0" localSheetId="39">'Div 2'!$T$45</definedName>
    <definedName name="OSRRefT22_3x_0" localSheetId="47">'Div 3'!$T$154:$T$155</definedName>
    <definedName name="OSRRefT22_3x_0" localSheetId="74">'Div 4'!$T$59:$T$60</definedName>
    <definedName name="OSRRefT22_3x_0" localSheetId="97">'Div 5'!$T$44</definedName>
    <definedName name="OSRRefT22_3x_0" localSheetId="65">'Div 6'!$T$74</definedName>
    <definedName name="OSRRefT22_3x_0" localSheetId="2">Summary!$T$183:$T$184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</definedName>
    <definedName name="OSRRefT22_4x_0" localSheetId="46">'206'!$T$45</definedName>
    <definedName name="OSRRefT22_4x_0" localSheetId="48">'300'!$T$151</definedName>
    <definedName name="OSRRefT22_4x_0" localSheetId="49">'300 &amp; 317'!$T$173</definedName>
    <definedName name="OSRRefT22_4x_0" localSheetId="50">'301'!$T$45</definedName>
    <definedName name="OSRRefT22_4x_0" localSheetId="51">'306'!$T$45</definedName>
    <definedName name="OSRRefT22_4x_0" localSheetId="53">'307'!$T$76</definedName>
    <definedName name="OSRRefT22_4x_0" localSheetId="55">'308'!$T$77</definedName>
    <definedName name="OSRRefT22_4x_0" localSheetId="68">'309'!$T$51</definedName>
    <definedName name="OSRRefT22_4x_0" localSheetId="67">'310'!$T$58</definedName>
    <definedName name="OSRRefT22_4x_0" localSheetId="75">'310 &amp; 491'!$T$66</definedName>
    <definedName name="OSRRefT22_4x_0" localSheetId="56">'311'!$T$77</definedName>
    <definedName name="OSRRefT22_4x_0" localSheetId="69">'313'!$T$54</definedName>
    <definedName name="OSRRefT22_4x_0" localSheetId="54">'314'!$T$73</definedName>
    <definedName name="OSRRefT22_4x_0" localSheetId="60">'315'!$T$75</definedName>
    <definedName name="OSRRefT22_4x_0" localSheetId="63">'316'!$T$57</definedName>
    <definedName name="OSRRefT22_4x_0" localSheetId="66">'317'!$T$76</definedName>
    <definedName name="OSRRefT22_4x_0" localSheetId="64">'320'!$T$52</definedName>
    <definedName name="OSRRefT22_4x_0" localSheetId="70">'321'!$T$50</definedName>
    <definedName name="OSRRefT22_4x_0" localSheetId="71">'322'!$T$51</definedName>
    <definedName name="OSRRefT22_4x_0" localSheetId="72">'325'!$T$51</definedName>
    <definedName name="OSRRefT22_4x_0" localSheetId="61">'326'!$T$70</definedName>
    <definedName name="OSRRefT22_4x_0" localSheetId="52">'330'!$T$88</definedName>
    <definedName name="OSRRefT22_4x_0" localSheetId="59">'331'!$T$83</definedName>
    <definedName name="OSRRefT22_4x_0" localSheetId="62">'332'!$T$64</definedName>
    <definedName name="OSRRefT22_4x_0" localSheetId="77">'405'!$T$51</definedName>
    <definedName name="OSRRefT22_4x_0" localSheetId="78">'406'!$T$47</definedName>
    <definedName name="OSRRefT22_4x_0" localSheetId="79">'411'!$T$48</definedName>
    <definedName name="OSRRefT22_4x_0" localSheetId="80">'412'!$T$51</definedName>
    <definedName name="OSRRefT22_4x_0" localSheetId="81">'413'!$T$52</definedName>
    <definedName name="OSRRefT22_4x_0" localSheetId="82">'414'!$T$52</definedName>
    <definedName name="OSRRefT22_4x_0" localSheetId="83">'415'!$T$51</definedName>
    <definedName name="OSRRefT22_4x_0" localSheetId="84">'418'!$T$52</definedName>
    <definedName name="OSRRefT22_4x_0" localSheetId="86">'423'!$T$45</definedName>
    <definedName name="OSRRefT22_4x_0" localSheetId="87">'424'!$T$47</definedName>
    <definedName name="OSRRefT22_4x_0" localSheetId="88">'425'!$T$52</definedName>
    <definedName name="OSRRefT22_4x_0" localSheetId="91">'430'!$T$45</definedName>
    <definedName name="OSRRefT22_4x_0" localSheetId="92">'433'!$T$53</definedName>
    <definedName name="OSRRefT22_4x_0" localSheetId="93">'435'!$T$46</definedName>
    <definedName name="OSRRefT22_4x_0" localSheetId="94">'444'!$T$53</definedName>
    <definedName name="OSRRefT22_4x_0" localSheetId="96">'450'!$T$51</definedName>
    <definedName name="OSRRefT22_4x_0" localSheetId="76">'491'!$T$60</definedName>
    <definedName name="OSRRefT22_4x_0" localSheetId="90">'492'!$T$54</definedName>
    <definedName name="OSRRefT22_4x_0" localSheetId="98">'501'!$T$46</definedName>
    <definedName name="OSRRefT22_4x_0" localSheetId="39">'Div 2'!$T$47</definedName>
    <definedName name="OSRRefT22_4x_0" localSheetId="47">'Div 3'!$T$157</definedName>
    <definedName name="OSRRefT22_4x_0" localSheetId="74">'Div 4'!$T$62</definedName>
    <definedName name="OSRRefT22_4x_0" localSheetId="97">'Div 5'!$T$46</definedName>
    <definedName name="OSRRefT22_4x_0" localSheetId="65">'Div 6'!$T$76</definedName>
    <definedName name="OSRRefT22_4x_0" localSheetId="2">Summary!$T$186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</definedName>
    <definedName name="OSRRefT22_5x_0" localSheetId="45">'205'!$T$47</definedName>
    <definedName name="OSRRefT22_5x_0" localSheetId="46">'206'!$T$47</definedName>
    <definedName name="OSRRefT22_5x_0" localSheetId="48">'300'!$T$153:$T$155</definedName>
    <definedName name="OSRRefT22_5x_0" localSheetId="49">'300 &amp; 317'!$T$175:$T$177</definedName>
    <definedName name="OSRRefT22_5x_0" localSheetId="50">'301'!$T$47:$T$49</definedName>
    <definedName name="OSRRefT22_5x_0" localSheetId="51">'306'!$T$47</definedName>
    <definedName name="OSRRefT22_5x_0" localSheetId="53">'307'!$T$78</definedName>
    <definedName name="OSRRefT22_5x_0" localSheetId="55">'308'!$T$79</definedName>
    <definedName name="OSRRefT22_5x_0" localSheetId="68">'309'!$T$53</definedName>
    <definedName name="OSRRefT22_5x_0" localSheetId="67">'310'!$T$60:$T$61</definedName>
    <definedName name="OSRRefT22_5x_0" localSheetId="75">'310 &amp; 491'!$T$68:$T$71</definedName>
    <definedName name="OSRRefT22_5x_0" localSheetId="56">'311'!$T$79</definedName>
    <definedName name="OSRRefT22_5x_0" localSheetId="69">'313'!$T$56</definedName>
    <definedName name="OSRRefT22_5x_0" localSheetId="54">'314'!$T$75</definedName>
    <definedName name="OSRRefT22_5x_0" localSheetId="60">'315'!$T$77</definedName>
    <definedName name="OSRRefT22_5x_0" localSheetId="63">'316'!$T$59</definedName>
    <definedName name="OSRRefT22_5x_0" localSheetId="66">'317'!$T$78</definedName>
    <definedName name="OSRRefT22_5x_0" localSheetId="64">'320'!$T$54</definedName>
    <definedName name="OSRRefT22_5x_0" localSheetId="70">'321'!$T$52</definedName>
    <definedName name="OSRRefT22_5x_0" localSheetId="71">'322'!$T$53</definedName>
    <definedName name="OSRRefT22_5x_0" localSheetId="72">'325'!$T$53:$T$54</definedName>
    <definedName name="OSRRefT22_5x_0" localSheetId="61">'326'!$T$72</definedName>
    <definedName name="OSRRefT22_5x_0" localSheetId="52">'330'!$T$90</definedName>
    <definedName name="OSRRefT22_5x_0" localSheetId="59">'331'!$T$85</definedName>
    <definedName name="OSRRefT22_5x_0" localSheetId="62">'332'!$T$66</definedName>
    <definedName name="OSRRefT22_5x_0" localSheetId="77">'405'!$T$53:$T$54</definedName>
    <definedName name="OSRRefT22_5x_0" localSheetId="78">'406'!$T$49</definedName>
    <definedName name="OSRRefT22_5x_0" localSheetId="79">'411'!$T$50</definedName>
    <definedName name="OSRRefT22_5x_0" localSheetId="80">'412'!$T$53</definedName>
    <definedName name="OSRRefT22_5x_0" localSheetId="81">'413'!$T$54</definedName>
    <definedName name="OSRRefT22_5x_0" localSheetId="82">'414'!$T$54:$T$55</definedName>
    <definedName name="OSRRefT22_5x_0" localSheetId="83">'415'!$T$53:$T$54</definedName>
    <definedName name="OSRRefT22_5x_0" localSheetId="84">'418'!$T$54:$T$56</definedName>
    <definedName name="OSRRefT22_5x_0" localSheetId="86">'423'!$T$47</definedName>
    <definedName name="OSRRefT22_5x_0" localSheetId="87">'424'!$T$49</definedName>
    <definedName name="OSRRefT22_5x_0" localSheetId="88">'425'!$T$54</definedName>
    <definedName name="OSRRefT22_5x_0" localSheetId="91">'430'!$T$47</definedName>
    <definedName name="OSRRefT22_5x_0" localSheetId="92">'433'!$T$55</definedName>
    <definedName name="OSRRefT22_5x_0" localSheetId="93">'435'!$T$48</definedName>
    <definedName name="OSRRefT22_5x_0" localSheetId="94">'444'!$T$55</definedName>
    <definedName name="OSRRefT22_5x_0" localSheetId="96">'450'!$T$53</definedName>
    <definedName name="OSRRefT22_5x_0" localSheetId="76">'491'!$T$62:$T$65</definedName>
    <definedName name="OSRRefT22_5x_0" localSheetId="90">'492'!$T$56</definedName>
    <definedName name="OSRRefT22_5x_0" localSheetId="98">'501'!$T$48</definedName>
    <definedName name="OSRRefT22_5x_0" localSheetId="39">'Div 2'!$T$49</definedName>
    <definedName name="OSRRefT22_5x_0" localSheetId="47">'Div 3'!$T$159:$T$161</definedName>
    <definedName name="OSRRefT22_5x_0" localSheetId="74">'Div 4'!$T$64:$T$67</definedName>
    <definedName name="OSRRefT22_5x_0" localSheetId="97">'Div 5'!$T$48</definedName>
    <definedName name="OSRRefT22_5x_0" localSheetId="65">'Div 6'!$T$78</definedName>
    <definedName name="OSRRefT22_5x_0" localSheetId="2">Summary!$T$188:$T$191</definedName>
    <definedName name="OSRRefT22_6x_0" localSheetId="41">'201'!$T$49</definedName>
    <definedName name="OSRRefT22_6x_0" localSheetId="42">'202'!$T$49</definedName>
    <definedName name="OSRRefT22_6x_0" localSheetId="43">'203'!$T$50</definedName>
    <definedName name="OSRRefT22_6x_0" localSheetId="44">'204'!$T$50:$T$53</definedName>
    <definedName name="OSRRefT22_6x_0" localSheetId="45">'205'!$T$49</definedName>
    <definedName name="OSRRefT22_6x_0" localSheetId="46">'206'!$T$49:$T$50</definedName>
    <definedName name="OSRRefT22_6x_0" localSheetId="48">'300'!$T$157:$T$158</definedName>
    <definedName name="OSRRefT22_6x_0" localSheetId="49">'300 &amp; 317'!$T$179:$T$180</definedName>
    <definedName name="OSRRefT22_6x_0" localSheetId="50">'301'!$T$51:$T$52</definedName>
    <definedName name="OSRRefT22_6x_0" localSheetId="51">'306'!$T$49</definedName>
    <definedName name="OSRRefT22_6x_0" localSheetId="53">'307'!$T$80</definedName>
    <definedName name="OSRRefT22_6x_0" localSheetId="55">'308'!$T$81</definedName>
    <definedName name="OSRRefT22_6x_0" localSheetId="68">'309'!$T$55</definedName>
    <definedName name="OSRRefT22_6x_0" localSheetId="67">'310'!$T$63</definedName>
    <definedName name="OSRRefT22_6x_0" localSheetId="75">'310 &amp; 491'!$T$73</definedName>
    <definedName name="OSRRefT22_6x_0" localSheetId="56">'311'!$T$81</definedName>
    <definedName name="OSRRefT22_6x_0" localSheetId="69">'313'!$T$58</definedName>
    <definedName name="OSRRefT22_6x_0" localSheetId="60">'315'!$T$79</definedName>
    <definedName name="OSRRefT22_6x_0" localSheetId="63">'316'!$T$61</definedName>
    <definedName name="OSRRefT22_6x_0" localSheetId="66">'317'!$T$80</definedName>
    <definedName name="OSRRefT22_6x_0" localSheetId="70">'321'!$T$54</definedName>
    <definedName name="OSRRefT22_6x_0" localSheetId="71">'322'!$T$55</definedName>
    <definedName name="OSRRefT22_6x_0" localSheetId="72">'325'!$T$56</definedName>
    <definedName name="OSRRefT22_6x_0" localSheetId="61">'326'!$T$74</definedName>
    <definedName name="OSRRefT22_6x_0" localSheetId="52">'330'!$T$92</definedName>
    <definedName name="OSRRefT22_6x_0" localSheetId="59">'331'!$T$87</definedName>
    <definedName name="OSRRefT22_6x_0" localSheetId="62">'332'!$T$68</definedName>
    <definedName name="OSRRefT22_6x_0" localSheetId="77">'405'!$T$56</definedName>
    <definedName name="OSRRefT22_6x_0" localSheetId="78">'406'!$T$51</definedName>
    <definedName name="OSRRefT22_6x_0" localSheetId="79">'411'!$T$52</definedName>
    <definedName name="OSRRefT22_6x_0" localSheetId="80">'412'!$T$55</definedName>
    <definedName name="OSRRefT22_6x_0" localSheetId="81">'413'!$T$56</definedName>
    <definedName name="OSRRefT22_6x_0" localSheetId="82">'414'!$T$57</definedName>
    <definedName name="OSRRefT22_6x_0" localSheetId="83">'415'!$T$56</definedName>
    <definedName name="OSRRefT22_6x_0" localSheetId="84">'418'!$T$58</definedName>
    <definedName name="OSRRefT22_6x_0" localSheetId="87">'424'!$T$51</definedName>
    <definedName name="OSRRefT22_6x_0" localSheetId="88">'425'!$T$56</definedName>
    <definedName name="OSRRefT22_6x_0" localSheetId="91">'430'!$T$49:$T$51</definedName>
    <definedName name="OSRRefT22_6x_0" localSheetId="92">'433'!$T$57</definedName>
    <definedName name="OSRRefT22_6x_0" localSheetId="93">'435'!$T$50</definedName>
    <definedName name="OSRRefT22_6x_0" localSheetId="94">'444'!$T$57</definedName>
    <definedName name="OSRRefT22_6x_0" localSheetId="96">'450'!$T$55</definedName>
    <definedName name="OSRRefT22_6x_0" localSheetId="76">'491'!$T$67</definedName>
    <definedName name="OSRRefT22_6x_0" localSheetId="90">'492'!$T$58</definedName>
    <definedName name="OSRRefT22_6x_0" localSheetId="98">'501'!$T$50</definedName>
    <definedName name="OSRRefT22_6x_0" localSheetId="39">'Div 2'!$T$51</definedName>
    <definedName name="OSRRefT22_6x_0" localSheetId="47">'Div 3'!$T$163:$T$164</definedName>
    <definedName name="OSRRefT22_6x_0" localSheetId="74">'Div 4'!$T$69</definedName>
    <definedName name="OSRRefT22_6x_0" localSheetId="97">'Div 5'!$T$50</definedName>
    <definedName name="OSRRefT22_6x_0" localSheetId="65">'Div 6'!$T$80</definedName>
    <definedName name="OSRRefT22_6x_0" localSheetId="2">Summary!$T$193:$T$194</definedName>
    <definedName name="OSRRefT22_7x_0" localSheetId="41">'201'!$T$51</definedName>
    <definedName name="OSRRefT22_7x_0" localSheetId="42">'202'!$T$51</definedName>
    <definedName name="OSRRefT22_7x_0" localSheetId="43">'203'!$T$52</definedName>
    <definedName name="OSRRefT22_7x_0" localSheetId="44">'204'!$T$55</definedName>
    <definedName name="OSRRefT22_7x_0" localSheetId="45">'205'!$T$51:$T$52</definedName>
    <definedName name="OSRRefT22_7x_0" localSheetId="46">'206'!$T$52</definedName>
    <definedName name="OSRRefT22_7x_0" localSheetId="48">'300'!$T$160:$T$161</definedName>
    <definedName name="OSRRefT22_7x_0" localSheetId="49">'300 &amp; 317'!$T$182:$T$183</definedName>
    <definedName name="OSRRefT22_7x_0" localSheetId="50">'301'!$T$54:$T$55</definedName>
    <definedName name="OSRRefT22_7x_0" localSheetId="51">'306'!$T$51:$T$52</definedName>
    <definedName name="OSRRefT22_7x_0" localSheetId="53">'307'!$T$82</definedName>
    <definedName name="OSRRefT22_7x_0" localSheetId="55">'308'!$T$83</definedName>
    <definedName name="OSRRefT22_7x_0" localSheetId="68">'309'!$T$57</definedName>
    <definedName name="OSRRefT22_7x_0" localSheetId="67">'310'!$T$65</definedName>
    <definedName name="OSRRefT22_7x_0" localSheetId="75">'310 &amp; 491'!$T$75</definedName>
    <definedName name="OSRRefT22_7x_0" localSheetId="56">'311'!$T$83</definedName>
    <definedName name="OSRRefT22_7x_0" localSheetId="69">'313'!$T$60</definedName>
    <definedName name="OSRRefT22_7x_0" localSheetId="60">'315'!$T$81</definedName>
    <definedName name="OSRRefT22_7x_0" localSheetId="63">'316'!$T$63</definedName>
    <definedName name="OSRRefT22_7x_0" localSheetId="66">'317'!$T$82:$T$83</definedName>
    <definedName name="OSRRefT22_7x_0" localSheetId="70">'321'!$T$56</definedName>
    <definedName name="OSRRefT22_7x_0" localSheetId="71">'322'!$T$57</definedName>
    <definedName name="OSRRefT22_7x_0" localSheetId="72">'325'!$T$58</definedName>
    <definedName name="OSRRefT22_7x_0" localSheetId="61">'326'!$T$76</definedName>
    <definedName name="OSRRefT22_7x_0" localSheetId="52">'330'!$T$94</definedName>
    <definedName name="OSRRefT22_7x_0" localSheetId="59">'331'!$T$89</definedName>
    <definedName name="OSRRefT22_7x_0" localSheetId="62">'332'!$T$70:$T$71</definedName>
    <definedName name="OSRRefT22_7x_0" localSheetId="77">'405'!$T$58</definedName>
    <definedName name="OSRRefT22_7x_0" localSheetId="78">'406'!$T$53:$T$54</definedName>
    <definedName name="OSRRefT22_7x_0" localSheetId="79">'411'!$T$54</definedName>
    <definedName name="OSRRefT22_7x_0" localSheetId="80">'412'!$T$57</definedName>
    <definedName name="OSRRefT22_7x_0" localSheetId="81">'413'!$T$58</definedName>
    <definedName name="OSRRefT22_7x_0" localSheetId="82">'414'!$T$59</definedName>
    <definedName name="OSRRefT22_7x_0" localSheetId="83">'415'!$T$58</definedName>
    <definedName name="OSRRefT22_7x_0" localSheetId="84">'418'!$T$60</definedName>
    <definedName name="OSRRefT22_7x_0" localSheetId="87">'424'!$T$53:$T$54</definedName>
    <definedName name="OSRRefT22_7x_0" localSheetId="88">'425'!$T$58</definedName>
    <definedName name="OSRRefT22_7x_0" localSheetId="91">'430'!$T$53</definedName>
    <definedName name="OSRRefT22_7x_0" localSheetId="92">'433'!$T$59</definedName>
    <definedName name="OSRRefT22_7x_0" localSheetId="93">'435'!$T$52</definedName>
    <definedName name="OSRRefT22_7x_0" localSheetId="94">'444'!$T$59</definedName>
    <definedName name="OSRRefT22_7x_0" localSheetId="96">'450'!$T$57</definedName>
    <definedName name="OSRRefT22_7x_0" localSheetId="76">'491'!$T$69</definedName>
    <definedName name="OSRRefT22_7x_0" localSheetId="90">'492'!$T$60</definedName>
    <definedName name="OSRRefT22_7x_0" localSheetId="98">'501'!$T$52</definedName>
    <definedName name="OSRRefT22_7x_0" localSheetId="39">'Div 2'!$T$53</definedName>
    <definedName name="OSRRefT22_7x_0" localSheetId="47">'Div 3'!$T$166:$T$167</definedName>
    <definedName name="OSRRefT22_7x_0" localSheetId="74">'Div 4'!$T$71</definedName>
    <definedName name="OSRRefT22_7x_0" localSheetId="97">'Div 5'!$T$52</definedName>
    <definedName name="OSRRefT22_7x_0" localSheetId="65">'Div 6'!$T$82:$T$83</definedName>
    <definedName name="OSRRefT22_7x_0" localSheetId="2">Summary!$T$196:$T$198</definedName>
    <definedName name="OSRRefT22_8x_0" localSheetId="41">'201'!$T$53:$T$54</definedName>
    <definedName name="OSRRefT22_8x_0" localSheetId="42">'202'!$T$53:$T$55</definedName>
    <definedName name="OSRRefT22_8x_0" localSheetId="43">'203'!$T$54:$T$55</definedName>
    <definedName name="OSRRefT22_8x_0" localSheetId="44">'204'!$T$57</definedName>
    <definedName name="OSRRefT22_8x_0" localSheetId="45">'205'!$T$54</definedName>
    <definedName name="OSRRefT22_8x_0" localSheetId="46">'206'!$T$54</definedName>
    <definedName name="OSRRefT22_8x_0" localSheetId="48">'300'!$T$163</definedName>
    <definedName name="OSRRefT22_8x_0" localSheetId="49">'300 &amp; 317'!$T$185</definedName>
    <definedName name="OSRRefT22_8x_0" localSheetId="50">'301'!$T$57</definedName>
    <definedName name="OSRRefT22_8x_0" localSheetId="51">'306'!$T$54</definedName>
    <definedName name="OSRRefT22_8x_0" localSheetId="53">'307'!$T$84</definedName>
    <definedName name="OSRRefT22_8x_0" localSheetId="55">'308'!$T$85</definedName>
    <definedName name="OSRRefT22_8x_0" localSheetId="68">'309'!$T$59</definedName>
    <definedName name="OSRRefT22_8x_0" localSheetId="67">'310'!$T$67</definedName>
    <definedName name="OSRRefT22_8x_0" localSheetId="75">'310 &amp; 491'!$T$77</definedName>
    <definedName name="OSRRefT22_8x_0" localSheetId="56">'311'!$T$85</definedName>
    <definedName name="OSRRefT22_8x_0" localSheetId="69">'313'!$T$62</definedName>
    <definedName name="OSRRefT22_8x_0" localSheetId="60">'315'!$T$83</definedName>
    <definedName name="OSRRefT22_8x_0" localSheetId="63">'316'!$T$65</definedName>
    <definedName name="OSRRefT22_8x_0" localSheetId="66">'317'!$T$85:$T$86</definedName>
    <definedName name="OSRRefT22_8x_0" localSheetId="70">'321'!$T$58</definedName>
    <definedName name="OSRRefT22_8x_0" localSheetId="71">'322'!$T$59</definedName>
    <definedName name="OSRRefT22_8x_0" localSheetId="72">'325'!$T$60</definedName>
    <definedName name="OSRRefT22_8x_0" localSheetId="61">'326'!$T$78</definedName>
    <definedName name="OSRRefT22_8x_0" localSheetId="52">'330'!$T$96</definedName>
    <definedName name="OSRRefT22_8x_0" localSheetId="59">'331'!$T$91</definedName>
    <definedName name="OSRRefT22_8x_0" localSheetId="62">'332'!$T$73</definedName>
    <definedName name="OSRRefT22_8x_0" localSheetId="77">'405'!$T$60</definedName>
    <definedName name="OSRRefT22_8x_0" localSheetId="78">'406'!$T$56:$T$58</definedName>
    <definedName name="OSRRefT22_8x_0" localSheetId="79">'411'!$T$56:$T$58</definedName>
    <definedName name="OSRRefT22_8x_0" localSheetId="80">'412'!$T$59</definedName>
    <definedName name="OSRRefT22_8x_0" localSheetId="81">'413'!$T$60</definedName>
    <definedName name="OSRRefT22_8x_0" localSheetId="82">'414'!$T$61</definedName>
    <definedName name="OSRRefT22_8x_0" localSheetId="83">'415'!$T$60</definedName>
    <definedName name="OSRRefT22_8x_0" localSheetId="84">'418'!$T$62:$T$63</definedName>
    <definedName name="OSRRefT22_8x_0" localSheetId="88">'425'!$T$60</definedName>
    <definedName name="OSRRefT22_8x_0" localSheetId="91">'430'!$T$55</definedName>
    <definedName name="OSRRefT22_8x_0" localSheetId="92">'433'!$T$61</definedName>
    <definedName name="OSRRefT22_8x_0" localSheetId="94">'444'!$T$61</definedName>
    <definedName name="OSRRefT22_8x_0" localSheetId="96">'450'!$T$59</definedName>
    <definedName name="OSRRefT22_8x_0" localSheetId="76">'491'!$T$71:$T$72</definedName>
    <definedName name="OSRRefT22_8x_0" localSheetId="90">'492'!$T$62</definedName>
    <definedName name="OSRRefT22_8x_0" localSheetId="98">'501'!$T$54</definedName>
    <definedName name="OSRRefT22_8x_0" localSheetId="39">'Div 2'!$T$55</definedName>
    <definedName name="OSRRefT22_8x_0" localSheetId="47">'Div 3'!$T$169</definedName>
    <definedName name="OSRRefT22_8x_0" localSheetId="74">'Div 4'!$T$73</definedName>
    <definedName name="OSRRefT22_8x_0" localSheetId="97">'Div 5'!$T$54</definedName>
    <definedName name="OSRRefT22_8x_0" localSheetId="65">'Div 6'!$T$85:$T$86</definedName>
    <definedName name="OSRRefT22_8x_0" localSheetId="2">Summary!$T$200</definedName>
    <definedName name="OSRRefT22_9x_0" localSheetId="41">'201'!$T$56:$T$57</definedName>
    <definedName name="OSRRefT22_9x_0" localSheetId="42">'202'!$T$57</definedName>
    <definedName name="OSRRefT22_9x_0" localSheetId="43">'203'!$T$57:$T$58</definedName>
    <definedName name="OSRRefT22_9x_0" localSheetId="44">'204'!$T$59:$T$60</definedName>
    <definedName name="OSRRefT22_9x_0" localSheetId="46">'206'!$T$56</definedName>
    <definedName name="OSRRefT22_9x_0" localSheetId="48">'300'!$T$165</definedName>
    <definedName name="OSRRefT22_9x_0" localSheetId="49">'300 &amp; 317'!$T$187</definedName>
    <definedName name="OSRRefT22_9x_0" localSheetId="50">'301'!$T$59</definedName>
    <definedName name="OSRRefT22_9x_0" localSheetId="53">'307'!$T$86:$T$87</definedName>
    <definedName name="OSRRefT22_9x_0" localSheetId="55">'308'!$T$87:$T$88</definedName>
    <definedName name="OSRRefT22_9x_0" localSheetId="68">'309'!$T$61</definedName>
    <definedName name="OSRRefT22_9x_0" localSheetId="67">'310'!$T$69</definedName>
    <definedName name="OSRRefT22_9x_0" localSheetId="75">'310 &amp; 491'!$T$79</definedName>
    <definedName name="OSRRefT22_9x_0" localSheetId="56">'311'!$T$87:$T$88</definedName>
    <definedName name="OSRRefT22_9x_0" localSheetId="69">'313'!$T$64</definedName>
    <definedName name="OSRRefT22_9x_0" localSheetId="60">'315'!$T$85</definedName>
    <definedName name="OSRRefT22_9x_0" localSheetId="63">'316'!$T$67</definedName>
    <definedName name="OSRRefT22_9x_0" localSheetId="66">'317'!$T$88</definedName>
    <definedName name="OSRRefT22_9x_0" localSheetId="70">'321'!$T$60</definedName>
    <definedName name="OSRRefT22_9x_0" localSheetId="71">'322'!$T$61</definedName>
    <definedName name="OSRRefT22_9x_0" localSheetId="72">'325'!$T$62</definedName>
    <definedName name="OSRRefT22_9x_0" localSheetId="61">'326'!$T$80</definedName>
    <definedName name="OSRRefT22_9x_0" localSheetId="52">'330'!$T$98:$T$99</definedName>
    <definedName name="OSRRefT22_9x_0" localSheetId="59">'331'!$T$93</definedName>
    <definedName name="OSRRefT22_9x_0" localSheetId="62">'332'!$T$75</definedName>
    <definedName name="OSRRefT22_9x_0" localSheetId="77">'405'!$T$62</definedName>
    <definedName name="OSRRefT22_9x_0" localSheetId="78">'406'!$T$60:$T$62</definedName>
    <definedName name="OSRRefT22_9x_0" localSheetId="79">'411'!$T$60:$T$64</definedName>
    <definedName name="OSRRefT22_9x_0" localSheetId="80">'412'!$T$61</definedName>
    <definedName name="OSRRefT22_9x_0" localSheetId="81">'413'!$T$62:$T$64</definedName>
    <definedName name="OSRRefT22_9x_0" localSheetId="82">'414'!$T$63</definedName>
    <definedName name="OSRRefT22_9x_0" localSheetId="83">'415'!$T$62</definedName>
    <definedName name="OSRRefT22_9x_0" localSheetId="84">'418'!$T$65</definedName>
    <definedName name="OSRRefT22_9x_0" localSheetId="88">'425'!$T$62:$T$63</definedName>
    <definedName name="OSRRefT22_9x_0" localSheetId="91">'430'!$T$57</definedName>
    <definedName name="OSRRefT22_9x_0" localSheetId="92">'433'!$T$63</definedName>
    <definedName name="OSRRefT22_9x_0" localSheetId="94">'444'!$T$63</definedName>
    <definedName name="OSRRefT22_9x_0" localSheetId="96">'450'!$T$61</definedName>
    <definedName name="OSRRefT22_9x_0" localSheetId="76">'491'!$T$74</definedName>
    <definedName name="OSRRefT22_9x_0" localSheetId="90">'492'!$T$64</definedName>
    <definedName name="OSRRefT22_9x_0" localSheetId="98">'501'!$T$56</definedName>
    <definedName name="OSRRefT22_9x_0" localSheetId="39">'Div 2'!$T$57</definedName>
    <definedName name="OSRRefT22_9x_0" localSheetId="47">'Div 3'!$T$171</definedName>
    <definedName name="OSRRefT22_9x_0" localSheetId="74">'Div 4'!$T$75</definedName>
    <definedName name="OSRRefT22_9x_0" localSheetId="97">'Div 5'!$T$56</definedName>
    <definedName name="OSRRefT22_9x_0" localSheetId="65">'Div 6'!$T$88</definedName>
    <definedName name="OSRRefT22_9x_0" localSheetId="2">Summary!$T$202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'201'!$T$20:$T$28,'201'!$T$30:$T$39,'201'!$T$41,'201'!$T$43,'201'!$T$45,'201'!$T$47,'201'!$T$49,'201'!$T$51,'201'!$T$53:$T$54,'201'!$T$56:$T$57,'201'!$T$59,'201'!$T$61:$T$63,'201'!$T$65,'201'!$T$67</definedName>
    <definedName name="OSRRefT22x_0" localSheetId="42">'202'!$T$20:$T$28,'202'!$T$30:$T$39,'202'!$T$41,'202'!$T$43,'202'!$T$45,'202'!$T$47,'202'!$T$49,'202'!$T$51,'202'!$T$53:$T$55,'202'!$T$57,'202'!$T$59,'202'!$T$61,'202'!$T$63,'202'!$T$65,'202'!$T$67</definedName>
    <definedName name="OSRRefT22x_0" localSheetId="43">'203'!$T$20:$T$29,'203'!$T$31:$T$40,'203'!$T$42,'203'!$T$44,'203'!$T$46,'203'!$T$48,'203'!$T$50,'203'!$T$52,'203'!$T$54:$T$55,'203'!$T$57:$T$58,'203'!$T$60,'203'!$T$62:$T$64,'203'!$T$66,'203'!$T$68,'203'!$T$70</definedName>
    <definedName name="OSRRefT22x_0" localSheetId="44">'204'!$T$20:$T$29,'204'!$T$31:$T$40,'204'!$T$42,'204'!$T$44,'204'!$T$46,'204'!$T$48,'204'!$T$50:$T$53,'204'!$T$55,'204'!$T$57,'204'!$T$59:$T$60,'204'!$T$62,'204'!$T$64</definedName>
    <definedName name="OSRRefT22x_0" localSheetId="45">'205'!$T$20:$T$28,'205'!$T$30:$T$39,'205'!$T$41,'205'!$T$43,'205'!$T$45,'205'!$T$47,'205'!$T$49,'205'!$T$51:$T$52,'205'!$T$54</definedName>
    <definedName name="OSRRefT22x_0" localSheetId="46">'206'!$T$20:$T$28,'206'!$T$30:$T$39,'206'!$T$41,'206'!$T$43,'206'!$T$45,'206'!$T$47,'206'!$T$49:$T$50,'206'!$T$52,'206'!$T$54,'206'!$T$56</definedName>
    <definedName name="OSRRefT22x_0" localSheetId="48">'300'!$T$124:$T$133,'300'!$T$135:$T$144,'300'!$T$146,'300'!$T$148:$T$149,'300'!$T$151,'300'!$T$153:$T$155,'300'!$T$157:$T$158,'300'!$T$160:$T$161,'300'!$T$163,'300'!$T$165,'300'!$T$167:$T$168,'300'!$T$170,'300'!$T$172,'300'!$T$174,'300'!$T$176,'300'!$T$178,'300'!$T$180:$T$182,'300'!$T$184:$T$187,'300'!$T$189:$T$192,'300'!$T$194:$T$195,'300'!$T$197:$T$203,'300'!$T$205:$T$206,'300'!$T$208,'300'!$T$210:$T$212,'300'!$T$214</definedName>
    <definedName name="OSRRefT22x_0" localSheetId="49">'300 &amp; 317'!$T$146:$T$155,'300 &amp; 317'!$T$157:$T$166,'300 &amp; 317'!$T$168,'300 &amp; 317'!$T$170:$T$171,'300 &amp; 317'!$T$173,'300 &amp; 317'!$T$175:$T$177,'300 &amp; 317'!$T$179:$T$180,'300 &amp; 317'!$T$182:$T$183,'300 &amp; 317'!$T$185,'300 &amp; 317'!$T$187,'300 &amp; 317'!$T$189:$T$190,'300 &amp; 317'!$T$192,'300 &amp; 317'!$T$194,'300 &amp; 317'!$T$196,'300 &amp; 317'!$T$198,'300 &amp; 317'!$T$200,'300 &amp; 317'!$T$202:$T$204,'300 &amp; 317'!$T$206:$T$209,'300 &amp; 317'!$T$211:$T$214,'300 &amp; 317'!$T$216:$T$217,'300 &amp; 317'!$T$219:$T$225,'300 &amp; 317'!$T$227:$T$228,'300 &amp; 317'!$T$230,'300 &amp; 317'!$T$232:$T$234,'300 &amp; 317'!$T$236</definedName>
    <definedName name="OSRRefT22x_0" localSheetId="50">'301'!$T$20:$T$28,'301'!$T$30:$T$39,'301'!$T$41,'301'!$T$43,'301'!$T$45,'301'!$T$47:$T$49,'301'!$T$51:$T$52,'301'!$T$54:$T$55,'301'!$T$57,'301'!$T$59,'301'!$T$61,'301'!$T$63,'301'!$T$65,'301'!$T$67,'301'!$T$69,'301'!$T$71:$T$73,'301'!$T$75:$T$77,'301'!$T$79:$T$80,'301'!$T$82:$T$86,'301'!$T$88,'301'!$T$90,'301'!$T$92:$T$93,'301'!$T$95</definedName>
    <definedName name="OSRRefT22x_0" localSheetId="51">'306'!$T$20:$T$28,'306'!$T$30:$T$39,'306'!$T$41,'306'!$T$43,'306'!$T$45,'306'!$T$47,'306'!$T$49,'306'!$T$51:$T$52,'306'!$T$54</definedName>
    <definedName name="OSRRefT22x_0" localSheetId="53">'307'!$T$51:$T$59,'307'!$T$61:$T$70,'307'!$T$72,'307'!$T$74,'307'!$T$76,'307'!$T$78,'307'!$T$80,'307'!$T$82,'307'!$T$84,'307'!$T$86:$T$87,'307'!$T$89,'307'!$T$91,'307'!$T$93</definedName>
    <definedName name="OSRRefT22x_0" localSheetId="55">'308'!$T$51:$T$60,'308'!$T$62:$T$71,'308'!$T$73,'308'!$T$75,'308'!$T$77,'308'!$T$79,'308'!$T$81,'308'!$T$83,'308'!$T$85,'308'!$T$87:$T$88,'308'!$T$90,'308'!$T$92:$T$94,'308'!$T$96:$T$97,'308'!$T$99,'308'!$T$101</definedName>
    <definedName name="OSRRefT22x_0" localSheetId="68">'309'!$T$26:$T$34,'309'!$T$36:$T$45,'309'!$T$47,'309'!$T$49,'309'!$T$51,'309'!$T$53,'309'!$T$55,'309'!$T$57,'309'!$T$59,'309'!$T$61,'309'!$T$63:$T$64,'309'!$T$66</definedName>
    <definedName name="OSRRefT22x_0" localSheetId="67">'310'!$T$33:$T$41,'310'!$T$43:$T$52,'310'!$T$54,'310'!$T$56,'310'!$T$58,'310'!$T$60:$T$61,'310'!$T$63,'310'!$T$65,'310'!$T$67,'310'!$T$69,'310'!$T$71,'310'!$T$73,'310'!$T$75,'310'!$T$77,'310'!$T$79,'310'!$T$81,'310'!$T$83,'310'!$T$85:$T$89,'310'!$T$91,'310'!$T$93:$T$98,'310'!$T$100,'310'!$T$102</definedName>
    <definedName name="OSRRefT22x_0" localSheetId="75">'310 &amp; 491'!$T$40:$T$49,'310 &amp; 491'!$T$51:$T$60,'310 &amp; 491'!$T$62,'310 &amp; 491'!$T$64,'310 &amp; 491'!$T$66,'310 &amp; 491'!$T$68:$T$71,'310 &amp; 491'!$T$73,'310 &amp; 491'!$T$75,'310 &amp; 491'!$T$77,'310 &amp; 491'!$T$79,'310 &amp; 491'!$T$81:$T$82,'310 &amp; 491'!$T$84,'310 &amp; 491'!$T$86,'310 &amp; 491'!$T$88,'310 &amp; 491'!$T$90,'310 &amp; 491'!$T$92:$T$95,'310 &amp; 491'!$T$97:$T$98,'310 &amp; 491'!$T$100:$T$105,'310 &amp; 491'!$T$107,'310 &amp; 491'!$T$109:$T$118,'310 &amp; 491'!$T$120:$T$121,'310 &amp; 491'!$T$123,'310 &amp; 491'!$T$125:$T$127,'310 &amp; 491'!$T$129</definedName>
    <definedName name="OSRRefT22x_0" localSheetId="56">'311'!$T$51:$T$60,'311'!$T$62:$T$71,'311'!$T$73,'311'!$T$75,'311'!$T$77,'311'!$T$79,'311'!$T$81,'311'!$T$83,'311'!$T$85,'311'!$T$87:$T$88,'311'!$T$90,'311'!$T$92:$T$94,'311'!$T$96:$T$97,'311'!$T$99,'311'!$T$101</definedName>
    <definedName name="OSRRefT22x_0" localSheetId="69">'313'!$T$29:$T$37,'313'!$T$39:$T$48,'313'!$T$50,'313'!$T$52,'313'!$T$54,'313'!$T$56,'313'!$T$58,'313'!$T$60,'313'!$T$62,'313'!$T$64,'313'!$T$66,'313'!$T$68:$T$70,'313'!$T$72</definedName>
    <definedName name="OSRRefT22x_0" localSheetId="54">'314'!$T$49:$T$56,'314'!$T$58:$T$67,'314'!$T$69,'314'!$T$71,'314'!$T$73,'314'!$T$75</definedName>
    <definedName name="OSRRefT22x_0" localSheetId="60">'315'!$T$50:$T$58,'315'!$T$60:$T$69,'315'!$T$71,'315'!$T$73,'315'!$T$75,'315'!$T$77,'315'!$T$79,'315'!$T$81,'315'!$T$83,'315'!$T$85,'315'!$T$87:$T$89,'315'!$T$91:$T$92,'315'!$T$94:$T$97,'315'!$T$99,'315'!$T$101,'315'!$T$103</definedName>
    <definedName name="OSRRefT22x_0" localSheetId="63">'316'!$T$32:$T$40,'316'!$T$42:$T$51,'316'!$T$53,'316'!$T$55,'316'!$T$57,'316'!$T$59,'316'!$T$61,'316'!$T$63,'316'!$T$65,'316'!$T$67,'316'!$T$69:$T$70,'316'!$T$72:$T$74,'316'!$T$76:$T$77</definedName>
    <definedName name="OSRRefT22x_0" localSheetId="66">'317'!$T$50:$T$59,'317'!$T$61:$T$70,'317'!$T$72,'317'!$T$74,'317'!$T$76,'317'!$T$78,'317'!$T$80,'317'!$T$82:$T$83,'317'!$T$85:$T$86,'317'!$T$88</definedName>
    <definedName name="OSRRefT22x_0" localSheetId="64">'320'!$T$27:$T$34,'320'!$T$36:$T$45,'320'!$T$47,'320'!$T$49:$T$50,'320'!$T$52,'320'!$T$54</definedName>
    <definedName name="OSRRefT22x_0" localSheetId="70">'321'!$T$26:$T$33,'321'!$T$35:$T$44,'321'!$T$46,'321'!$T$48,'321'!$T$50,'321'!$T$52,'321'!$T$54,'321'!$T$56,'321'!$T$58,'321'!$T$60,'321'!$T$62,'321'!$T$64:$T$65,'321'!$T$67:$T$68,'321'!$T$70,'321'!$T$72</definedName>
    <definedName name="OSRRefT22x_0" localSheetId="71">'322'!$T$26:$T$34,'322'!$T$36:$T$45,'322'!$T$47,'322'!$T$49,'322'!$T$51,'322'!$T$53,'322'!$T$55,'322'!$T$57,'322'!$T$59,'322'!$T$61,'322'!$T$63:$T$64,'322'!$T$66:$T$68,'322'!$T$70,'322'!$T$72</definedName>
    <definedName name="OSRRefT22x_0" localSheetId="72">'325'!$T$26:$T$34,'325'!$T$36:$T$45,'325'!$T$47,'325'!$T$49,'325'!$T$51,'325'!$T$53:$T$54,'325'!$T$56,'325'!$T$58,'325'!$T$60,'325'!$T$62,'325'!$T$64,'325'!$T$66,'325'!$T$68:$T$71,'325'!$T$73,'325'!$T$75:$T$80,'325'!$T$82,'325'!$T$84</definedName>
    <definedName name="OSRRefT22x_0" localSheetId="61">'326'!$T$45:$T$52,'326'!$T$54:$T$63,'326'!$T$65,'326'!$T$67:$T$68,'326'!$T$70,'326'!$T$72,'326'!$T$74,'326'!$T$76,'326'!$T$78,'326'!$T$80,'326'!$T$82,'326'!$T$84,'326'!$T$86,'326'!$T$88:$T$89,'326'!$T$91:$T$93,'326'!$T$95:$T$96,'326'!$T$98:$T$102,'326'!$T$104:$T$105,'326'!$T$107,'326'!$T$109,'326'!$T$111</definedName>
    <definedName name="OSRRefT22x_0" localSheetId="73">'327'!$T$24</definedName>
    <definedName name="OSRRefT22x_0" localSheetId="52">'330'!$T$63:$T$71,'330'!$T$73:$T$82,'330'!$T$84,'330'!$T$86,'330'!$T$88,'330'!$T$90,'330'!$T$92,'330'!$T$94,'330'!$T$96,'330'!$T$98:$T$99,'330'!$T$101,'330'!$T$103,'330'!$T$105</definedName>
    <definedName name="OSRRefT22x_0" localSheetId="59">'331'!$T$57:$T$65,'331'!$T$67:$T$76,'331'!$T$78,'331'!$T$80:$T$81,'331'!$T$83,'331'!$T$85,'331'!$T$87,'331'!$T$89,'331'!$T$91,'331'!$T$93,'331'!$T$95,'331'!$T$97,'331'!$T$99,'331'!$T$101,'331'!$T$103:$T$104,'331'!$T$106:$T$108,'331'!$T$110:$T$112,'331'!$T$114:$T$115,'331'!$T$117:$T$121,'331'!$T$123:$T$124,'331'!$T$126,'331'!$T$128,'331'!$T$130</definedName>
    <definedName name="OSRRefT22x_0" localSheetId="62">'332'!$T$39:$T$47,'332'!$T$49:$T$58,'332'!$T$60,'332'!$T$62,'332'!$T$64,'332'!$T$66,'332'!$T$68,'332'!$T$70:$T$71,'332'!$T$73,'332'!$T$75,'332'!$T$77:$T$78,'332'!$T$80:$T$82,'332'!$T$84:$T$85</definedName>
    <definedName name="OSRRefT22x_0" localSheetId="77">'405'!$T$26:$T$34,'405'!$T$36:$T$45,'405'!$T$47,'405'!$T$49,'405'!$T$51,'405'!$T$53:$T$54,'405'!$T$56,'405'!$T$58,'405'!$T$60,'405'!$T$62,'405'!$T$64:$T$66,'405'!$T$68,'405'!$T$70:$T$72,'405'!$T$74:$T$81,'405'!$T$83,'405'!$T$85,'405'!$T$87</definedName>
    <definedName name="OSRRefT22x_0" localSheetId="78">'406'!$T$22:$T$30,'406'!$T$32:$T$41,'406'!$T$43,'406'!$T$45,'406'!$T$47,'406'!$T$49,'406'!$T$51,'406'!$T$53:$T$54,'406'!$T$56:$T$58,'406'!$T$60:$T$62,'406'!$T$64:$T$65,'406'!$T$67,'406'!$T$69</definedName>
    <definedName name="OSRRefT22x_0" localSheetId="79">'411'!$T$20:$T$29,'411'!$T$31:$T$40,'411'!$T$42,'411'!$T$44:$T$46,'411'!$T$48,'411'!$T$50,'411'!$T$52,'411'!$T$54,'411'!$T$56:$T$58,'411'!$T$60:$T$64,'411'!$T$66:$T$70,'411'!$T$72,'411'!$T$74,'411'!$T$76:$T$78,'411'!$T$80</definedName>
    <definedName name="OSRRefT22x_0" localSheetId="80">'412'!$T$26:$T$34,'412'!$T$36:$T$45,'412'!$T$47,'412'!$T$49,'412'!$T$51,'412'!$T$53,'412'!$T$55,'412'!$T$57,'412'!$T$59,'412'!$T$61,'412'!$T$63:$T$64,'412'!$T$66:$T$71,'412'!$T$73</definedName>
    <definedName name="OSRRefT22x_0" localSheetId="81">'413'!$T$27:$T$35,'413'!$T$37:$T$46,'413'!$T$48,'413'!$T$50,'413'!$T$52,'413'!$T$54,'413'!$T$56,'413'!$T$58,'413'!$T$60,'413'!$T$62:$T$64,'413'!$T$66:$T$67</definedName>
    <definedName name="OSRRefT22x_0" localSheetId="82">'414'!$T$27:$T$35,'414'!$T$37:$T$46,'414'!$T$48,'414'!$T$50,'414'!$T$52,'414'!$T$54:$T$55,'414'!$T$57,'414'!$T$59,'414'!$T$61,'414'!$T$63,'414'!$T$65,'414'!$T$67,'414'!$T$69:$T$72,'414'!$T$74,'414'!$T$76</definedName>
    <definedName name="OSRRefT22x_0" localSheetId="83">'415'!$T$26:$T$34,'415'!$T$36:$T$45,'415'!$T$47,'415'!$T$49,'415'!$T$51,'415'!$T$53:$T$54,'415'!$T$56,'415'!$T$58,'415'!$T$60,'415'!$T$62,'415'!$T$64,'415'!$T$66,'415'!$T$68:$T$72,'415'!$T$74,'415'!$T$76:$T$82,'415'!$T$84,'415'!$T$86:$T$87,'415'!$T$89</definedName>
    <definedName name="OSRRefT22x_0" localSheetId="84">'418'!$T$27:$T$35,'418'!$T$37:$T$46,'418'!$T$48,'418'!$T$50,'418'!$T$52,'418'!$T$54:$T$56,'418'!$T$58,'418'!$T$60,'418'!$T$62:$T$63,'418'!$T$65,'418'!$T$67:$T$69,'418'!$T$71,'418'!$T$73:$T$76,'418'!$T$78,'418'!$T$80,'418'!$T$82</definedName>
    <definedName name="OSRRefT22x_0" localSheetId="86">'423'!$T$20:$T$28,'423'!$T$30:$T$39,'423'!$T$41,'423'!$T$43,'423'!$T$45,'423'!$T$47</definedName>
    <definedName name="OSRRefT22x_0" localSheetId="87">'424'!$T$23:$T$30,'424'!$T$32:$T$41,'424'!$T$43,'424'!$T$45,'424'!$T$47,'424'!$T$49,'424'!$T$51,'424'!$T$53:$T$54</definedName>
    <definedName name="OSRRefT22x_0" localSheetId="88">'425'!$T$27:$T$35,'425'!$T$37:$T$46,'425'!$T$48,'425'!$T$50,'425'!$T$52,'425'!$T$54,'425'!$T$56,'425'!$T$58,'425'!$T$60,'425'!$T$62:$T$63,'425'!$T$65:$T$68,'425'!$T$70,'425'!$T$72</definedName>
    <definedName name="OSRRefT22x_0" localSheetId="91">'430'!$T$20:$T$28,'430'!$T$30:$T$39,'430'!$T$41,'430'!$T$43,'430'!$T$45,'430'!$T$47,'430'!$T$49:$T$51,'430'!$T$53,'430'!$T$55,'430'!$T$57</definedName>
    <definedName name="OSRRefT22x_0" localSheetId="92">'433'!$T$27:$T$36,'433'!$T$38:$T$47,'433'!$T$49,'433'!$T$51,'433'!$T$53,'433'!$T$55,'433'!$T$57,'433'!$T$59,'433'!$T$61,'433'!$T$63,'433'!$T$65:$T$68,'433'!$T$70:$T$76,'433'!$T$78,'433'!$T$80,'433'!$T$82:$T$83</definedName>
    <definedName name="OSRRefT22x_0" localSheetId="93">'435'!$T$22:$T$29,'435'!$T$31:$T$40,'435'!$T$42,'435'!$T$44,'435'!$T$46,'435'!$T$48,'435'!$T$50,'435'!$T$52</definedName>
    <definedName name="OSRRefT22x_0" localSheetId="94">'444'!$T$27:$T$36,'444'!$T$38:$T$47,'444'!$T$49,'444'!$T$51,'444'!$T$53,'444'!$T$55,'444'!$T$57,'444'!$T$59,'444'!$T$61,'444'!$T$63,'444'!$T$65:$T$67,'444'!$T$69:$T$72,'444'!$T$74:$T$78,'444'!$T$80,'444'!$T$82,'444'!$T$84</definedName>
    <definedName name="OSRRefT22x_0" localSheetId="96">'450'!$T$24:$T$33,'450'!$T$35:$T$44,'450'!$T$46,'450'!$T$48:$T$49,'450'!$T$51,'450'!$T$53,'450'!$T$55,'450'!$T$57,'450'!$T$59,'450'!$T$61,'450'!$T$63:$T$65,'450'!$T$67:$T$71,'450'!$T$73,'450'!$T$75,'450'!$T$77:$T$78</definedName>
    <definedName name="OSRRefT22x_0" localSheetId="89">'455'!$T$20:$T$27,'455'!$T$29:$T$38</definedName>
    <definedName name="OSRRefT22x_0" localSheetId="76">'491'!$T$34:$T$43,'491'!$T$45:$T$54,'491'!$T$56,'491'!$T$58,'491'!$T$60,'491'!$T$62:$T$65,'491'!$T$67,'491'!$T$69,'491'!$T$71:$T$72,'491'!$T$74,'491'!$T$76,'491'!$T$78,'491'!$T$80:$T$83,'491'!$T$85:$T$86,'491'!$T$88:$T$92,'491'!$T$94,'491'!$T$96:$T$105,'491'!$T$107:$T$108,'491'!$T$110,'491'!$T$112:$T$114,'491'!$T$116</definedName>
    <definedName name="OSRRefT22x_0" localSheetId="90">'492'!$T$27:$T$36,'492'!$T$38:$T$47,'492'!$T$49,'492'!$T$51:$T$52,'492'!$T$54,'492'!$T$56,'492'!$T$58,'492'!$T$60,'492'!$T$62,'492'!$T$64,'492'!$T$66,'492'!$T$68,'492'!$T$70:$T$72,'492'!$T$74:$T$77,'492'!$T$79:$T$87,'492'!$T$89,'492'!$T$91,'492'!$T$93:$T$94</definedName>
    <definedName name="OSRRefT22x_0" localSheetId="98">'501'!$T$21:$T$29,'501'!$T$31:$T$40,'501'!$T$42,'501'!$T$44,'501'!$T$46,'501'!$T$48,'501'!$T$50,'501'!$T$52,'501'!$T$54,'501'!$T$56,'501'!$T$58:$T$59,'501'!$T$61:$T$62,'501'!$T$64</definedName>
    <definedName name="OSRRefT22x_0" localSheetId="39">'Div 2'!$T$20:$T$30,'Div 2'!$T$32:$T$41,'Div 2'!$T$43,'Div 2'!$T$45,'Div 2'!$T$47,'Div 2'!$T$49,'Div 2'!$T$51,'Div 2'!$T$53,'Div 2'!$T$55,'Div 2'!$T$57,'Div 2'!$T$59,'Div 2'!$T$61,'Div 2'!$T$63:$T$65,'Div 2'!$T$67:$T$70,'Div 2'!$T$72:$T$75,'Div 2'!$T$77:$T$78,'Div 2'!$T$80:$T$81,'Div 2'!$T$83:$T$86,'Div 2'!$T$88:$T$89,'Div 2'!$T$91,'Div 2'!$T$93</definedName>
    <definedName name="OSRRefT22x_0" localSheetId="47">'Div 3'!$T$130:$T$139,'Div 3'!$T$141:$T$150,'Div 3'!$T$152,'Div 3'!$T$154:$T$155,'Div 3'!$T$157,'Div 3'!$T$159:$T$161,'Div 3'!$T$163:$T$164,'Div 3'!$T$166:$T$167,'Div 3'!$T$169,'Div 3'!$T$171,'Div 3'!$T$173:$T$174,'Div 3'!$T$176,'Div 3'!$T$178,'Div 3'!$T$180,'Div 3'!$T$182,'Div 3'!$T$184,'Div 3'!$T$186,'Div 3'!$T$188,'Div 3'!$T$190:$T$192,'Div 3'!$T$194:$T$197,'Div 3'!$T$199:$T$204,'Div 3'!$T$206:$T$207,'Div 3'!$T$209:$T$216,'Div 3'!$T$218:$T$219,'Div 3'!$T$221,'Div 3'!$T$223:$T$225,'Div 3'!$T$227</definedName>
    <definedName name="OSRRefT22x_0" localSheetId="74">'Div 4'!$T$35:$T$44,'Div 4'!$T$46:$T$55,'Div 4'!$T$57,'Div 4'!$T$59:$T$60,'Div 4'!$T$62,'Div 4'!$T$64:$T$67,'Div 4'!$T$69,'Div 4'!$T$71,'Div 4'!$T$73,'Div 4'!$T$75,'Div 4'!$T$77:$T$78,'Div 4'!$T$80,'Div 4'!$T$82,'Div 4'!$T$84,'Div 4'!$T$86,'Div 4'!$T$88:$T$91,'Div 4'!$T$93:$T$94,'Div 4'!$T$96:$T$100,'Div 4'!$T$102,'Div 4'!$T$104:$T$113,'Div 4'!$T$115:$T$116,'Div 4'!$T$118,'Div 4'!$T$120:$T$122,'Div 4'!$T$124</definedName>
    <definedName name="OSRRefT22x_0" localSheetId="97">'Div 5'!$T$21:$T$29,'Div 5'!$T$31:$T$40,'Div 5'!$T$42,'Div 5'!$T$44,'Div 5'!$T$46,'Div 5'!$T$48,'Div 5'!$T$50,'Div 5'!$T$52,'Div 5'!$T$54,'Div 5'!$T$56,'Div 5'!$T$58:$T$59,'Div 5'!$T$61:$T$62,'Div 5'!$T$64</definedName>
    <definedName name="OSRRefT22x_0" localSheetId="65">'Div 6'!$T$50:$T$59,'Div 6'!$T$61:$T$70,'Div 6'!$T$72,'Div 6'!$T$74,'Div 6'!$T$76,'Div 6'!$T$78,'Div 6'!$T$80,'Div 6'!$T$82:$T$83,'Div 6'!$T$85:$T$86,'Div 6'!$T$88</definedName>
    <definedName name="OSRRefT22x_0" localSheetId="2">Summary!$T$159:$T$168,Summary!$T$170:$T$179,Summary!$T$181,Summary!$T$183:$T$184,Summary!$T$186,Summary!$T$188:$T$191,Summary!$T$193:$T$194,Summary!$T$196:$T$198,Summary!$T$200,Summary!$T$202,Summary!$T$204:$T$205,Summary!$T$207:$T$208,Summary!$T$210,Summary!$T$212,Summary!$T$214,Summary!$T$216,Summary!$T$218,Summary!$T$220,Summary!$T$222:$T$225,Summary!$T$227:$T$230,Summary!$T$232:$T$237,Summary!$T$239:$T$240,Summary!$T$242:$T$251,Summary!$T$253:$T$254,Summary!$T$256,Summary!$T$258:$T$260,Summary!$T$262</definedName>
    <definedName name="OSRRefT25x_0" localSheetId="48">'300'!$T$217:$T$221</definedName>
    <definedName name="OSRRefT25x_0" localSheetId="49">'300 &amp; 317'!$T$239:$T$245</definedName>
    <definedName name="OSRRefT25x_0" localSheetId="50">'301'!$T$98:$T$100</definedName>
    <definedName name="OSRRefT25x_0" localSheetId="55">'308'!$T$104:$T$105</definedName>
    <definedName name="OSRRefT25x_0" localSheetId="75">'310 &amp; 491'!$T$132:$T$135</definedName>
    <definedName name="OSRRefT25x_0" localSheetId="56">'311'!$T$104:$T$105</definedName>
    <definedName name="OSRRefT25x_0" localSheetId="60">'315'!$T$106:$T$108</definedName>
    <definedName name="OSRRefT25x_0" localSheetId="63">'316'!$T$80:$T$81</definedName>
    <definedName name="OSRRefT25x_0" localSheetId="66">'317'!$T$91:$T$93</definedName>
    <definedName name="OSRRefT25x_0" localSheetId="64">'320'!$T$57:$T$59</definedName>
    <definedName name="OSRRefT25x_0" localSheetId="59">'331'!$T$133:$T$135</definedName>
    <definedName name="OSRRefT25x_0" localSheetId="62">'332'!$T$88:$T$92</definedName>
    <definedName name="OSRRefT25x_0" localSheetId="79">'411'!$T$83:$T$84</definedName>
    <definedName name="OSRRefT25x_0" localSheetId="86">'423'!$T$50</definedName>
    <definedName name="OSRRefT25x_0" localSheetId="87">'424'!$T$57</definedName>
    <definedName name="OSRRefT25x_0" localSheetId="88">'425'!$T$75</definedName>
    <definedName name="OSRRefT25x_0" localSheetId="89">'455'!$T$41:$T$44</definedName>
    <definedName name="OSRRefT25x_0" localSheetId="76">'491'!$T$119:$T$122</definedName>
    <definedName name="OSRRefT25x_0" localSheetId="98">'501'!$T$67</definedName>
    <definedName name="OSRRefT25x_0" localSheetId="47">'Div 3'!$T$230:$T$234</definedName>
    <definedName name="OSRRefT25x_0" localSheetId="74">'Div 4'!$T$127:$T$130</definedName>
    <definedName name="OSRRefT25x_0" localSheetId="97">'Div 5'!$T$67</definedName>
    <definedName name="OSRRefT25x_0" localSheetId="65">'Div 6'!$T$91:$T$93</definedName>
    <definedName name="OSRRefT25x_0" localSheetId="2">Summary!$T$265:$T$272</definedName>
    <definedName name="_xlnm.Print_Area" localSheetId="38">'100'!$A$1:$Z$34</definedName>
    <definedName name="_xlnm.Print_Area" localSheetId="40">'200'!$A$1:$Z$41</definedName>
    <definedName name="_xlnm.Print_Area" localSheetId="41">'201'!$A$1:$Z$81</definedName>
    <definedName name="_xlnm.Print_Area" localSheetId="42">'202'!$A$1:$Z$81</definedName>
    <definedName name="_xlnm.Print_Area" localSheetId="43">'203'!$A$1:$Z$84</definedName>
    <definedName name="_xlnm.Print_Area" localSheetId="44">'204'!$A$1:$Z$78</definedName>
    <definedName name="_xlnm.Print_Area" localSheetId="45">'205'!$A$1:$Z$68</definedName>
    <definedName name="_xlnm.Print_Area" localSheetId="46">'206'!$A$1:$Z$70</definedName>
    <definedName name="_xlnm.Print_Area" localSheetId="48">'300'!$A$1:$Z$233</definedName>
    <definedName name="_xlnm.Print_Area" localSheetId="49">'300 &amp; 317'!$A$1:$Z$257</definedName>
    <definedName name="_xlnm.Print_Area" localSheetId="50">'301'!$A$1:$Z$112</definedName>
    <definedName name="_xlnm.Print_Area" localSheetId="51">'306'!$A$1:$Z$68</definedName>
    <definedName name="_xlnm.Print_Area" localSheetId="53">'307'!$A$1:$Z$107</definedName>
    <definedName name="_xlnm.Print_Area" localSheetId="55">'308'!$A$1:$Z$117</definedName>
    <definedName name="_xlnm.Print_Area" localSheetId="68">'309'!$A$1:$Z$80</definedName>
    <definedName name="_xlnm.Print_Area" localSheetId="67">'310'!$A$1:$Z$116</definedName>
    <definedName name="_xlnm.Print_Area" localSheetId="75">'310 &amp; 491'!$A$1:$Z$147</definedName>
    <definedName name="_xlnm.Print_Area" localSheetId="56">'311'!$A$1:$Z$117</definedName>
    <definedName name="_xlnm.Print_Area" localSheetId="58">'312'!$A$1:$Z$32</definedName>
    <definedName name="_xlnm.Print_Area" localSheetId="69">'313'!$A$1:$Z$86</definedName>
    <definedName name="_xlnm.Print_Area" localSheetId="54">'314'!$A$1:$Z$89</definedName>
    <definedName name="_xlnm.Print_Area" localSheetId="60">'315'!$A$1:$Z$120</definedName>
    <definedName name="_xlnm.Print_Area" localSheetId="63">'316'!$A$1:$Z$93</definedName>
    <definedName name="_xlnm.Print_Area" localSheetId="66">'317'!$A$1:$Z$105</definedName>
    <definedName name="_xlnm.Print_Area" localSheetId="64">'320'!$A$1:$Z$71</definedName>
    <definedName name="_xlnm.Print_Area" localSheetId="70">'321'!$A$1:$Z$86</definedName>
    <definedName name="_xlnm.Print_Area" localSheetId="71">'322'!$A$1:$Z$86</definedName>
    <definedName name="_xlnm.Print_Area" localSheetId="57">'324'!$A$1:$Z$38</definedName>
    <definedName name="_xlnm.Print_Area" localSheetId="72">'325'!$A$1:$Z$98</definedName>
    <definedName name="_xlnm.Print_Area" localSheetId="61">'326'!$A$1:$Z$125</definedName>
    <definedName name="_xlnm.Print_Area" localSheetId="73">'327'!$A$1:$Z$38</definedName>
    <definedName name="_xlnm.Print_Area" localSheetId="52">'330'!$A$1:$Z$119</definedName>
    <definedName name="_xlnm.Print_Area" localSheetId="59">'331'!$A$1:$Z$147</definedName>
    <definedName name="_xlnm.Print_Area" localSheetId="62">'332'!$A$1:$Z$104</definedName>
    <definedName name="_xlnm.Print_Area" localSheetId="77">'405'!$A$1:$Z$101</definedName>
    <definedName name="_xlnm.Print_Area" localSheetId="78">'406'!$A$1:$Z$83</definedName>
    <definedName name="_xlnm.Print_Area" localSheetId="79">'411'!$A$1:$Z$96</definedName>
    <definedName name="_xlnm.Print_Area" localSheetId="80">'412'!$A$1:$Z$87</definedName>
    <definedName name="_xlnm.Print_Area" localSheetId="81">'413'!$A$1:$Z$81</definedName>
    <definedName name="_xlnm.Print_Area" localSheetId="82">'414'!$A$1:$Z$90</definedName>
    <definedName name="_xlnm.Print_Area" localSheetId="83">'415'!$A$1:$Z$103</definedName>
    <definedName name="_xlnm.Print_Area" localSheetId="84">'418'!$A$1:$Z$96</definedName>
    <definedName name="_xlnm.Print_Area" localSheetId="85">'420'!$A$1:$Z$32</definedName>
    <definedName name="_xlnm.Print_Area" localSheetId="86">'423'!$A$1:$Z$62</definedName>
    <definedName name="_xlnm.Print_Area" localSheetId="87">'424'!$A$1:$Z$69</definedName>
    <definedName name="_xlnm.Print_Area" localSheetId="88">'425'!$A$1:$Z$87</definedName>
    <definedName name="_xlnm.Print_Area" localSheetId="91">'430'!$A$1:$Z$71</definedName>
    <definedName name="_xlnm.Print_Area" localSheetId="92">'433'!$A$1:$Z$97</definedName>
    <definedName name="_xlnm.Print_Area" localSheetId="93">'435'!$A$1:$Z$66</definedName>
    <definedName name="_xlnm.Print_Area" localSheetId="94">'444'!$A$1:$Z$98</definedName>
    <definedName name="_xlnm.Print_Area" localSheetId="95">'445'!$A$1:$Z$32</definedName>
    <definedName name="_xlnm.Print_Area" localSheetId="96">'450'!$A$1:$Z$92</definedName>
    <definedName name="_xlnm.Print_Area" localSheetId="89">'455'!$A$1:$Z$56</definedName>
    <definedName name="_xlnm.Print_Area" localSheetId="76">'491'!$A$1:$Z$134</definedName>
    <definedName name="_xlnm.Print_Area" localSheetId="90">'492'!$A$1:$Z$108</definedName>
    <definedName name="_xlnm.Print_Area" localSheetId="98">'501'!$A$1:$Z$79</definedName>
    <definedName name="_xlnm.Print_Area" localSheetId="99">Dept!$A$1:$Z$39</definedName>
    <definedName name="_xlnm.Print_Area" localSheetId="37">'Div 1'!$A$1:$Z$34</definedName>
    <definedName name="_xlnm.Print_Area" localSheetId="39">'Div 2'!$A$1:$Z$107</definedName>
    <definedName name="_xlnm.Print_Area" localSheetId="47">'Div 3'!$A$1:$Z$246</definedName>
    <definedName name="_xlnm.Print_Area" localSheetId="74">'Div 4'!$A$1:$Z$142</definedName>
    <definedName name="_xlnm.Print_Area" localSheetId="97">'Div 5'!$A$1:$Z$79</definedName>
    <definedName name="_xlnm.Print_Area" localSheetId="65">'Div 6'!$A$1:$Z$105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100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1">'OSR_Summary (...56e5d78f_5JEYZH'!$A$1:$Z$39</definedName>
    <definedName name="_xlnm.Print_Area" localSheetId="3">OSR_Summary_18VAVWG!$A$1:$Z$39</definedName>
    <definedName name="_xlnm.Print_Area" localSheetId="2">Summary!$A$1:$Z$286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8">'309'!$A:$C,'309'!$1:$10</definedName>
    <definedName name="_xlnm.Print_Titles" localSheetId="67">'310'!$A:$C,'310'!$1:$10</definedName>
    <definedName name="_xlnm.Print_Titles" localSheetId="75">'310 &amp; 491'!$A:$C,'310 &amp; 491'!$1:$10</definedName>
    <definedName name="_xlnm.Print_Titles" localSheetId="56">'311'!$A:$C,'311'!$1:$10</definedName>
    <definedName name="_xlnm.Print_Titles" localSheetId="58">'312'!$A:$C,'312'!$1:$10</definedName>
    <definedName name="_xlnm.Print_Titles" localSheetId="69">'313'!$A:$C,'313'!$1:$10</definedName>
    <definedName name="_xlnm.Print_Titles" localSheetId="54">'314'!$A:$C,'314'!$1:$10</definedName>
    <definedName name="_xlnm.Print_Titles" localSheetId="60">'315'!$A:$C,'315'!$1:$10</definedName>
    <definedName name="_xlnm.Print_Titles" localSheetId="63">'316'!$A:$C,'316'!$1:$10</definedName>
    <definedName name="_xlnm.Print_Titles" localSheetId="66">'317'!$A:$C,'317'!$1:$10</definedName>
    <definedName name="_xlnm.Print_Titles" localSheetId="64">'320'!$A:$C,'320'!$1:$10</definedName>
    <definedName name="_xlnm.Print_Titles" localSheetId="70">'321'!$A:$C,'321'!$1:$10</definedName>
    <definedName name="_xlnm.Print_Titles" localSheetId="71">'322'!$A:$C,'322'!$1:$10</definedName>
    <definedName name="_xlnm.Print_Titles" localSheetId="57">'324'!$A:$C,'324'!$1:$10</definedName>
    <definedName name="_xlnm.Print_Titles" localSheetId="72">'325'!$A:$C,'325'!$1:$10</definedName>
    <definedName name="_xlnm.Print_Titles" localSheetId="61">'326'!$A:$C,'326'!$1:$10</definedName>
    <definedName name="_xlnm.Print_Titles" localSheetId="73">'327'!$A:$C,'327'!$1:$10</definedName>
    <definedName name="_xlnm.Print_Titles" localSheetId="52">'330'!$A:$C,'330'!$1:$10</definedName>
    <definedName name="_xlnm.Print_Titles" localSheetId="59">'331'!$A:$C,'331'!$1:$10</definedName>
    <definedName name="_xlnm.Print_Titles" localSheetId="62">'332'!$A:$C,'332'!$1:$10</definedName>
    <definedName name="_xlnm.Print_Titles" localSheetId="77">'405'!$A:$C,'405'!$1:$10</definedName>
    <definedName name="_xlnm.Print_Titles" localSheetId="78">'406'!$A:$C,'406'!$1:$10</definedName>
    <definedName name="_xlnm.Print_Titles" localSheetId="79">'411'!$A:$C,'411'!$1:$10</definedName>
    <definedName name="_xlnm.Print_Titles" localSheetId="80">'412'!$A:$C,'412'!$1:$10</definedName>
    <definedName name="_xlnm.Print_Titles" localSheetId="81">'413'!$A:$C,'413'!$1:$10</definedName>
    <definedName name="_xlnm.Print_Titles" localSheetId="82">'414'!$A:$C,'414'!$1:$10</definedName>
    <definedName name="_xlnm.Print_Titles" localSheetId="83">'415'!$A:$C,'415'!$1:$10</definedName>
    <definedName name="_xlnm.Print_Titles" localSheetId="84">'418'!$A:$C,'418'!$1:$10</definedName>
    <definedName name="_xlnm.Print_Titles" localSheetId="85">'420'!$A:$C,'420'!$1:$10</definedName>
    <definedName name="_xlnm.Print_Titles" localSheetId="86">'423'!$A:$C,'423'!$1:$10</definedName>
    <definedName name="_xlnm.Print_Titles" localSheetId="87">'424'!$A:$C,'424'!$1:$10</definedName>
    <definedName name="_xlnm.Print_Titles" localSheetId="88">'425'!$A:$C,'425'!$1:$10</definedName>
    <definedName name="_xlnm.Print_Titles" localSheetId="91">'430'!$A:$C,'430'!$1:$10</definedName>
    <definedName name="_xlnm.Print_Titles" localSheetId="92">'433'!$A:$C,'433'!$1:$10</definedName>
    <definedName name="_xlnm.Print_Titles" localSheetId="93">'435'!$A:$C,'435'!$1:$10</definedName>
    <definedName name="_xlnm.Print_Titles" localSheetId="94">'444'!$A:$C,'444'!$1:$10</definedName>
    <definedName name="_xlnm.Print_Titles" localSheetId="95">'445'!$A:$C,'445'!$1:$10</definedName>
    <definedName name="_xlnm.Print_Titles" localSheetId="96">'450'!$A:$C,'450'!$1:$10</definedName>
    <definedName name="_xlnm.Print_Titles" localSheetId="89">'455'!$A:$C,'455'!$1:$10</definedName>
    <definedName name="_xlnm.Print_Titles" localSheetId="76">'491'!$A:$C,'491'!$1:$10</definedName>
    <definedName name="_xlnm.Print_Titles" localSheetId="90">'492'!$A:$C,'492'!$1:$10</definedName>
    <definedName name="_xlnm.Print_Titles" localSheetId="98">'501'!$A:$C,'501'!$1:$10</definedName>
    <definedName name="_xlnm.Print_Titles" localSheetId="99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4">'Div 4'!$A:$C,'Div 4'!$1:$10</definedName>
    <definedName name="_xlnm.Print_Titles" localSheetId="97">'Div 5'!$A:$C,'Div 5'!$1:$10</definedName>
    <definedName name="_xlnm.Print_Titles" localSheetId="65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100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1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1" i="110" l="1"/>
  <c r="X71" i="110"/>
  <c r="L71" i="110"/>
  <c r="N71" i="110" s="1"/>
  <c r="J71" i="110"/>
  <c r="X67" i="110"/>
  <c r="Z67" i="110" s="1"/>
  <c r="P67" i="110"/>
  <c r="D67" i="110"/>
  <c r="L67" i="110" s="1"/>
  <c r="N67" i="110" s="1"/>
  <c r="B67" i="110"/>
  <c r="T66" i="110"/>
  <c r="P66" i="110"/>
  <c r="H66" i="110"/>
  <c r="D66" i="110"/>
  <c r="L66" i="110" s="1"/>
  <c r="N66" i="110" s="1"/>
  <c r="X64" i="110"/>
  <c r="Z64" i="110" s="1"/>
  <c r="N64" i="110"/>
  <c r="L64" i="110"/>
  <c r="B64" i="110"/>
  <c r="T63" i="110"/>
  <c r="P63" i="110"/>
  <c r="L63" i="110"/>
  <c r="N63" i="110" s="1"/>
  <c r="H63" i="110"/>
  <c r="D63" i="110"/>
  <c r="B63" i="110"/>
  <c r="Z62" i="110"/>
  <c r="X62" i="110"/>
  <c r="N62" i="110"/>
  <c r="L62" i="110"/>
  <c r="J62" i="110"/>
  <c r="B62" i="110"/>
  <c r="Z61" i="110"/>
  <c r="X61" i="110"/>
  <c r="L61" i="110"/>
  <c r="N61" i="110" s="1"/>
  <c r="B61" i="110"/>
  <c r="Z60" i="110"/>
  <c r="X60" i="110"/>
  <c r="T60" i="110"/>
  <c r="P60" i="110"/>
  <c r="L60" i="110"/>
  <c r="H60" i="110"/>
  <c r="N60" i="110" s="1"/>
  <c r="D60" i="110"/>
  <c r="B60" i="110"/>
  <c r="Z59" i="110"/>
  <c r="X59" i="110"/>
  <c r="L59" i="110"/>
  <c r="N59" i="110" s="1"/>
  <c r="J59" i="110"/>
  <c r="B59" i="110"/>
  <c r="Z58" i="110"/>
  <c r="X58" i="110"/>
  <c r="N58" i="110"/>
  <c r="L58" i="110"/>
  <c r="B58" i="110"/>
  <c r="X57" i="110"/>
  <c r="T57" i="110"/>
  <c r="P57" i="110"/>
  <c r="H57" i="110"/>
  <c r="D57" i="110"/>
  <c r="L57" i="110" s="1"/>
  <c r="N57" i="110" s="1"/>
  <c r="B57" i="110"/>
  <c r="Z56" i="110"/>
  <c r="X56" i="110"/>
  <c r="N56" i="110"/>
  <c r="L56" i="110"/>
  <c r="B56" i="110"/>
  <c r="T55" i="110"/>
  <c r="P55" i="110"/>
  <c r="X55" i="110" s="1"/>
  <c r="N55" i="110"/>
  <c r="L55" i="110"/>
  <c r="H55" i="110"/>
  <c r="D55" i="110"/>
  <c r="B55" i="110"/>
  <c r="X54" i="110"/>
  <c r="Z54" i="110" s="1"/>
  <c r="N54" i="110"/>
  <c r="L54" i="110"/>
  <c r="B54" i="110"/>
  <c r="T53" i="110"/>
  <c r="P53" i="110"/>
  <c r="X53" i="110" s="1"/>
  <c r="N53" i="110"/>
  <c r="L53" i="110"/>
  <c r="J53" i="110"/>
  <c r="H53" i="110"/>
  <c r="D53" i="110"/>
  <c r="B53" i="110"/>
  <c r="Z52" i="110"/>
  <c r="X52" i="110"/>
  <c r="L52" i="110"/>
  <c r="N52" i="110" s="1"/>
  <c r="J52" i="110"/>
  <c r="B52" i="110"/>
  <c r="T51" i="110"/>
  <c r="P51" i="110"/>
  <c r="X51" i="110" s="1"/>
  <c r="Z51" i="110" s="1"/>
  <c r="H51" i="110"/>
  <c r="L51" i="110" s="1"/>
  <c r="N51" i="110" s="1"/>
  <c r="D51" i="110"/>
  <c r="B51" i="110"/>
  <c r="Z50" i="110"/>
  <c r="X50" i="110"/>
  <c r="N50" i="110"/>
  <c r="L50" i="110"/>
  <c r="B50" i="110"/>
  <c r="Z49" i="110"/>
  <c r="X49" i="110"/>
  <c r="T49" i="110"/>
  <c r="P49" i="110"/>
  <c r="L49" i="110"/>
  <c r="J49" i="110"/>
  <c r="H49" i="110"/>
  <c r="D49" i="110"/>
  <c r="B49" i="110"/>
  <c r="Z48" i="110"/>
  <c r="X48" i="110"/>
  <c r="N48" i="110"/>
  <c r="L48" i="110"/>
  <c r="B48" i="110"/>
  <c r="Z47" i="110"/>
  <c r="X47" i="110"/>
  <c r="V47" i="110"/>
  <c r="T47" i="110"/>
  <c r="P47" i="110"/>
  <c r="H47" i="110"/>
  <c r="D47" i="110"/>
  <c r="B47" i="110"/>
  <c r="Z46" i="110"/>
  <c r="X46" i="110"/>
  <c r="N46" i="110"/>
  <c r="L46" i="110"/>
  <c r="B46" i="110"/>
  <c r="T45" i="110"/>
  <c r="P45" i="110"/>
  <c r="X45" i="110" s="1"/>
  <c r="H45" i="110"/>
  <c r="D45" i="110"/>
  <c r="L45" i="110" s="1"/>
  <c r="N45" i="110" s="1"/>
  <c r="B45" i="110"/>
  <c r="Z44" i="110"/>
  <c r="X44" i="110"/>
  <c r="N44" i="110"/>
  <c r="L44" i="110"/>
  <c r="B44" i="110"/>
  <c r="X43" i="110"/>
  <c r="T43" i="110"/>
  <c r="P43" i="110"/>
  <c r="N43" i="110"/>
  <c r="L43" i="110"/>
  <c r="J43" i="110"/>
  <c r="H43" i="110"/>
  <c r="D43" i="110"/>
  <c r="B43" i="110"/>
  <c r="Z42" i="110"/>
  <c r="X42" i="110"/>
  <c r="L42" i="110"/>
  <c r="N42" i="110" s="1"/>
  <c r="J42" i="110"/>
  <c r="B42" i="110"/>
  <c r="T41" i="110"/>
  <c r="P41" i="110"/>
  <c r="X41" i="110" s="1"/>
  <c r="N41" i="110"/>
  <c r="L41" i="110"/>
  <c r="H41" i="110"/>
  <c r="D41" i="110"/>
  <c r="B41" i="110"/>
  <c r="Z40" i="110"/>
  <c r="X40" i="110"/>
  <c r="N40" i="110"/>
  <c r="L40" i="110"/>
  <c r="B40" i="110"/>
  <c r="Z39" i="110"/>
  <c r="X39" i="110"/>
  <c r="N39" i="110"/>
  <c r="L39" i="110"/>
  <c r="J39" i="110"/>
  <c r="B39" i="110"/>
  <c r="Z38" i="110"/>
  <c r="X38" i="110"/>
  <c r="N38" i="110"/>
  <c r="L38" i="110"/>
  <c r="B38" i="110"/>
  <c r="Z37" i="110"/>
  <c r="X37" i="110"/>
  <c r="L37" i="110"/>
  <c r="N37" i="110" s="1"/>
  <c r="J37" i="110"/>
  <c r="B37" i="110"/>
  <c r="Z36" i="110"/>
  <c r="X36" i="110"/>
  <c r="N36" i="110"/>
  <c r="L36" i="110"/>
  <c r="J36" i="110"/>
  <c r="B36" i="110"/>
  <c r="Z35" i="110"/>
  <c r="X35" i="110"/>
  <c r="N35" i="110"/>
  <c r="L35" i="110"/>
  <c r="B35" i="110"/>
  <c r="Z34" i="110"/>
  <c r="X34" i="110"/>
  <c r="N34" i="110"/>
  <c r="L34" i="110"/>
  <c r="B34" i="110"/>
  <c r="Z33" i="110"/>
  <c r="X33" i="110"/>
  <c r="N33" i="110"/>
  <c r="L33" i="110"/>
  <c r="B33" i="110"/>
  <c r="Z32" i="110"/>
  <c r="X32" i="110"/>
  <c r="N32" i="110"/>
  <c r="L32" i="110"/>
  <c r="B32" i="110"/>
  <c r="Z31" i="110"/>
  <c r="X31" i="110"/>
  <c r="N31" i="110"/>
  <c r="L31" i="110"/>
  <c r="B31" i="110"/>
  <c r="Z30" i="110"/>
  <c r="X30" i="110"/>
  <c r="T30" i="110"/>
  <c r="P30" i="110"/>
  <c r="J30" i="110"/>
  <c r="H30" i="110"/>
  <c r="D30" i="110"/>
  <c r="B30" i="110"/>
  <c r="X29" i="110"/>
  <c r="Z29" i="110" s="1"/>
  <c r="N29" i="110"/>
  <c r="L29" i="110"/>
  <c r="B29" i="110"/>
  <c r="Z28" i="110"/>
  <c r="X28" i="110"/>
  <c r="L28" i="110"/>
  <c r="N28" i="110" s="1"/>
  <c r="J28" i="110"/>
  <c r="B28" i="110"/>
  <c r="X27" i="110"/>
  <c r="Z27" i="110" s="1"/>
  <c r="L27" i="110"/>
  <c r="N27" i="110" s="1"/>
  <c r="B27" i="110"/>
  <c r="Z26" i="110"/>
  <c r="X26" i="110"/>
  <c r="N26" i="110"/>
  <c r="L26" i="110"/>
  <c r="B26" i="110"/>
  <c r="X25" i="110"/>
  <c r="Z25" i="110" s="1"/>
  <c r="N25" i="110"/>
  <c r="L25" i="110"/>
  <c r="B25" i="110"/>
  <c r="Z24" i="110"/>
  <c r="X24" i="110"/>
  <c r="L24" i="110"/>
  <c r="N24" i="110" s="1"/>
  <c r="B24" i="110"/>
  <c r="X23" i="110"/>
  <c r="Z23" i="110" s="1"/>
  <c r="N23" i="110"/>
  <c r="L23" i="110"/>
  <c r="B23" i="110"/>
  <c r="Z22" i="110"/>
  <c r="X22" i="110"/>
  <c r="L22" i="110"/>
  <c r="N22" i="110" s="1"/>
  <c r="J22" i="110"/>
  <c r="B22" i="110"/>
  <c r="Z21" i="110"/>
  <c r="X21" i="110"/>
  <c r="N21" i="110"/>
  <c r="L21" i="110"/>
  <c r="B21" i="110"/>
  <c r="X20" i="110"/>
  <c r="Z20" i="110" s="1"/>
  <c r="T20" i="110"/>
  <c r="P20" i="110"/>
  <c r="H20" i="110"/>
  <c r="D20" i="110"/>
  <c r="L20" i="110" s="1"/>
  <c r="N20" i="110" s="1"/>
  <c r="B20" i="110"/>
  <c r="V19" i="110"/>
  <c r="T19" i="110"/>
  <c r="P19" i="110"/>
  <c r="X19" i="110" s="1"/>
  <c r="H19" i="110"/>
  <c r="D19" i="110"/>
  <c r="L19" i="110" s="1"/>
  <c r="H17" i="110"/>
  <c r="T15" i="110"/>
  <c r="P15" i="110"/>
  <c r="N15" i="110"/>
  <c r="H15" i="110"/>
  <c r="D15" i="110"/>
  <c r="L15" i="110" s="1"/>
  <c r="X13" i="110"/>
  <c r="Z13" i="110" s="1"/>
  <c r="P13" i="110"/>
  <c r="D13" i="110"/>
  <c r="L13" i="110" s="1"/>
  <c r="N13" i="110" s="1"/>
  <c r="B13" i="110"/>
  <c r="T12" i="110"/>
  <c r="P12" i="110"/>
  <c r="H12" i="110"/>
  <c r="J41" i="110" s="1"/>
  <c r="D6" i="110"/>
  <c r="D4" i="110"/>
  <c r="J53" i="109"/>
  <c r="F53" i="109"/>
  <c r="Z48" i="109"/>
  <c r="X48" i="109"/>
  <c r="N48" i="109"/>
  <c r="L48" i="109"/>
  <c r="F48" i="109"/>
  <c r="Z44" i="109"/>
  <c r="X44" i="109"/>
  <c r="P44" i="109"/>
  <c r="N44" i="109"/>
  <c r="F44" i="109"/>
  <c r="D44" i="109"/>
  <c r="L44" i="109" s="1"/>
  <c r="B44" i="109"/>
  <c r="Z43" i="109"/>
  <c r="X43" i="109"/>
  <c r="P43" i="109"/>
  <c r="N43" i="109"/>
  <c r="L43" i="109"/>
  <c r="J43" i="109"/>
  <c r="D43" i="109"/>
  <c r="B43" i="109"/>
  <c r="X42" i="109"/>
  <c r="Z42" i="109" s="1"/>
  <c r="P42" i="109"/>
  <c r="N42" i="109"/>
  <c r="L42" i="109"/>
  <c r="D42" i="109"/>
  <c r="B42" i="109"/>
  <c r="P41" i="109"/>
  <c r="X41" i="109" s="1"/>
  <c r="Z41" i="109" s="1"/>
  <c r="N41" i="109"/>
  <c r="L41" i="109"/>
  <c r="F41" i="109"/>
  <c r="D41" i="109"/>
  <c r="B41" i="109"/>
  <c r="T40" i="109"/>
  <c r="H40" i="109"/>
  <c r="Z38" i="109"/>
  <c r="X38" i="109"/>
  <c r="N38" i="109"/>
  <c r="L38" i="109"/>
  <c r="F38" i="109"/>
  <c r="B38" i="109"/>
  <c r="Z37" i="109"/>
  <c r="X37" i="109"/>
  <c r="N37" i="109"/>
  <c r="L37" i="109"/>
  <c r="F37" i="109"/>
  <c r="B37" i="109"/>
  <c r="Z36" i="109"/>
  <c r="X36" i="109"/>
  <c r="N36" i="109"/>
  <c r="L36" i="109"/>
  <c r="B36" i="109"/>
  <c r="Z35" i="109"/>
  <c r="X35" i="109"/>
  <c r="N35" i="109"/>
  <c r="L35" i="109"/>
  <c r="F35" i="109"/>
  <c r="B35" i="109"/>
  <c r="Z34" i="109"/>
  <c r="X34" i="109"/>
  <c r="N34" i="109"/>
  <c r="L34" i="109"/>
  <c r="F34" i="109"/>
  <c r="B34" i="109"/>
  <c r="Z33" i="109"/>
  <c r="X33" i="109"/>
  <c r="N33" i="109"/>
  <c r="L33" i="109"/>
  <c r="F33" i="109"/>
  <c r="B33" i="109"/>
  <c r="Z32" i="109"/>
  <c r="X32" i="109"/>
  <c r="N32" i="109"/>
  <c r="L32" i="109"/>
  <c r="J32" i="109"/>
  <c r="B32" i="109"/>
  <c r="Z31" i="109"/>
  <c r="X31" i="109"/>
  <c r="N31" i="109"/>
  <c r="L31" i="109"/>
  <c r="F31" i="109"/>
  <c r="B31" i="109"/>
  <c r="Z30" i="109"/>
  <c r="X30" i="109"/>
  <c r="N30" i="109"/>
  <c r="L30" i="109"/>
  <c r="F30" i="109"/>
  <c r="B30" i="109"/>
  <c r="X29" i="109"/>
  <c r="Z29" i="109" s="1"/>
  <c r="L29" i="109"/>
  <c r="N29" i="109" s="1"/>
  <c r="F29" i="109"/>
  <c r="B29" i="109"/>
  <c r="Z28" i="109"/>
  <c r="X28" i="109"/>
  <c r="T28" i="109"/>
  <c r="P28" i="109"/>
  <c r="H28" i="109"/>
  <c r="F28" i="109"/>
  <c r="D28" i="109"/>
  <c r="L28" i="109" s="1"/>
  <c r="N28" i="109" s="1"/>
  <c r="B28" i="109"/>
  <c r="Z27" i="109"/>
  <c r="X27" i="109"/>
  <c r="R27" i="109"/>
  <c r="N27" i="109"/>
  <c r="L27" i="109"/>
  <c r="F27" i="109"/>
  <c r="B27" i="109"/>
  <c r="Z26" i="109"/>
  <c r="X26" i="109"/>
  <c r="N26" i="109"/>
  <c r="L26" i="109"/>
  <c r="B26" i="109"/>
  <c r="Z25" i="109"/>
  <c r="X25" i="109"/>
  <c r="N25" i="109"/>
  <c r="L25" i="109"/>
  <c r="F25" i="109"/>
  <c r="B25" i="109"/>
  <c r="Z24" i="109"/>
  <c r="X24" i="109"/>
  <c r="N24" i="109"/>
  <c r="L24" i="109"/>
  <c r="B24" i="109"/>
  <c r="X23" i="109"/>
  <c r="Z23" i="109" s="1"/>
  <c r="L23" i="109"/>
  <c r="N23" i="109" s="1"/>
  <c r="F23" i="109"/>
  <c r="B23" i="109"/>
  <c r="Z22" i="109"/>
  <c r="X22" i="109"/>
  <c r="N22" i="109"/>
  <c r="L22" i="109"/>
  <c r="B22" i="109"/>
  <c r="Z21" i="109"/>
  <c r="X21" i="109"/>
  <c r="N21" i="109"/>
  <c r="L21" i="109"/>
  <c r="F21" i="109"/>
  <c r="B21" i="109"/>
  <c r="Z20" i="109"/>
  <c r="X20" i="109"/>
  <c r="N20" i="109"/>
  <c r="L20" i="109"/>
  <c r="B20" i="109"/>
  <c r="T19" i="109"/>
  <c r="P19" i="109"/>
  <c r="X19" i="109" s="1"/>
  <c r="H19" i="109"/>
  <c r="D19" i="109"/>
  <c r="B19" i="109"/>
  <c r="Z18" i="109"/>
  <c r="T18" i="109"/>
  <c r="R18" i="109"/>
  <c r="P18" i="109"/>
  <c r="X18" i="109" s="1"/>
  <c r="N18" i="109"/>
  <c r="H18" i="109"/>
  <c r="F18" i="109"/>
  <c r="D18" i="109"/>
  <c r="L18" i="109" s="1"/>
  <c r="H16" i="109"/>
  <c r="H46" i="109" s="1"/>
  <c r="F16" i="109"/>
  <c r="D16" i="109"/>
  <c r="Z14" i="109"/>
  <c r="T14" i="109"/>
  <c r="R14" i="109"/>
  <c r="P14" i="109"/>
  <c r="X14" i="109" s="1"/>
  <c r="H14" i="109"/>
  <c r="N14" i="109" s="1"/>
  <c r="F14" i="109"/>
  <c r="D14" i="109"/>
  <c r="L14" i="109" s="1"/>
  <c r="T12" i="109"/>
  <c r="P12" i="109"/>
  <c r="R42" i="109" s="1"/>
  <c r="N12" i="109"/>
  <c r="H12" i="109"/>
  <c r="J28" i="109" s="1"/>
  <c r="D12" i="109"/>
  <c r="F43" i="109" s="1"/>
  <c r="D6" i="109"/>
  <c r="D4" i="109"/>
  <c r="Z84" i="108"/>
  <c r="X84" i="108"/>
  <c r="N84" i="108"/>
  <c r="L84" i="108"/>
  <c r="T80" i="108"/>
  <c r="Z80" i="108" s="1"/>
  <c r="R80" i="108"/>
  <c r="P80" i="108"/>
  <c r="N80" i="108"/>
  <c r="H80" i="108"/>
  <c r="D80" i="108"/>
  <c r="Z78" i="108"/>
  <c r="X78" i="108"/>
  <c r="R78" i="108"/>
  <c r="L78" i="108"/>
  <c r="N78" i="108" s="1"/>
  <c r="B78" i="108"/>
  <c r="Z77" i="108"/>
  <c r="X77" i="108"/>
  <c r="N77" i="108"/>
  <c r="L77" i="108"/>
  <c r="B77" i="108"/>
  <c r="T76" i="108"/>
  <c r="P76" i="108"/>
  <c r="H76" i="108"/>
  <c r="D76" i="108"/>
  <c r="B76" i="108"/>
  <c r="X75" i="108"/>
  <c r="Z75" i="108" s="1"/>
  <c r="N75" i="108"/>
  <c r="L75" i="108"/>
  <c r="B75" i="108"/>
  <c r="T74" i="108"/>
  <c r="R74" i="108"/>
  <c r="P74" i="108"/>
  <c r="X74" i="108" s="1"/>
  <c r="Z74" i="108" s="1"/>
  <c r="N74" i="108"/>
  <c r="H74" i="108"/>
  <c r="D74" i="108"/>
  <c r="L74" i="108" s="1"/>
  <c r="B74" i="108"/>
  <c r="Z73" i="108"/>
  <c r="X73" i="108"/>
  <c r="N73" i="108"/>
  <c r="L73" i="108"/>
  <c r="J73" i="108"/>
  <c r="B73" i="108"/>
  <c r="X72" i="108"/>
  <c r="T72" i="108"/>
  <c r="Z72" i="108" s="1"/>
  <c r="P72" i="108"/>
  <c r="L72" i="108"/>
  <c r="H72" i="108"/>
  <c r="D72" i="108"/>
  <c r="B72" i="108"/>
  <c r="X71" i="108"/>
  <c r="Z71" i="108" s="1"/>
  <c r="L71" i="108"/>
  <c r="N71" i="108" s="1"/>
  <c r="F71" i="108"/>
  <c r="B71" i="108"/>
  <c r="Z70" i="108"/>
  <c r="X70" i="108"/>
  <c r="N70" i="108"/>
  <c r="L70" i="108"/>
  <c r="B70" i="108"/>
  <c r="Z69" i="108"/>
  <c r="X69" i="108"/>
  <c r="N69" i="108"/>
  <c r="L69" i="108"/>
  <c r="B69" i="108"/>
  <c r="Z68" i="108"/>
  <c r="X68" i="108"/>
  <c r="N68" i="108"/>
  <c r="L68" i="108"/>
  <c r="B68" i="108"/>
  <c r="Z67" i="108"/>
  <c r="X67" i="108"/>
  <c r="N67" i="108"/>
  <c r="L67" i="108"/>
  <c r="B67" i="108"/>
  <c r="T66" i="108"/>
  <c r="P66" i="108"/>
  <c r="H66" i="108"/>
  <c r="D66" i="108"/>
  <c r="B66" i="108"/>
  <c r="Z65" i="108"/>
  <c r="X65" i="108"/>
  <c r="R65" i="108"/>
  <c r="N65" i="108"/>
  <c r="L65" i="108"/>
  <c r="B65" i="108"/>
  <c r="Z64" i="108"/>
  <c r="X64" i="108"/>
  <c r="N64" i="108"/>
  <c r="L64" i="108"/>
  <c r="J64" i="108"/>
  <c r="B64" i="108"/>
  <c r="X63" i="108"/>
  <c r="Z63" i="108" s="1"/>
  <c r="N63" i="108"/>
  <c r="L63" i="108"/>
  <c r="B63" i="108"/>
  <c r="T62" i="108"/>
  <c r="R62" i="108"/>
  <c r="P62" i="108"/>
  <c r="X62" i="108" s="1"/>
  <c r="Z62" i="108" s="1"/>
  <c r="H62" i="108"/>
  <c r="D62" i="108"/>
  <c r="L62" i="108" s="1"/>
  <c r="N62" i="108" s="1"/>
  <c r="B62" i="108"/>
  <c r="X61" i="108"/>
  <c r="Z61" i="108" s="1"/>
  <c r="N61" i="108"/>
  <c r="L61" i="108"/>
  <c r="B61" i="108"/>
  <c r="T60" i="108"/>
  <c r="X60" i="108" s="1"/>
  <c r="Z60" i="108" s="1"/>
  <c r="P60" i="108"/>
  <c r="L60" i="108"/>
  <c r="H60" i="108"/>
  <c r="N60" i="108" s="1"/>
  <c r="D60" i="108"/>
  <c r="B60" i="108"/>
  <c r="Z59" i="108"/>
  <c r="X59" i="108"/>
  <c r="N59" i="108"/>
  <c r="L59" i="108"/>
  <c r="J59" i="108"/>
  <c r="B59" i="108"/>
  <c r="T58" i="108"/>
  <c r="Z58" i="108" s="1"/>
  <c r="P58" i="108"/>
  <c r="H58" i="108"/>
  <c r="N58" i="108" s="1"/>
  <c r="D58" i="108"/>
  <c r="L58" i="108" s="1"/>
  <c r="B58" i="108"/>
  <c r="X57" i="108"/>
  <c r="Z57" i="108" s="1"/>
  <c r="N57" i="108"/>
  <c r="L57" i="108"/>
  <c r="B57" i="108"/>
  <c r="X56" i="108"/>
  <c r="Z56" i="108" s="1"/>
  <c r="T56" i="108"/>
  <c r="P56" i="108"/>
  <c r="L56" i="108"/>
  <c r="N56" i="108" s="1"/>
  <c r="H56" i="108"/>
  <c r="D56" i="108"/>
  <c r="B56" i="108"/>
  <c r="Z55" i="108"/>
  <c r="X55" i="108"/>
  <c r="R55" i="108"/>
  <c r="L55" i="108"/>
  <c r="N55" i="108" s="1"/>
  <c r="B55" i="108"/>
  <c r="X54" i="108"/>
  <c r="Z54" i="108" s="1"/>
  <c r="T54" i="108"/>
  <c r="R54" i="108"/>
  <c r="P54" i="108"/>
  <c r="N54" i="108"/>
  <c r="L54" i="108"/>
  <c r="H54" i="108"/>
  <c r="D54" i="108"/>
  <c r="B54" i="108"/>
  <c r="Z53" i="108"/>
  <c r="X53" i="108"/>
  <c r="R53" i="108"/>
  <c r="N53" i="108"/>
  <c r="L53" i="108"/>
  <c r="B53" i="108"/>
  <c r="T52" i="108"/>
  <c r="Z52" i="108" s="1"/>
  <c r="P52" i="108"/>
  <c r="J52" i="108"/>
  <c r="H52" i="108"/>
  <c r="N52" i="108" s="1"/>
  <c r="F52" i="108"/>
  <c r="D52" i="108"/>
  <c r="B52" i="108"/>
  <c r="X51" i="108"/>
  <c r="Z51" i="108" s="1"/>
  <c r="N51" i="108"/>
  <c r="L51" i="108"/>
  <c r="B51" i="108"/>
  <c r="Z50" i="108"/>
  <c r="X50" i="108"/>
  <c r="T50" i="108"/>
  <c r="P50" i="108"/>
  <c r="N50" i="108"/>
  <c r="L50" i="108"/>
  <c r="H50" i="108"/>
  <c r="D50" i="108"/>
  <c r="B50" i="108"/>
  <c r="Z49" i="108"/>
  <c r="X49" i="108"/>
  <c r="N49" i="108"/>
  <c r="L49" i="108"/>
  <c r="B49" i="108"/>
  <c r="Z48" i="108"/>
  <c r="X48" i="108"/>
  <c r="R48" i="108"/>
  <c r="N48" i="108"/>
  <c r="L48" i="108"/>
  <c r="B48" i="108"/>
  <c r="T47" i="108"/>
  <c r="Z47" i="108" s="1"/>
  <c r="P47" i="108"/>
  <c r="L47" i="108"/>
  <c r="H47" i="108"/>
  <c r="N47" i="108" s="1"/>
  <c r="D47" i="108"/>
  <c r="B47" i="108"/>
  <c r="Z46" i="108"/>
  <c r="X46" i="108"/>
  <c r="L46" i="108"/>
  <c r="N46" i="108" s="1"/>
  <c r="B46" i="108"/>
  <c r="X45" i="108"/>
  <c r="T45" i="108"/>
  <c r="P45" i="108"/>
  <c r="L45" i="108"/>
  <c r="N45" i="108" s="1"/>
  <c r="H45" i="108"/>
  <c r="D45" i="108"/>
  <c r="B45" i="108"/>
  <c r="Z44" i="108"/>
  <c r="X44" i="108"/>
  <c r="V44" i="108"/>
  <c r="N44" i="108"/>
  <c r="L44" i="108"/>
  <c r="B44" i="108"/>
  <c r="Z43" i="108"/>
  <c r="X43" i="108"/>
  <c r="R43" i="108"/>
  <c r="N43" i="108"/>
  <c r="L43" i="108"/>
  <c r="B43" i="108"/>
  <c r="X42" i="108"/>
  <c r="Z42" i="108" s="1"/>
  <c r="N42" i="108"/>
  <c r="L42" i="108"/>
  <c r="J42" i="108"/>
  <c r="B42" i="108"/>
  <c r="Z41" i="108"/>
  <c r="X41" i="108"/>
  <c r="N41" i="108"/>
  <c r="L41" i="108"/>
  <c r="B41" i="108"/>
  <c r="Z40" i="108"/>
  <c r="X40" i="108"/>
  <c r="N40" i="108"/>
  <c r="L40" i="108"/>
  <c r="B40" i="108"/>
  <c r="Z39" i="108"/>
  <c r="X39" i="108"/>
  <c r="R39" i="108"/>
  <c r="N39" i="108"/>
  <c r="L39" i="108"/>
  <c r="B39" i="108"/>
  <c r="Z38" i="108"/>
  <c r="X38" i="108"/>
  <c r="N38" i="108"/>
  <c r="L38" i="108"/>
  <c r="J38" i="108"/>
  <c r="B38" i="108"/>
  <c r="Z37" i="108"/>
  <c r="X37" i="108"/>
  <c r="N37" i="108"/>
  <c r="L37" i="108"/>
  <c r="B37" i="108"/>
  <c r="Z36" i="108"/>
  <c r="X36" i="108"/>
  <c r="N36" i="108"/>
  <c r="L36" i="108"/>
  <c r="B36" i="108"/>
  <c r="Z35" i="108"/>
  <c r="X35" i="108"/>
  <c r="R35" i="108"/>
  <c r="N35" i="108"/>
  <c r="L35" i="108"/>
  <c r="B35" i="108"/>
  <c r="Z34" i="108"/>
  <c r="X34" i="108"/>
  <c r="T34" i="108"/>
  <c r="P34" i="108"/>
  <c r="N34" i="108"/>
  <c r="L34" i="108"/>
  <c r="J34" i="108"/>
  <c r="H34" i="108"/>
  <c r="D34" i="108"/>
  <c r="B34" i="108"/>
  <c r="Z33" i="108"/>
  <c r="X33" i="108"/>
  <c r="N33" i="108"/>
  <c r="L33" i="108"/>
  <c r="B33" i="108"/>
  <c r="Z32" i="108"/>
  <c r="X32" i="108"/>
  <c r="N32" i="108"/>
  <c r="L32" i="108"/>
  <c r="B32" i="108"/>
  <c r="X31" i="108"/>
  <c r="Z31" i="108" s="1"/>
  <c r="L31" i="108"/>
  <c r="N31" i="108" s="1"/>
  <c r="B31" i="108"/>
  <c r="Z30" i="108"/>
  <c r="X30" i="108"/>
  <c r="N30" i="108"/>
  <c r="L30" i="108"/>
  <c r="B30" i="108"/>
  <c r="Z29" i="108"/>
  <c r="X29" i="108"/>
  <c r="N29" i="108"/>
  <c r="L29" i="108"/>
  <c r="F29" i="108"/>
  <c r="B29" i="108"/>
  <c r="Z28" i="108"/>
  <c r="X28" i="108"/>
  <c r="N28" i="108"/>
  <c r="L28" i="108"/>
  <c r="B28" i="108"/>
  <c r="X27" i="108"/>
  <c r="Z27" i="108" s="1"/>
  <c r="L27" i="108"/>
  <c r="N27" i="108" s="1"/>
  <c r="B27" i="108"/>
  <c r="Z26" i="108"/>
  <c r="X26" i="108"/>
  <c r="V26" i="108"/>
  <c r="N26" i="108"/>
  <c r="L26" i="108"/>
  <c r="B26" i="108"/>
  <c r="X25" i="108"/>
  <c r="Z25" i="108" s="1"/>
  <c r="L25" i="108"/>
  <c r="N25" i="108" s="1"/>
  <c r="F25" i="108"/>
  <c r="B25" i="108"/>
  <c r="Z24" i="108"/>
  <c r="X24" i="108"/>
  <c r="N24" i="108"/>
  <c r="L24" i="108"/>
  <c r="B24" i="108"/>
  <c r="X23" i="108"/>
  <c r="T23" i="108"/>
  <c r="P23" i="108"/>
  <c r="H23" i="108"/>
  <c r="D23" i="108"/>
  <c r="L23" i="108" s="1"/>
  <c r="B23" i="108"/>
  <c r="Z22" i="108"/>
  <c r="T22" i="108"/>
  <c r="P22" i="108"/>
  <c r="X22" i="108" s="1"/>
  <c r="H22" i="108"/>
  <c r="D22" i="108"/>
  <c r="L22" i="108" s="1"/>
  <c r="N22" i="108" s="1"/>
  <c r="Z18" i="108"/>
  <c r="X18" i="108"/>
  <c r="N18" i="108"/>
  <c r="L18" i="108"/>
  <c r="J18" i="108"/>
  <c r="B18" i="108"/>
  <c r="Z17" i="108"/>
  <c r="X17" i="108"/>
  <c r="R17" i="108"/>
  <c r="N17" i="108"/>
  <c r="L17" i="108"/>
  <c r="B17" i="108"/>
  <c r="Z16" i="108"/>
  <c r="T16" i="108"/>
  <c r="R16" i="108"/>
  <c r="P16" i="108"/>
  <c r="X16" i="108" s="1"/>
  <c r="N16" i="108"/>
  <c r="H16" i="108"/>
  <c r="D16" i="108"/>
  <c r="L16" i="108" s="1"/>
  <c r="Z14" i="108"/>
  <c r="P14" i="108"/>
  <c r="X14" i="108" s="1"/>
  <c r="N14" i="108"/>
  <c r="L14" i="108"/>
  <c r="D14" i="108"/>
  <c r="B14" i="108"/>
  <c r="Z13" i="108"/>
  <c r="X13" i="108"/>
  <c r="P13" i="108"/>
  <c r="N13" i="108"/>
  <c r="D13" i="108"/>
  <c r="D12" i="108" s="1"/>
  <c r="F22" i="108" s="1"/>
  <c r="B13" i="108"/>
  <c r="T12" i="108"/>
  <c r="V82" i="108" s="1"/>
  <c r="P12" i="108"/>
  <c r="N12" i="108"/>
  <c r="H12" i="108"/>
  <c r="J89" i="108" s="1"/>
  <c r="D6" i="108"/>
  <c r="D4" i="108"/>
  <c r="R29" i="107"/>
  <c r="J29" i="107"/>
  <c r="F29" i="107"/>
  <c r="R26" i="107"/>
  <c r="J26" i="107"/>
  <c r="F26" i="107"/>
  <c r="Z24" i="107"/>
  <c r="X24" i="107"/>
  <c r="N24" i="107"/>
  <c r="L24" i="107"/>
  <c r="J24" i="107"/>
  <c r="R22" i="107"/>
  <c r="J22" i="107"/>
  <c r="F22" i="107"/>
  <c r="T20" i="107"/>
  <c r="Z20" i="107" s="1"/>
  <c r="R20" i="107"/>
  <c r="P20" i="107"/>
  <c r="J20" i="107"/>
  <c r="H20" i="107"/>
  <c r="N20" i="107" s="1"/>
  <c r="F20" i="107"/>
  <c r="D20" i="107"/>
  <c r="T18" i="107"/>
  <c r="Z18" i="107" s="1"/>
  <c r="R18" i="107"/>
  <c r="P18" i="107"/>
  <c r="J18" i="107"/>
  <c r="H18" i="107"/>
  <c r="N18" i="107" s="1"/>
  <c r="F18" i="107"/>
  <c r="D18" i="107"/>
  <c r="R16" i="107"/>
  <c r="J16" i="107"/>
  <c r="F16" i="107"/>
  <c r="T14" i="107"/>
  <c r="Z14" i="107" s="1"/>
  <c r="R14" i="107"/>
  <c r="P14" i="107"/>
  <c r="J14" i="107"/>
  <c r="H14" i="107"/>
  <c r="N14" i="107" s="1"/>
  <c r="F14" i="107"/>
  <c r="D14" i="107"/>
  <c r="Z12" i="107"/>
  <c r="T12" i="107"/>
  <c r="V22" i="107" s="1"/>
  <c r="P12" i="107"/>
  <c r="X12" i="107" s="1"/>
  <c r="N12" i="107"/>
  <c r="H12" i="107"/>
  <c r="D12" i="107"/>
  <c r="F24" i="107" s="1"/>
  <c r="D6" i="107"/>
  <c r="D4" i="107"/>
  <c r="Z90" i="106"/>
  <c r="X90" i="106"/>
  <c r="L90" i="106"/>
  <c r="N90" i="106" s="1"/>
  <c r="T86" i="106"/>
  <c r="Z86" i="106" s="1"/>
  <c r="P86" i="106"/>
  <c r="N86" i="106"/>
  <c r="H86" i="106"/>
  <c r="L86" i="106" s="1"/>
  <c r="D86" i="106"/>
  <c r="Z84" i="106"/>
  <c r="X84" i="106"/>
  <c r="N84" i="106"/>
  <c r="L84" i="106"/>
  <c r="B84" i="106"/>
  <c r="Z83" i="106"/>
  <c r="T83" i="106"/>
  <c r="P83" i="106"/>
  <c r="X83" i="106" s="1"/>
  <c r="N83" i="106"/>
  <c r="L83" i="106"/>
  <c r="H83" i="106"/>
  <c r="D83" i="106"/>
  <c r="B83" i="106"/>
  <c r="Z82" i="106"/>
  <c r="X82" i="106"/>
  <c r="N82" i="106"/>
  <c r="L82" i="106"/>
  <c r="B82" i="106"/>
  <c r="T81" i="106"/>
  <c r="P81" i="106"/>
  <c r="L81" i="106"/>
  <c r="H81" i="106"/>
  <c r="D81" i="106"/>
  <c r="B81" i="106"/>
  <c r="X80" i="106"/>
  <c r="Z80" i="106" s="1"/>
  <c r="L80" i="106"/>
  <c r="N80" i="106" s="1"/>
  <c r="B80" i="106"/>
  <c r="T79" i="106"/>
  <c r="P79" i="106"/>
  <c r="X79" i="106" s="1"/>
  <c r="H79" i="106"/>
  <c r="D79" i="106"/>
  <c r="L79" i="106" s="1"/>
  <c r="B79" i="106"/>
  <c r="Z78" i="106"/>
  <c r="X78" i="106"/>
  <c r="N78" i="106"/>
  <c r="L78" i="106"/>
  <c r="B78" i="106"/>
  <c r="X77" i="106"/>
  <c r="Z77" i="106" s="1"/>
  <c r="L77" i="106"/>
  <c r="N77" i="106" s="1"/>
  <c r="B77" i="106"/>
  <c r="X76" i="106"/>
  <c r="Z76" i="106" s="1"/>
  <c r="N76" i="106"/>
  <c r="L76" i="106"/>
  <c r="B76" i="106"/>
  <c r="X75" i="106"/>
  <c r="Z75" i="106" s="1"/>
  <c r="L75" i="106"/>
  <c r="N75" i="106" s="1"/>
  <c r="B75" i="106"/>
  <c r="Z74" i="106"/>
  <c r="X74" i="106"/>
  <c r="N74" i="106"/>
  <c r="L74" i="106"/>
  <c r="B74" i="106"/>
  <c r="X73" i="106"/>
  <c r="T73" i="106"/>
  <c r="Z73" i="106" s="1"/>
  <c r="P73" i="106"/>
  <c r="H73" i="106"/>
  <c r="D73" i="106"/>
  <c r="L73" i="106" s="1"/>
  <c r="N73" i="106" s="1"/>
  <c r="B73" i="106"/>
  <c r="Z72" i="106"/>
  <c r="X72" i="106"/>
  <c r="N72" i="106"/>
  <c r="L72" i="106"/>
  <c r="B72" i="106"/>
  <c r="X71" i="106"/>
  <c r="Z71" i="106" s="1"/>
  <c r="L71" i="106"/>
  <c r="N71" i="106" s="1"/>
  <c r="B71" i="106"/>
  <c r="Z70" i="106"/>
  <c r="X70" i="106"/>
  <c r="N70" i="106"/>
  <c r="L70" i="106"/>
  <c r="B70" i="106"/>
  <c r="X69" i="106"/>
  <c r="Z69" i="106" s="1"/>
  <c r="L69" i="106"/>
  <c r="N69" i="106" s="1"/>
  <c r="B69" i="106"/>
  <c r="Z68" i="106"/>
  <c r="T68" i="106"/>
  <c r="P68" i="106"/>
  <c r="X68" i="106" s="1"/>
  <c r="H68" i="106"/>
  <c r="D68" i="106"/>
  <c r="L68" i="106" s="1"/>
  <c r="N68" i="106" s="1"/>
  <c r="B68" i="106"/>
  <c r="X67" i="106"/>
  <c r="Z67" i="106" s="1"/>
  <c r="L67" i="106"/>
  <c r="N67" i="106" s="1"/>
  <c r="B67" i="106"/>
  <c r="Z66" i="106"/>
  <c r="X66" i="106"/>
  <c r="V66" i="106"/>
  <c r="N66" i="106"/>
  <c r="L66" i="106"/>
  <c r="B66" i="106"/>
  <c r="X65" i="106"/>
  <c r="Z65" i="106" s="1"/>
  <c r="L65" i="106"/>
  <c r="N65" i="106" s="1"/>
  <c r="B65" i="106"/>
  <c r="X64" i="106"/>
  <c r="Z64" i="106" s="1"/>
  <c r="T64" i="106"/>
  <c r="P64" i="106"/>
  <c r="N64" i="106"/>
  <c r="L64" i="106"/>
  <c r="J64" i="106"/>
  <c r="H64" i="106"/>
  <c r="D64" i="106"/>
  <c r="B64" i="106"/>
  <c r="X63" i="106"/>
  <c r="Z63" i="106" s="1"/>
  <c r="L63" i="106"/>
  <c r="N63" i="106" s="1"/>
  <c r="B63" i="106"/>
  <c r="T62" i="106"/>
  <c r="X62" i="106" s="1"/>
  <c r="Z62" i="106" s="1"/>
  <c r="P62" i="106"/>
  <c r="H62" i="106"/>
  <c r="N62" i="106" s="1"/>
  <c r="D62" i="106"/>
  <c r="L62" i="106" s="1"/>
  <c r="B62" i="106"/>
  <c r="X61" i="106"/>
  <c r="Z61" i="106" s="1"/>
  <c r="N61" i="106"/>
  <c r="L61" i="106"/>
  <c r="B61" i="106"/>
  <c r="T60" i="106"/>
  <c r="P60" i="106"/>
  <c r="X60" i="106" s="1"/>
  <c r="Z60" i="106" s="1"/>
  <c r="H60" i="106"/>
  <c r="D60" i="106"/>
  <c r="L60" i="106" s="1"/>
  <c r="N60" i="106" s="1"/>
  <c r="B60" i="106"/>
  <c r="X59" i="106"/>
  <c r="Z59" i="106" s="1"/>
  <c r="L59" i="106"/>
  <c r="N59" i="106" s="1"/>
  <c r="B59" i="106"/>
  <c r="Z58" i="106"/>
  <c r="X58" i="106"/>
  <c r="T58" i="106"/>
  <c r="P58" i="106"/>
  <c r="N58" i="106"/>
  <c r="L58" i="106"/>
  <c r="H58" i="106"/>
  <c r="D58" i="106"/>
  <c r="B58" i="106"/>
  <c r="X57" i="106"/>
  <c r="Z57" i="106" s="1"/>
  <c r="L57" i="106"/>
  <c r="N57" i="106" s="1"/>
  <c r="B57" i="106"/>
  <c r="T56" i="106"/>
  <c r="P56" i="106"/>
  <c r="H56" i="106"/>
  <c r="L56" i="106" s="1"/>
  <c r="N56" i="106" s="1"/>
  <c r="D56" i="106"/>
  <c r="B56" i="106"/>
  <c r="X55" i="106"/>
  <c r="Z55" i="106" s="1"/>
  <c r="V55" i="106"/>
  <c r="L55" i="106"/>
  <c r="N55" i="106" s="1"/>
  <c r="B55" i="106"/>
  <c r="T54" i="106"/>
  <c r="P54" i="106"/>
  <c r="X54" i="106" s="1"/>
  <c r="Z54" i="106" s="1"/>
  <c r="N54" i="106"/>
  <c r="H54" i="106"/>
  <c r="D54" i="106"/>
  <c r="L54" i="106" s="1"/>
  <c r="B54" i="106"/>
  <c r="X53" i="106"/>
  <c r="Z53" i="106" s="1"/>
  <c r="L53" i="106"/>
  <c r="N53" i="106" s="1"/>
  <c r="B53" i="106"/>
  <c r="Z52" i="106"/>
  <c r="X52" i="106"/>
  <c r="T52" i="106"/>
  <c r="P52" i="106"/>
  <c r="L52" i="106"/>
  <c r="N52" i="106" s="1"/>
  <c r="H52" i="106"/>
  <c r="D52" i="106"/>
  <c r="B52" i="106"/>
  <c r="X51" i="106"/>
  <c r="Z51" i="106" s="1"/>
  <c r="L51" i="106"/>
  <c r="N51" i="106" s="1"/>
  <c r="B51" i="106"/>
  <c r="T50" i="106"/>
  <c r="X50" i="106" s="1"/>
  <c r="Z50" i="106" s="1"/>
  <c r="P50" i="106"/>
  <c r="H50" i="106"/>
  <c r="D50" i="106"/>
  <c r="L50" i="106" s="1"/>
  <c r="B50" i="106"/>
  <c r="X49" i="106"/>
  <c r="Z49" i="106" s="1"/>
  <c r="N49" i="106"/>
  <c r="L49" i="106"/>
  <c r="B49" i="106"/>
  <c r="Z48" i="106"/>
  <c r="V48" i="106"/>
  <c r="T48" i="106"/>
  <c r="P48" i="106"/>
  <c r="X48" i="106" s="1"/>
  <c r="H48" i="106"/>
  <c r="D48" i="106"/>
  <c r="L48" i="106" s="1"/>
  <c r="N48" i="106" s="1"/>
  <c r="B48" i="106"/>
  <c r="Z47" i="106"/>
  <c r="X47" i="106"/>
  <c r="N47" i="106"/>
  <c r="L47" i="106"/>
  <c r="B47" i="106"/>
  <c r="Z46" i="106"/>
  <c r="X46" i="106"/>
  <c r="N46" i="106"/>
  <c r="L46" i="106"/>
  <c r="B46" i="106"/>
  <c r="Z45" i="106"/>
  <c r="X45" i="106"/>
  <c r="N45" i="106"/>
  <c r="L45" i="106"/>
  <c r="B45" i="106"/>
  <c r="Z44" i="106"/>
  <c r="X44" i="106"/>
  <c r="V44" i="106"/>
  <c r="L44" i="106"/>
  <c r="N44" i="106" s="1"/>
  <c r="B44" i="106"/>
  <c r="Z43" i="106"/>
  <c r="X43" i="106"/>
  <c r="N43" i="106"/>
  <c r="L43" i="106"/>
  <c r="B43" i="106"/>
  <c r="Z42" i="106"/>
  <c r="X42" i="106"/>
  <c r="V42" i="106"/>
  <c r="N42" i="106"/>
  <c r="L42" i="106"/>
  <c r="B42" i="106"/>
  <c r="X41" i="106"/>
  <c r="Z41" i="106" s="1"/>
  <c r="N41" i="106"/>
  <c r="L41" i="106"/>
  <c r="B41" i="106"/>
  <c r="Z40" i="106"/>
  <c r="X40" i="106"/>
  <c r="V40" i="106"/>
  <c r="N40" i="106"/>
  <c r="L40" i="106"/>
  <c r="B40" i="106"/>
  <c r="X39" i="106"/>
  <c r="Z39" i="106" s="1"/>
  <c r="L39" i="106"/>
  <c r="N39" i="106" s="1"/>
  <c r="B39" i="106"/>
  <c r="Z38" i="106"/>
  <c r="X38" i="106"/>
  <c r="N38" i="106"/>
  <c r="L38" i="106"/>
  <c r="B38" i="106"/>
  <c r="T37" i="106"/>
  <c r="P37" i="106"/>
  <c r="L37" i="106"/>
  <c r="H37" i="106"/>
  <c r="D37" i="106"/>
  <c r="B37" i="106"/>
  <c r="X36" i="106"/>
  <c r="Z36" i="106" s="1"/>
  <c r="N36" i="106"/>
  <c r="L36" i="106"/>
  <c r="B36" i="106"/>
  <c r="X35" i="106"/>
  <c r="Z35" i="106" s="1"/>
  <c r="L35" i="106"/>
  <c r="N35" i="106" s="1"/>
  <c r="B35" i="106"/>
  <c r="Z34" i="106"/>
  <c r="X34" i="106"/>
  <c r="V34" i="106"/>
  <c r="N34" i="106"/>
  <c r="L34" i="106"/>
  <c r="B34" i="106"/>
  <c r="Z33" i="106"/>
  <c r="X33" i="106"/>
  <c r="N33" i="106"/>
  <c r="L33" i="106"/>
  <c r="B33" i="106"/>
  <c r="Z32" i="106"/>
  <c r="X32" i="106"/>
  <c r="V32" i="106"/>
  <c r="N32" i="106"/>
  <c r="L32" i="106"/>
  <c r="B32" i="106"/>
  <c r="Z31" i="106"/>
  <c r="X31" i="106"/>
  <c r="L31" i="106"/>
  <c r="N31" i="106" s="1"/>
  <c r="J31" i="106"/>
  <c r="B31" i="106"/>
  <c r="Z30" i="106"/>
  <c r="X30" i="106"/>
  <c r="V30" i="106"/>
  <c r="N30" i="106"/>
  <c r="L30" i="106"/>
  <c r="B30" i="106"/>
  <c r="X29" i="106"/>
  <c r="Z29" i="106" s="1"/>
  <c r="R29" i="106"/>
  <c r="L29" i="106"/>
  <c r="N29" i="106" s="1"/>
  <c r="B29" i="106"/>
  <c r="X28" i="106"/>
  <c r="Z28" i="106" s="1"/>
  <c r="V28" i="106"/>
  <c r="N28" i="106"/>
  <c r="L28" i="106"/>
  <c r="B28" i="106"/>
  <c r="Z27" i="106"/>
  <c r="X27" i="106"/>
  <c r="L27" i="106"/>
  <c r="N27" i="106" s="1"/>
  <c r="B27" i="106"/>
  <c r="T26" i="106"/>
  <c r="P26" i="106"/>
  <c r="L26" i="106"/>
  <c r="J26" i="106"/>
  <c r="H26" i="106"/>
  <c r="D26" i="106"/>
  <c r="B26" i="106"/>
  <c r="X25" i="106"/>
  <c r="T25" i="106"/>
  <c r="P25" i="106"/>
  <c r="L25" i="106"/>
  <c r="J25" i="106"/>
  <c r="H25" i="106"/>
  <c r="N25" i="106" s="1"/>
  <c r="D25" i="106"/>
  <c r="H23" i="106"/>
  <c r="Z21" i="106"/>
  <c r="X21" i="106"/>
  <c r="V21" i="106"/>
  <c r="N21" i="106"/>
  <c r="L21" i="106"/>
  <c r="B21" i="106"/>
  <c r="Z20" i="106"/>
  <c r="X20" i="106"/>
  <c r="V20" i="106"/>
  <c r="N20" i="106"/>
  <c r="L20" i="106"/>
  <c r="B20" i="106"/>
  <c r="Z19" i="106"/>
  <c r="X19" i="106"/>
  <c r="N19" i="106"/>
  <c r="L19" i="106"/>
  <c r="B19" i="106"/>
  <c r="X18" i="106"/>
  <c r="T18" i="106"/>
  <c r="Z18" i="106" s="1"/>
  <c r="P18" i="106"/>
  <c r="L18" i="106"/>
  <c r="J18" i="106"/>
  <c r="H18" i="106"/>
  <c r="N18" i="106" s="1"/>
  <c r="D18" i="106"/>
  <c r="Z16" i="106"/>
  <c r="X16" i="106"/>
  <c r="P16" i="106"/>
  <c r="N16" i="106"/>
  <c r="L16" i="106"/>
  <c r="D16" i="106"/>
  <c r="B16" i="106"/>
  <c r="Z15" i="106"/>
  <c r="X15" i="106"/>
  <c r="P15" i="106"/>
  <c r="N15" i="106"/>
  <c r="L15" i="106"/>
  <c r="D15" i="106"/>
  <c r="B15" i="106"/>
  <c r="P14" i="106"/>
  <c r="X14" i="106" s="1"/>
  <c r="Z14" i="106" s="1"/>
  <c r="D14" i="106"/>
  <c r="B14" i="106"/>
  <c r="Z13" i="106"/>
  <c r="X13" i="106"/>
  <c r="P13" i="106"/>
  <c r="N13" i="106"/>
  <c r="L13" i="106"/>
  <c r="D13" i="106"/>
  <c r="B13" i="106"/>
  <c r="T12" i="106"/>
  <c r="P12" i="106"/>
  <c r="R36" i="106" s="1"/>
  <c r="H12" i="106"/>
  <c r="J51" i="106" s="1"/>
  <c r="D6" i="106"/>
  <c r="D4" i="106"/>
  <c r="Z58" i="105"/>
  <c r="X58" i="105"/>
  <c r="N58" i="105"/>
  <c r="L58" i="105"/>
  <c r="J58" i="105"/>
  <c r="T54" i="105"/>
  <c r="Z54" i="105" s="1"/>
  <c r="P54" i="105"/>
  <c r="X54" i="105" s="1"/>
  <c r="H54" i="105"/>
  <c r="N54" i="105" s="1"/>
  <c r="D54" i="105"/>
  <c r="Z52" i="105"/>
  <c r="X52" i="105"/>
  <c r="N52" i="105"/>
  <c r="L52" i="105"/>
  <c r="B52" i="105"/>
  <c r="Z51" i="105"/>
  <c r="X51" i="105"/>
  <c r="T51" i="105"/>
  <c r="P51" i="105"/>
  <c r="N51" i="105"/>
  <c r="H51" i="105"/>
  <c r="L51" i="105" s="1"/>
  <c r="D51" i="105"/>
  <c r="B51" i="105"/>
  <c r="Z50" i="105"/>
  <c r="X50" i="105"/>
  <c r="N50" i="105"/>
  <c r="L50" i="105"/>
  <c r="B50" i="105"/>
  <c r="V49" i="105"/>
  <c r="T49" i="105"/>
  <c r="Z49" i="105" s="1"/>
  <c r="P49" i="105"/>
  <c r="N49" i="105"/>
  <c r="H49" i="105"/>
  <c r="D49" i="105"/>
  <c r="L49" i="105" s="1"/>
  <c r="B49" i="105"/>
  <c r="Z48" i="105"/>
  <c r="X48" i="105"/>
  <c r="V48" i="105"/>
  <c r="N48" i="105"/>
  <c r="L48" i="105"/>
  <c r="B48" i="105"/>
  <c r="Z47" i="105"/>
  <c r="T47" i="105"/>
  <c r="R47" i="105"/>
  <c r="P47" i="105"/>
  <c r="X47" i="105" s="1"/>
  <c r="N47" i="105"/>
  <c r="L47" i="105"/>
  <c r="H47" i="105"/>
  <c r="D47" i="105"/>
  <c r="B47" i="105"/>
  <c r="Z46" i="105"/>
  <c r="X46" i="105"/>
  <c r="R46" i="105"/>
  <c r="N46" i="105"/>
  <c r="L46" i="105"/>
  <c r="B46" i="105"/>
  <c r="Z45" i="105"/>
  <c r="T45" i="105"/>
  <c r="X45" i="105" s="1"/>
  <c r="P45" i="105"/>
  <c r="N45" i="105"/>
  <c r="L45" i="105"/>
  <c r="H45" i="105"/>
  <c r="D45" i="105"/>
  <c r="B45" i="105"/>
  <c r="Z44" i="105"/>
  <c r="X44" i="105"/>
  <c r="N44" i="105"/>
  <c r="L44" i="105"/>
  <c r="J44" i="105"/>
  <c r="B44" i="105"/>
  <c r="Z43" i="105"/>
  <c r="V43" i="105"/>
  <c r="T43" i="105"/>
  <c r="P43" i="105"/>
  <c r="X43" i="105" s="1"/>
  <c r="J43" i="105"/>
  <c r="H43" i="105"/>
  <c r="N43" i="105" s="1"/>
  <c r="D43" i="105"/>
  <c r="L43" i="105" s="1"/>
  <c r="B43" i="105"/>
  <c r="X42" i="105"/>
  <c r="Z42" i="105" s="1"/>
  <c r="N42" i="105"/>
  <c r="L42" i="105"/>
  <c r="B42" i="105"/>
  <c r="Z41" i="105"/>
  <c r="X41" i="105"/>
  <c r="T41" i="105"/>
  <c r="P41" i="105"/>
  <c r="H41" i="105"/>
  <c r="D41" i="105"/>
  <c r="L41" i="105" s="1"/>
  <c r="N41" i="105" s="1"/>
  <c r="B41" i="105"/>
  <c r="Z40" i="105"/>
  <c r="X40" i="105"/>
  <c r="N40" i="105"/>
  <c r="L40" i="105"/>
  <c r="B40" i="105"/>
  <c r="Z39" i="105"/>
  <c r="X39" i="105"/>
  <c r="V39" i="105"/>
  <c r="N39" i="105"/>
  <c r="L39" i="105"/>
  <c r="B39" i="105"/>
  <c r="Z38" i="105"/>
  <c r="X38" i="105"/>
  <c r="R38" i="105"/>
  <c r="N38" i="105"/>
  <c r="L38" i="105"/>
  <c r="B38" i="105"/>
  <c r="Z37" i="105"/>
  <c r="X37" i="105"/>
  <c r="N37" i="105"/>
  <c r="L37" i="105"/>
  <c r="J37" i="105"/>
  <c r="F37" i="105"/>
  <c r="B37" i="105"/>
  <c r="Z36" i="105"/>
  <c r="X36" i="105"/>
  <c r="N36" i="105"/>
  <c r="L36" i="105"/>
  <c r="B36" i="105"/>
  <c r="Z35" i="105"/>
  <c r="X35" i="105"/>
  <c r="V35" i="105"/>
  <c r="N35" i="105"/>
  <c r="L35" i="105"/>
  <c r="B35" i="105"/>
  <c r="Z34" i="105"/>
  <c r="X34" i="105"/>
  <c r="R34" i="105"/>
  <c r="N34" i="105"/>
  <c r="L34" i="105"/>
  <c r="B34" i="105"/>
  <c r="Z33" i="105"/>
  <c r="X33" i="105"/>
  <c r="N33" i="105"/>
  <c r="L33" i="105"/>
  <c r="J33" i="105"/>
  <c r="F33" i="105"/>
  <c r="B33" i="105"/>
  <c r="Z32" i="105"/>
  <c r="X32" i="105"/>
  <c r="N32" i="105"/>
  <c r="L32" i="105"/>
  <c r="B32" i="105"/>
  <c r="Z31" i="105"/>
  <c r="X31" i="105"/>
  <c r="V31" i="105"/>
  <c r="N31" i="105"/>
  <c r="L31" i="105"/>
  <c r="B31" i="105"/>
  <c r="T30" i="105"/>
  <c r="Z30" i="105" s="1"/>
  <c r="R30" i="105"/>
  <c r="P30" i="105"/>
  <c r="X30" i="105" s="1"/>
  <c r="H30" i="105"/>
  <c r="N30" i="105" s="1"/>
  <c r="D30" i="105"/>
  <c r="L30" i="105" s="1"/>
  <c r="B30" i="105"/>
  <c r="Z29" i="105"/>
  <c r="X29" i="105"/>
  <c r="V29" i="105"/>
  <c r="R29" i="105"/>
  <c r="N29" i="105"/>
  <c r="L29" i="105"/>
  <c r="B29" i="105"/>
  <c r="Z28" i="105"/>
  <c r="X28" i="105"/>
  <c r="N28" i="105"/>
  <c r="L28" i="105"/>
  <c r="J28" i="105"/>
  <c r="B28" i="105"/>
  <c r="Z27" i="105"/>
  <c r="X27" i="105"/>
  <c r="V27" i="105"/>
  <c r="N27" i="105"/>
  <c r="L27" i="105"/>
  <c r="B27" i="105"/>
  <c r="Z26" i="105"/>
  <c r="X26" i="105"/>
  <c r="V26" i="105"/>
  <c r="N26" i="105"/>
  <c r="L26" i="105"/>
  <c r="B26" i="105"/>
  <c r="Z25" i="105"/>
  <c r="X25" i="105"/>
  <c r="V25" i="105"/>
  <c r="R25" i="105"/>
  <c r="N25" i="105"/>
  <c r="L25" i="105"/>
  <c r="B25" i="105"/>
  <c r="Z24" i="105"/>
  <c r="X24" i="105"/>
  <c r="V24" i="105"/>
  <c r="N24" i="105"/>
  <c r="L24" i="105"/>
  <c r="J24" i="105"/>
  <c r="B24" i="105"/>
  <c r="Z23" i="105"/>
  <c r="X23" i="105"/>
  <c r="V23" i="105"/>
  <c r="N23" i="105"/>
  <c r="L23" i="105"/>
  <c r="B23" i="105"/>
  <c r="Z22" i="105"/>
  <c r="X22" i="105"/>
  <c r="V22" i="105"/>
  <c r="N22" i="105"/>
  <c r="L22" i="105"/>
  <c r="B22" i="105"/>
  <c r="V21" i="105"/>
  <c r="T21" i="105"/>
  <c r="Z21" i="105" s="1"/>
  <c r="P21" i="105"/>
  <c r="X21" i="105" s="1"/>
  <c r="N21" i="105"/>
  <c r="J21" i="105"/>
  <c r="H21" i="105"/>
  <c r="D21" i="105"/>
  <c r="L21" i="105" s="1"/>
  <c r="B21" i="105"/>
  <c r="X20" i="105"/>
  <c r="V20" i="105"/>
  <c r="T20" i="105"/>
  <c r="Z20" i="105" s="1"/>
  <c r="P20" i="105"/>
  <c r="L20" i="105"/>
  <c r="H20" i="105"/>
  <c r="N20" i="105" s="1"/>
  <c r="D20" i="105"/>
  <c r="V18" i="105"/>
  <c r="T18" i="105"/>
  <c r="T56" i="105" s="1"/>
  <c r="H18" i="105"/>
  <c r="N18" i="105" s="1"/>
  <c r="Z16" i="105"/>
  <c r="X16" i="105"/>
  <c r="V16" i="105"/>
  <c r="R16" i="105"/>
  <c r="N16" i="105"/>
  <c r="L16" i="105"/>
  <c r="B16" i="105"/>
  <c r="Z15" i="105"/>
  <c r="T15" i="105"/>
  <c r="R15" i="105"/>
  <c r="P15" i="105"/>
  <c r="X15" i="105" s="1"/>
  <c r="N15" i="105"/>
  <c r="L15" i="105"/>
  <c r="H15" i="105"/>
  <c r="D15" i="105"/>
  <c r="Z13" i="105"/>
  <c r="X13" i="105"/>
  <c r="P13" i="105"/>
  <c r="N13" i="105"/>
  <c r="L13" i="105"/>
  <c r="D13" i="105"/>
  <c r="D12" i="105" s="1"/>
  <c r="F54" i="105" s="1"/>
  <c r="B13" i="105"/>
  <c r="Z12" i="105"/>
  <c r="T12" i="105"/>
  <c r="V51" i="105" s="1"/>
  <c r="P12" i="105"/>
  <c r="R49" i="105" s="1"/>
  <c r="H12" i="105"/>
  <c r="J45" i="105" s="1"/>
  <c r="D6" i="105"/>
  <c r="D4" i="105"/>
  <c r="Z89" i="104"/>
  <c r="X89" i="104"/>
  <c r="L89" i="104"/>
  <c r="N89" i="104" s="1"/>
  <c r="T85" i="104"/>
  <c r="Z85" i="104" s="1"/>
  <c r="R85" i="104"/>
  <c r="P85" i="104"/>
  <c r="X85" i="104" s="1"/>
  <c r="H85" i="104"/>
  <c r="N85" i="104" s="1"/>
  <c r="D85" i="104"/>
  <c r="L85" i="104" s="1"/>
  <c r="Z83" i="104"/>
  <c r="X83" i="104"/>
  <c r="N83" i="104"/>
  <c r="L83" i="104"/>
  <c r="B83" i="104"/>
  <c r="Z82" i="104"/>
  <c r="X82" i="104"/>
  <c r="N82" i="104"/>
  <c r="L82" i="104"/>
  <c r="J82" i="104"/>
  <c r="B82" i="104"/>
  <c r="T81" i="104"/>
  <c r="Z81" i="104" s="1"/>
  <c r="P81" i="104"/>
  <c r="X81" i="104" s="1"/>
  <c r="H81" i="104"/>
  <c r="D81" i="104"/>
  <c r="B81" i="104"/>
  <c r="Z80" i="104"/>
  <c r="X80" i="104"/>
  <c r="N80" i="104"/>
  <c r="L80" i="104"/>
  <c r="B80" i="104"/>
  <c r="Z79" i="104"/>
  <c r="X79" i="104"/>
  <c r="T79" i="104"/>
  <c r="P79" i="104"/>
  <c r="H79" i="104"/>
  <c r="N79" i="104" s="1"/>
  <c r="D79" i="104"/>
  <c r="L79" i="104" s="1"/>
  <c r="B79" i="104"/>
  <c r="Z78" i="104"/>
  <c r="X78" i="104"/>
  <c r="N78" i="104"/>
  <c r="L78" i="104"/>
  <c r="B78" i="104"/>
  <c r="X77" i="104"/>
  <c r="T77" i="104"/>
  <c r="P77" i="104"/>
  <c r="L77" i="104"/>
  <c r="H77" i="104"/>
  <c r="N77" i="104" s="1"/>
  <c r="D77" i="104"/>
  <c r="B77" i="104"/>
  <c r="Z76" i="104"/>
  <c r="X76" i="104"/>
  <c r="L76" i="104"/>
  <c r="N76" i="104" s="1"/>
  <c r="B76" i="104"/>
  <c r="Z75" i="104"/>
  <c r="X75" i="104"/>
  <c r="N75" i="104"/>
  <c r="L75" i="104"/>
  <c r="B75" i="104"/>
  <c r="Z74" i="104"/>
  <c r="X74" i="104"/>
  <c r="N74" i="104"/>
  <c r="L74" i="104"/>
  <c r="J74" i="104"/>
  <c r="B74" i="104"/>
  <c r="Z73" i="104"/>
  <c r="X73" i="104"/>
  <c r="L73" i="104"/>
  <c r="N73" i="104" s="1"/>
  <c r="B73" i="104"/>
  <c r="X72" i="104"/>
  <c r="Z72" i="104" s="1"/>
  <c r="L72" i="104"/>
  <c r="N72" i="104" s="1"/>
  <c r="B72" i="104"/>
  <c r="Z71" i="104"/>
  <c r="X71" i="104"/>
  <c r="N71" i="104"/>
  <c r="L71" i="104"/>
  <c r="B71" i="104"/>
  <c r="Z70" i="104"/>
  <c r="X70" i="104"/>
  <c r="L70" i="104"/>
  <c r="N70" i="104" s="1"/>
  <c r="J70" i="104"/>
  <c r="B70" i="104"/>
  <c r="T69" i="104"/>
  <c r="Z69" i="104" s="1"/>
  <c r="P69" i="104"/>
  <c r="X69" i="104" s="1"/>
  <c r="H69" i="104"/>
  <c r="D69" i="104"/>
  <c r="L69" i="104" s="1"/>
  <c r="B69" i="104"/>
  <c r="X68" i="104"/>
  <c r="Z68" i="104" s="1"/>
  <c r="N68" i="104"/>
  <c r="L68" i="104"/>
  <c r="B68" i="104"/>
  <c r="Z67" i="104"/>
  <c r="X67" i="104"/>
  <c r="L67" i="104"/>
  <c r="N67" i="104" s="1"/>
  <c r="B67" i="104"/>
  <c r="X66" i="104"/>
  <c r="Z66" i="104" s="1"/>
  <c r="N66" i="104"/>
  <c r="L66" i="104"/>
  <c r="B66" i="104"/>
  <c r="X65" i="104"/>
  <c r="Z65" i="104" s="1"/>
  <c r="L65" i="104"/>
  <c r="N65" i="104" s="1"/>
  <c r="J65" i="104"/>
  <c r="B65" i="104"/>
  <c r="T64" i="104"/>
  <c r="P64" i="104"/>
  <c r="X64" i="104" s="1"/>
  <c r="Z64" i="104" s="1"/>
  <c r="H64" i="104"/>
  <c r="D64" i="104"/>
  <c r="L64" i="104" s="1"/>
  <c r="B64" i="104"/>
  <c r="X63" i="104"/>
  <c r="Z63" i="104" s="1"/>
  <c r="N63" i="104"/>
  <c r="L63" i="104"/>
  <c r="B63" i="104"/>
  <c r="Z62" i="104"/>
  <c r="X62" i="104"/>
  <c r="T62" i="104"/>
  <c r="P62" i="104"/>
  <c r="H62" i="104"/>
  <c r="D62" i="104"/>
  <c r="L62" i="104" s="1"/>
  <c r="N62" i="104" s="1"/>
  <c r="B62" i="104"/>
  <c r="Z61" i="104"/>
  <c r="X61" i="104"/>
  <c r="L61" i="104"/>
  <c r="N61" i="104" s="1"/>
  <c r="B61" i="104"/>
  <c r="Z60" i="104"/>
  <c r="X60" i="104"/>
  <c r="T60" i="104"/>
  <c r="P60" i="104"/>
  <c r="J60" i="104"/>
  <c r="H60" i="104"/>
  <c r="D60" i="104"/>
  <c r="L60" i="104" s="1"/>
  <c r="N60" i="104" s="1"/>
  <c r="B60" i="104"/>
  <c r="X59" i="104"/>
  <c r="Z59" i="104" s="1"/>
  <c r="L59" i="104"/>
  <c r="N59" i="104" s="1"/>
  <c r="B59" i="104"/>
  <c r="T58" i="104"/>
  <c r="P58" i="104"/>
  <c r="X58" i="104" s="1"/>
  <c r="J58" i="104"/>
  <c r="H58" i="104"/>
  <c r="D58" i="104"/>
  <c r="L58" i="104" s="1"/>
  <c r="N58" i="104" s="1"/>
  <c r="B58" i="104"/>
  <c r="X57" i="104"/>
  <c r="Z57" i="104" s="1"/>
  <c r="N57" i="104"/>
  <c r="L57" i="104"/>
  <c r="B57" i="104"/>
  <c r="T56" i="104"/>
  <c r="P56" i="104"/>
  <c r="X56" i="104" s="1"/>
  <c r="Z56" i="104" s="1"/>
  <c r="N56" i="104"/>
  <c r="L56" i="104"/>
  <c r="H56" i="104"/>
  <c r="D56" i="104"/>
  <c r="B56" i="104"/>
  <c r="Z55" i="104"/>
  <c r="X55" i="104"/>
  <c r="N55" i="104"/>
  <c r="L55" i="104"/>
  <c r="B55" i="104"/>
  <c r="V54" i="104"/>
  <c r="T54" i="104"/>
  <c r="P54" i="104"/>
  <c r="X54" i="104" s="1"/>
  <c r="Z54" i="104" s="1"/>
  <c r="N54" i="104"/>
  <c r="L54" i="104"/>
  <c r="J54" i="104"/>
  <c r="H54" i="104"/>
  <c r="D54" i="104"/>
  <c r="B54" i="104"/>
  <c r="X53" i="104"/>
  <c r="Z53" i="104" s="1"/>
  <c r="L53" i="104"/>
  <c r="N53" i="104" s="1"/>
  <c r="J53" i="104"/>
  <c r="B53" i="104"/>
  <c r="X52" i="104"/>
  <c r="Z52" i="104" s="1"/>
  <c r="V52" i="104"/>
  <c r="T52" i="104"/>
  <c r="P52" i="104"/>
  <c r="J52" i="104"/>
  <c r="H52" i="104"/>
  <c r="D52" i="104"/>
  <c r="L52" i="104" s="1"/>
  <c r="B52" i="104"/>
  <c r="X51" i="104"/>
  <c r="Z51" i="104" s="1"/>
  <c r="N51" i="104"/>
  <c r="L51" i="104"/>
  <c r="B51" i="104"/>
  <c r="T50" i="104"/>
  <c r="X50" i="104" s="1"/>
  <c r="Z50" i="104" s="1"/>
  <c r="P50" i="104"/>
  <c r="N50" i="104"/>
  <c r="H50" i="104"/>
  <c r="D50" i="104"/>
  <c r="L50" i="104" s="1"/>
  <c r="B50" i="104"/>
  <c r="Z49" i="104"/>
  <c r="X49" i="104"/>
  <c r="L49" i="104"/>
  <c r="N49" i="104" s="1"/>
  <c r="J49" i="104"/>
  <c r="B49" i="104"/>
  <c r="Z48" i="104"/>
  <c r="X48" i="104"/>
  <c r="T48" i="104"/>
  <c r="P48" i="104"/>
  <c r="N48" i="104"/>
  <c r="J48" i="104"/>
  <c r="H48" i="104"/>
  <c r="D48" i="104"/>
  <c r="L48" i="104" s="1"/>
  <c r="B48" i="104"/>
  <c r="Z47" i="104"/>
  <c r="X47" i="104"/>
  <c r="N47" i="104"/>
  <c r="L47" i="104"/>
  <c r="B47" i="104"/>
  <c r="Z46" i="104"/>
  <c r="X46" i="104"/>
  <c r="V46" i="104"/>
  <c r="N46" i="104"/>
  <c r="L46" i="104"/>
  <c r="B46" i="104"/>
  <c r="Z45" i="104"/>
  <c r="X45" i="104"/>
  <c r="N45" i="104"/>
  <c r="L45" i="104"/>
  <c r="J45" i="104"/>
  <c r="B45" i="104"/>
  <c r="X44" i="104"/>
  <c r="Z44" i="104" s="1"/>
  <c r="N44" i="104"/>
  <c r="L44" i="104"/>
  <c r="B44" i="104"/>
  <c r="Z43" i="104"/>
  <c r="X43" i="104"/>
  <c r="N43" i="104"/>
  <c r="L43" i="104"/>
  <c r="B43" i="104"/>
  <c r="Z42" i="104"/>
  <c r="X42" i="104"/>
  <c r="N42" i="104"/>
  <c r="L42" i="104"/>
  <c r="B42" i="104"/>
  <c r="X41" i="104"/>
  <c r="Z41" i="104" s="1"/>
  <c r="L41" i="104"/>
  <c r="N41" i="104" s="1"/>
  <c r="J41" i="104"/>
  <c r="B41" i="104"/>
  <c r="Z40" i="104"/>
  <c r="X40" i="104"/>
  <c r="N40" i="104"/>
  <c r="L40" i="104"/>
  <c r="B40" i="104"/>
  <c r="X39" i="104"/>
  <c r="Z39" i="104" s="1"/>
  <c r="L39" i="104"/>
  <c r="N39" i="104" s="1"/>
  <c r="B39" i="104"/>
  <c r="Z38" i="104"/>
  <c r="X38" i="104"/>
  <c r="N38" i="104"/>
  <c r="L38" i="104"/>
  <c r="B38" i="104"/>
  <c r="V37" i="104"/>
  <c r="T37" i="104"/>
  <c r="P37" i="104"/>
  <c r="X37" i="104" s="1"/>
  <c r="Z37" i="104" s="1"/>
  <c r="N37" i="104"/>
  <c r="L37" i="104"/>
  <c r="J37" i="104"/>
  <c r="H37" i="104"/>
  <c r="D37" i="104"/>
  <c r="B37" i="104"/>
  <c r="Z36" i="104"/>
  <c r="X36" i="104"/>
  <c r="N36" i="104"/>
  <c r="L36" i="104"/>
  <c r="J36" i="104"/>
  <c r="B36" i="104"/>
  <c r="X35" i="104"/>
  <c r="Z35" i="104" s="1"/>
  <c r="N35" i="104"/>
  <c r="L35" i="104"/>
  <c r="B35" i="104"/>
  <c r="Z34" i="104"/>
  <c r="X34" i="104"/>
  <c r="R34" i="104"/>
  <c r="N34" i="104"/>
  <c r="L34" i="104"/>
  <c r="J34" i="104"/>
  <c r="B34" i="104"/>
  <c r="Z33" i="104"/>
  <c r="X33" i="104"/>
  <c r="N33" i="104"/>
  <c r="L33" i="104"/>
  <c r="J33" i="104"/>
  <c r="B33" i="104"/>
  <c r="Z32" i="104"/>
  <c r="X32" i="104"/>
  <c r="N32" i="104"/>
  <c r="L32" i="104"/>
  <c r="J32" i="104"/>
  <c r="B32" i="104"/>
  <c r="Z31" i="104"/>
  <c r="X31" i="104"/>
  <c r="R31" i="104"/>
  <c r="N31" i="104"/>
  <c r="L31" i="104"/>
  <c r="B31" i="104"/>
  <c r="Z30" i="104"/>
  <c r="X30" i="104"/>
  <c r="N30" i="104"/>
  <c r="L30" i="104"/>
  <c r="J30" i="104"/>
  <c r="B30" i="104"/>
  <c r="X29" i="104"/>
  <c r="Z29" i="104" s="1"/>
  <c r="V29" i="104"/>
  <c r="N29" i="104"/>
  <c r="L29" i="104"/>
  <c r="J29" i="104"/>
  <c r="B29" i="104"/>
  <c r="X28" i="104"/>
  <c r="Z28" i="104" s="1"/>
  <c r="L28" i="104"/>
  <c r="N28" i="104" s="1"/>
  <c r="J28" i="104"/>
  <c r="B28" i="104"/>
  <c r="X27" i="104"/>
  <c r="Z27" i="104" s="1"/>
  <c r="N27" i="104"/>
  <c r="L27" i="104"/>
  <c r="B27" i="104"/>
  <c r="X26" i="104"/>
  <c r="T26" i="104"/>
  <c r="P26" i="104"/>
  <c r="L26" i="104"/>
  <c r="N26" i="104" s="1"/>
  <c r="H26" i="104"/>
  <c r="D26" i="104"/>
  <c r="B26" i="104"/>
  <c r="T25" i="104"/>
  <c r="P25" i="104"/>
  <c r="H25" i="104"/>
  <c r="D25" i="104"/>
  <c r="L25" i="104" s="1"/>
  <c r="N25" i="104" s="1"/>
  <c r="Z21" i="104"/>
  <c r="X21" i="104"/>
  <c r="N21" i="104"/>
  <c r="L21" i="104"/>
  <c r="J21" i="104"/>
  <c r="B21" i="104"/>
  <c r="Z20" i="104"/>
  <c r="X20" i="104"/>
  <c r="V20" i="104"/>
  <c r="N20" i="104"/>
  <c r="L20" i="104"/>
  <c r="J20" i="104"/>
  <c r="B20" i="104"/>
  <c r="Z19" i="104"/>
  <c r="X19" i="104"/>
  <c r="L19" i="104"/>
  <c r="N19" i="104" s="1"/>
  <c r="J19" i="104"/>
  <c r="B19" i="104"/>
  <c r="Z18" i="104"/>
  <c r="V18" i="104"/>
  <c r="T18" i="104"/>
  <c r="P18" i="104"/>
  <c r="X18" i="104" s="1"/>
  <c r="J18" i="104"/>
  <c r="H18" i="104"/>
  <c r="H23" i="104" s="1"/>
  <c r="D18" i="104"/>
  <c r="L18" i="104" s="1"/>
  <c r="N18" i="104" s="1"/>
  <c r="Z16" i="104"/>
  <c r="P16" i="104"/>
  <c r="X16" i="104" s="1"/>
  <c r="N16" i="104"/>
  <c r="D16" i="104"/>
  <c r="L16" i="104" s="1"/>
  <c r="B16" i="104"/>
  <c r="Z15" i="104"/>
  <c r="P15" i="104"/>
  <c r="X15" i="104" s="1"/>
  <c r="N15" i="104"/>
  <c r="L15" i="104"/>
  <c r="D15" i="104"/>
  <c r="B15" i="104"/>
  <c r="Z14" i="104"/>
  <c r="X14" i="104"/>
  <c r="P14" i="104"/>
  <c r="L14" i="104"/>
  <c r="N14" i="104" s="1"/>
  <c r="D14" i="104"/>
  <c r="B14" i="104"/>
  <c r="Z13" i="104"/>
  <c r="P13" i="104"/>
  <c r="X13" i="104" s="1"/>
  <c r="N13" i="104"/>
  <c r="D13" i="104"/>
  <c r="L13" i="104" s="1"/>
  <c r="B13" i="104"/>
  <c r="T12" i="104"/>
  <c r="P12" i="104"/>
  <c r="R51" i="104" s="1"/>
  <c r="H12" i="104"/>
  <c r="J83" i="104" s="1"/>
  <c r="D6" i="104"/>
  <c r="D4" i="104"/>
  <c r="F68" i="103"/>
  <c r="Z63" i="103"/>
  <c r="X63" i="103"/>
  <c r="N63" i="103"/>
  <c r="L63" i="103"/>
  <c r="V61" i="103"/>
  <c r="T59" i="103"/>
  <c r="Z59" i="103" s="1"/>
  <c r="P59" i="103"/>
  <c r="X59" i="103" s="1"/>
  <c r="H59" i="103"/>
  <c r="N59" i="103" s="1"/>
  <c r="D59" i="103"/>
  <c r="X57" i="103"/>
  <c r="Z57" i="103" s="1"/>
  <c r="R57" i="103"/>
  <c r="N57" i="103"/>
  <c r="L57" i="103"/>
  <c r="B57" i="103"/>
  <c r="X56" i="103"/>
  <c r="Z56" i="103" s="1"/>
  <c r="T56" i="103"/>
  <c r="P56" i="103"/>
  <c r="H56" i="103"/>
  <c r="D56" i="103"/>
  <c r="L56" i="103" s="1"/>
  <c r="N56" i="103" s="1"/>
  <c r="B56" i="103"/>
  <c r="X55" i="103"/>
  <c r="Z55" i="103" s="1"/>
  <c r="N55" i="103"/>
  <c r="L55" i="103"/>
  <c r="F55" i="103"/>
  <c r="B55" i="103"/>
  <c r="X54" i="103"/>
  <c r="V54" i="103"/>
  <c r="T54" i="103"/>
  <c r="P54" i="103"/>
  <c r="H54" i="103"/>
  <c r="L54" i="103" s="1"/>
  <c r="N54" i="103" s="1"/>
  <c r="D54" i="103"/>
  <c r="B54" i="103"/>
  <c r="Z53" i="103"/>
  <c r="X53" i="103"/>
  <c r="L53" i="103"/>
  <c r="N53" i="103" s="1"/>
  <c r="B53" i="103"/>
  <c r="T52" i="103"/>
  <c r="P52" i="103"/>
  <c r="X52" i="103" s="1"/>
  <c r="N52" i="103"/>
  <c r="L52" i="103"/>
  <c r="H52" i="103"/>
  <c r="D52" i="103"/>
  <c r="B52" i="103"/>
  <c r="X51" i="103"/>
  <c r="Z51" i="103" s="1"/>
  <c r="R51" i="103"/>
  <c r="L51" i="103"/>
  <c r="N51" i="103" s="1"/>
  <c r="B51" i="103"/>
  <c r="X50" i="103"/>
  <c r="Z50" i="103" s="1"/>
  <c r="N50" i="103"/>
  <c r="L50" i="103"/>
  <c r="F50" i="103"/>
  <c r="B50" i="103"/>
  <c r="Z49" i="103"/>
  <c r="X49" i="103"/>
  <c r="L49" i="103"/>
  <c r="N49" i="103" s="1"/>
  <c r="B49" i="103"/>
  <c r="V48" i="103"/>
  <c r="T48" i="103"/>
  <c r="R48" i="103"/>
  <c r="P48" i="103"/>
  <c r="X48" i="103" s="1"/>
  <c r="Z48" i="103" s="1"/>
  <c r="H48" i="103"/>
  <c r="D48" i="103"/>
  <c r="L48" i="103" s="1"/>
  <c r="N48" i="103" s="1"/>
  <c r="B48" i="103"/>
  <c r="X47" i="103"/>
  <c r="Z47" i="103" s="1"/>
  <c r="R47" i="103"/>
  <c r="N47" i="103"/>
  <c r="L47" i="103"/>
  <c r="B47" i="103"/>
  <c r="X46" i="103"/>
  <c r="T46" i="103"/>
  <c r="Z46" i="103" s="1"/>
  <c r="R46" i="103"/>
  <c r="P46" i="103"/>
  <c r="N46" i="103"/>
  <c r="L46" i="103"/>
  <c r="H46" i="103"/>
  <c r="D46" i="103"/>
  <c r="B46" i="103"/>
  <c r="Z45" i="103"/>
  <c r="X45" i="103"/>
  <c r="R45" i="103"/>
  <c r="L45" i="103"/>
  <c r="N45" i="103" s="1"/>
  <c r="B45" i="103"/>
  <c r="X44" i="103"/>
  <c r="T44" i="103"/>
  <c r="Z44" i="103" s="1"/>
  <c r="P44" i="103"/>
  <c r="N44" i="103"/>
  <c r="H44" i="103"/>
  <c r="D44" i="103"/>
  <c r="L44" i="103" s="1"/>
  <c r="B44" i="103"/>
  <c r="Z43" i="103"/>
  <c r="X43" i="103"/>
  <c r="V43" i="103"/>
  <c r="L43" i="103"/>
  <c r="N43" i="103" s="1"/>
  <c r="F43" i="103"/>
  <c r="B43" i="103"/>
  <c r="T42" i="103"/>
  <c r="P42" i="103"/>
  <c r="X42" i="103" s="1"/>
  <c r="H42" i="103"/>
  <c r="F42" i="103"/>
  <c r="D42" i="103"/>
  <c r="L42" i="103" s="1"/>
  <c r="N42" i="103" s="1"/>
  <c r="B42" i="103"/>
  <c r="Z41" i="103"/>
  <c r="X41" i="103"/>
  <c r="V41" i="103"/>
  <c r="N41" i="103"/>
  <c r="L41" i="103"/>
  <c r="F41" i="103"/>
  <c r="B41" i="103"/>
  <c r="Z40" i="103"/>
  <c r="X40" i="103"/>
  <c r="T40" i="103"/>
  <c r="P40" i="103"/>
  <c r="L40" i="103"/>
  <c r="H40" i="103"/>
  <c r="N40" i="103" s="1"/>
  <c r="F40" i="103"/>
  <c r="D40" i="103"/>
  <c r="B40" i="103"/>
  <c r="Z39" i="103"/>
  <c r="X39" i="103"/>
  <c r="N39" i="103"/>
  <c r="L39" i="103"/>
  <c r="B39" i="103"/>
  <c r="Z38" i="103"/>
  <c r="X38" i="103"/>
  <c r="V38" i="103"/>
  <c r="N38" i="103"/>
  <c r="L38" i="103"/>
  <c r="B38" i="103"/>
  <c r="Z37" i="103"/>
  <c r="X37" i="103"/>
  <c r="R37" i="103"/>
  <c r="N37" i="103"/>
  <c r="L37" i="103"/>
  <c r="B37" i="103"/>
  <c r="Z36" i="103"/>
  <c r="X36" i="103"/>
  <c r="N36" i="103"/>
  <c r="L36" i="103"/>
  <c r="B36" i="103"/>
  <c r="Z35" i="103"/>
  <c r="X35" i="103"/>
  <c r="N35" i="103"/>
  <c r="L35" i="103"/>
  <c r="B35" i="103"/>
  <c r="Z34" i="103"/>
  <c r="X34" i="103"/>
  <c r="V34" i="103"/>
  <c r="R34" i="103"/>
  <c r="N34" i="103"/>
  <c r="L34" i="103"/>
  <c r="B34" i="103"/>
  <c r="Z33" i="103"/>
  <c r="X33" i="103"/>
  <c r="R33" i="103"/>
  <c r="N33" i="103"/>
  <c r="L33" i="103"/>
  <c r="B33" i="103"/>
  <c r="Z32" i="103"/>
  <c r="X32" i="103"/>
  <c r="N32" i="103"/>
  <c r="L32" i="103"/>
  <c r="B32" i="103"/>
  <c r="Z31" i="103"/>
  <c r="X31" i="103"/>
  <c r="N31" i="103"/>
  <c r="L31" i="103"/>
  <c r="B31" i="103"/>
  <c r="Z30" i="103"/>
  <c r="X30" i="103"/>
  <c r="V30" i="103"/>
  <c r="R30" i="103"/>
  <c r="N30" i="103"/>
  <c r="L30" i="103"/>
  <c r="B30" i="103"/>
  <c r="T29" i="103"/>
  <c r="P29" i="103"/>
  <c r="X29" i="103" s="1"/>
  <c r="N29" i="103"/>
  <c r="L29" i="103"/>
  <c r="H29" i="103"/>
  <c r="D29" i="103"/>
  <c r="B29" i="103"/>
  <c r="Z28" i="103"/>
  <c r="X28" i="103"/>
  <c r="V28" i="103"/>
  <c r="N28" i="103"/>
  <c r="L28" i="103"/>
  <c r="B28" i="103"/>
  <c r="Z27" i="103"/>
  <c r="X27" i="103"/>
  <c r="V27" i="103"/>
  <c r="L27" i="103"/>
  <c r="N27" i="103" s="1"/>
  <c r="F27" i="103"/>
  <c r="B27" i="103"/>
  <c r="Z26" i="103"/>
  <c r="X26" i="103"/>
  <c r="R26" i="103"/>
  <c r="L26" i="103"/>
  <c r="N26" i="103" s="1"/>
  <c r="B26" i="103"/>
  <c r="Z25" i="103"/>
  <c r="X25" i="103"/>
  <c r="V25" i="103"/>
  <c r="N25" i="103"/>
  <c r="L25" i="103"/>
  <c r="B25" i="103"/>
  <c r="X24" i="103"/>
  <c r="Z24" i="103" s="1"/>
  <c r="V24" i="103"/>
  <c r="N24" i="103"/>
  <c r="L24" i="103"/>
  <c r="B24" i="103"/>
  <c r="Z23" i="103"/>
  <c r="X23" i="103"/>
  <c r="V23" i="103"/>
  <c r="L23" i="103"/>
  <c r="N23" i="103" s="1"/>
  <c r="F23" i="103"/>
  <c r="B23" i="103"/>
  <c r="Z22" i="103"/>
  <c r="X22" i="103"/>
  <c r="R22" i="103"/>
  <c r="L22" i="103"/>
  <c r="N22" i="103" s="1"/>
  <c r="B22" i="103"/>
  <c r="X21" i="103"/>
  <c r="Z21" i="103" s="1"/>
  <c r="V21" i="103"/>
  <c r="N21" i="103"/>
  <c r="L21" i="103"/>
  <c r="B21" i="103"/>
  <c r="X20" i="103"/>
  <c r="Z20" i="103" s="1"/>
  <c r="V20" i="103"/>
  <c r="N20" i="103"/>
  <c r="L20" i="103"/>
  <c r="B20" i="103"/>
  <c r="V19" i="103"/>
  <c r="T19" i="103"/>
  <c r="P19" i="103"/>
  <c r="X19" i="103" s="1"/>
  <c r="Z19" i="103" s="1"/>
  <c r="L19" i="103"/>
  <c r="H19" i="103"/>
  <c r="D19" i="103"/>
  <c r="B19" i="103"/>
  <c r="X18" i="103"/>
  <c r="T18" i="103"/>
  <c r="Z18" i="103" s="1"/>
  <c r="R18" i="103"/>
  <c r="P18" i="103"/>
  <c r="H18" i="103"/>
  <c r="D18" i="103"/>
  <c r="L18" i="103" s="1"/>
  <c r="N18" i="103" s="1"/>
  <c r="R16" i="103"/>
  <c r="X14" i="103"/>
  <c r="T14" i="103"/>
  <c r="Z14" i="103" s="1"/>
  <c r="R14" i="103"/>
  <c r="P14" i="103"/>
  <c r="N14" i="103"/>
  <c r="H14" i="103"/>
  <c r="D14" i="103"/>
  <c r="L14" i="103" s="1"/>
  <c r="Z12" i="103"/>
  <c r="X12" i="103"/>
  <c r="T12" i="103"/>
  <c r="V52" i="103" s="1"/>
  <c r="P12" i="103"/>
  <c r="R52" i="103" s="1"/>
  <c r="N12" i="103"/>
  <c r="H12" i="103"/>
  <c r="D12" i="103"/>
  <c r="F51" i="103" s="1"/>
  <c r="D6" i="103"/>
  <c r="D4" i="103"/>
  <c r="X79" i="102"/>
  <c r="Z79" i="102" s="1"/>
  <c r="L79" i="102"/>
  <c r="N79" i="102" s="1"/>
  <c r="Z75" i="102"/>
  <c r="X75" i="102"/>
  <c r="P75" i="102"/>
  <c r="D75" i="102"/>
  <c r="L75" i="102" s="1"/>
  <c r="N75" i="102" s="1"/>
  <c r="B75" i="102"/>
  <c r="X74" i="102"/>
  <c r="T74" i="102"/>
  <c r="P74" i="102"/>
  <c r="H74" i="102"/>
  <c r="D74" i="102"/>
  <c r="L74" i="102" s="1"/>
  <c r="N74" i="102" s="1"/>
  <c r="X72" i="102"/>
  <c r="Z72" i="102" s="1"/>
  <c r="N72" i="102"/>
  <c r="L72" i="102"/>
  <c r="B72" i="102"/>
  <c r="V71" i="102"/>
  <c r="T71" i="102"/>
  <c r="Z71" i="102" s="1"/>
  <c r="P71" i="102"/>
  <c r="X71" i="102" s="1"/>
  <c r="H71" i="102"/>
  <c r="D71" i="102"/>
  <c r="L71" i="102" s="1"/>
  <c r="B71" i="102"/>
  <c r="Z70" i="102"/>
  <c r="X70" i="102"/>
  <c r="N70" i="102"/>
  <c r="L70" i="102"/>
  <c r="B70" i="102"/>
  <c r="X69" i="102"/>
  <c r="T69" i="102"/>
  <c r="Z69" i="102" s="1"/>
  <c r="P69" i="102"/>
  <c r="N69" i="102"/>
  <c r="H69" i="102"/>
  <c r="D69" i="102"/>
  <c r="L69" i="102" s="1"/>
  <c r="B69" i="102"/>
  <c r="Z68" i="102"/>
  <c r="X68" i="102"/>
  <c r="L68" i="102"/>
  <c r="N68" i="102" s="1"/>
  <c r="B68" i="102"/>
  <c r="X67" i="102"/>
  <c r="Z67" i="102" s="1"/>
  <c r="L67" i="102"/>
  <c r="N67" i="102" s="1"/>
  <c r="B67" i="102"/>
  <c r="Z66" i="102"/>
  <c r="X66" i="102"/>
  <c r="N66" i="102"/>
  <c r="L66" i="102"/>
  <c r="B66" i="102"/>
  <c r="Z65" i="102"/>
  <c r="X65" i="102"/>
  <c r="N65" i="102"/>
  <c r="L65" i="102"/>
  <c r="B65" i="102"/>
  <c r="T64" i="102"/>
  <c r="P64" i="102"/>
  <c r="N64" i="102"/>
  <c r="L64" i="102"/>
  <c r="H64" i="102"/>
  <c r="D64" i="102"/>
  <c r="B64" i="102"/>
  <c r="Z63" i="102"/>
  <c r="X63" i="102"/>
  <c r="N63" i="102"/>
  <c r="L63" i="102"/>
  <c r="B63" i="102"/>
  <c r="Z62" i="102"/>
  <c r="X62" i="102"/>
  <c r="N62" i="102"/>
  <c r="L62" i="102"/>
  <c r="B62" i="102"/>
  <c r="T61" i="102"/>
  <c r="Z61" i="102" s="1"/>
  <c r="P61" i="102"/>
  <c r="X61" i="102" s="1"/>
  <c r="H61" i="102"/>
  <c r="N61" i="102" s="1"/>
  <c r="D61" i="102"/>
  <c r="L61" i="102" s="1"/>
  <c r="B61" i="102"/>
  <c r="Z60" i="102"/>
  <c r="X60" i="102"/>
  <c r="N60" i="102"/>
  <c r="L60" i="102"/>
  <c r="B60" i="102"/>
  <c r="Z59" i="102"/>
  <c r="T59" i="102"/>
  <c r="P59" i="102"/>
  <c r="X59" i="102" s="1"/>
  <c r="L59" i="102"/>
  <c r="H59" i="102"/>
  <c r="N59" i="102" s="1"/>
  <c r="D59" i="102"/>
  <c r="B59" i="102"/>
  <c r="Z58" i="102"/>
  <c r="X58" i="102"/>
  <c r="N58" i="102"/>
  <c r="L58" i="102"/>
  <c r="B58" i="102"/>
  <c r="Z57" i="102"/>
  <c r="T57" i="102"/>
  <c r="P57" i="102"/>
  <c r="X57" i="102" s="1"/>
  <c r="L57" i="102"/>
  <c r="H57" i="102"/>
  <c r="N57" i="102" s="1"/>
  <c r="D57" i="102"/>
  <c r="B57" i="102"/>
  <c r="Z56" i="102"/>
  <c r="X56" i="102"/>
  <c r="N56" i="102"/>
  <c r="L56" i="102"/>
  <c r="B56" i="102"/>
  <c r="T55" i="102"/>
  <c r="Z55" i="102" s="1"/>
  <c r="P55" i="102"/>
  <c r="X55" i="102" s="1"/>
  <c r="H55" i="102"/>
  <c r="N55" i="102" s="1"/>
  <c r="D55" i="102"/>
  <c r="L55" i="102" s="1"/>
  <c r="B55" i="102"/>
  <c r="X54" i="102"/>
  <c r="Z54" i="102" s="1"/>
  <c r="N54" i="102"/>
  <c r="L54" i="102"/>
  <c r="B54" i="102"/>
  <c r="X53" i="102"/>
  <c r="T53" i="102"/>
  <c r="Z53" i="102" s="1"/>
  <c r="P53" i="102"/>
  <c r="L53" i="102"/>
  <c r="N53" i="102" s="1"/>
  <c r="H53" i="102"/>
  <c r="D53" i="102"/>
  <c r="B53" i="102"/>
  <c r="Z52" i="102"/>
  <c r="X52" i="102"/>
  <c r="L52" i="102"/>
  <c r="N52" i="102" s="1"/>
  <c r="B52" i="102"/>
  <c r="X51" i="102"/>
  <c r="T51" i="102"/>
  <c r="Z51" i="102" s="1"/>
  <c r="P51" i="102"/>
  <c r="H51" i="102"/>
  <c r="N51" i="102" s="1"/>
  <c r="D51" i="102"/>
  <c r="L51" i="102" s="1"/>
  <c r="B51" i="102"/>
  <c r="Z50" i="102"/>
  <c r="X50" i="102"/>
  <c r="L50" i="102"/>
  <c r="N50" i="102" s="1"/>
  <c r="B50" i="102"/>
  <c r="T49" i="102"/>
  <c r="P49" i="102"/>
  <c r="X49" i="102" s="1"/>
  <c r="H49" i="102"/>
  <c r="D49" i="102"/>
  <c r="L49" i="102" s="1"/>
  <c r="B49" i="102"/>
  <c r="Z48" i="102"/>
  <c r="X48" i="102"/>
  <c r="N48" i="102"/>
  <c r="L48" i="102"/>
  <c r="B48" i="102"/>
  <c r="T47" i="102"/>
  <c r="P47" i="102"/>
  <c r="X47" i="102" s="1"/>
  <c r="Z47" i="102" s="1"/>
  <c r="L47" i="102"/>
  <c r="H47" i="102"/>
  <c r="D47" i="102"/>
  <c r="B47" i="102"/>
  <c r="Z46" i="102"/>
  <c r="X46" i="102"/>
  <c r="N46" i="102"/>
  <c r="L46" i="102"/>
  <c r="B46" i="102"/>
  <c r="Z45" i="102"/>
  <c r="X45" i="102"/>
  <c r="N45" i="102"/>
  <c r="L45" i="102"/>
  <c r="F45" i="102"/>
  <c r="B45" i="102"/>
  <c r="Z44" i="102"/>
  <c r="X44" i="102"/>
  <c r="L44" i="102"/>
  <c r="N44" i="102" s="1"/>
  <c r="J44" i="102"/>
  <c r="B44" i="102"/>
  <c r="X43" i="102"/>
  <c r="Z43" i="102" s="1"/>
  <c r="L43" i="102"/>
  <c r="N43" i="102" s="1"/>
  <c r="B43" i="102"/>
  <c r="Z42" i="102"/>
  <c r="X42" i="102"/>
  <c r="N42" i="102"/>
  <c r="L42" i="102"/>
  <c r="B42" i="102"/>
  <c r="Z41" i="102"/>
  <c r="X41" i="102"/>
  <c r="N41" i="102"/>
  <c r="L41" i="102"/>
  <c r="B41" i="102"/>
  <c r="Z40" i="102"/>
  <c r="X40" i="102"/>
  <c r="L40" i="102"/>
  <c r="N40" i="102" s="1"/>
  <c r="B40" i="102"/>
  <c r="Z39" i="102"/>
  <c r="X39" i="102"/>
  <c r="N39" i="102"/>
  <c r="L39" i="102"/>
  <c r="J39" i="102"/>
  <c r="B39" i="102"/>
  <c r="Z38" i="102"/>
  <c r="X38" i="102"/>
  <c r="N38" i="102"/>
  <c r="L38" i="102"/>
  <c r="B38" i="102"/>
  <c r="Z37" i="102"/>
  <c r="X37" i="102"/>
  <c r="V37" i="102"/>
  <c r="N37" i="102"/>
  <c r="L37" i="102"/>
  <c r="B37" i="102"/>
  <c r="T36" i="102"/>
  <c r="P36" i="102"/>
  <c r="H36" i="102"/>
  <c r="D36" i="102"/>
  <c r="L36" i="102" s="1"/>
  <c r="N36" i="102" s="1"/>
  <c r="B36" i="102"/>
  <c r="X35" i="102"/>
  <c r="Z35" i="102" s="1"/>
  <c r="N35" i="102"/>
  <c r="L35" i="102"/>
  <c r="B35" i="102"/>
  <c r="Z34" i="102"/>
  <c r="X34" i="102"/>
  <c r="L34" i="102"/>
  <c r="N34" i="102" s="1"/>
  <c r="B34" i="102"/>
  <c r="X33" i="102"/>
  <c r="Z33" i="102" s="1"/>
  <c r="R33" i="102"/>
  <c r="L33" i="102"/>
  <c r="N33" i="102" s="1"/>
  <c r="B33" i="102"/>
  <c r="Z32" i="102"/>
  <c r="X32" i="102"/>
  <c r="N32" i="102"/>
  <c r="L32" i="102"/>
  <c r="B32" i="102"/>
  <c r="X31" i="102"/>
  <c r="Z31" i="102" s="1"/>
  <c r="N31" i="102"/>
  <c r="L31" i="102"/>
  <c r="B31" i="102"/>
  <c r="Z30" i="102"/>
  <c r="X30" i="102"/>
  <c r="L30" i="102"/>
  <c r="N30" i="102" s="1"/>
  <c r="B30" i="102"/>
  <c r="X29" i="102"/>
  <c r="Z29" i="102" s="1"/>
  <c r="R29" i="102"/>
  <c r="L29" i="102"/>
  <c r="N29" i="102" s="1"/>
  <c r="B29" i="102"/>
  <c r="X28" i="102"/>
  <c r="Z28" i="102" s="1"/>
  <c r="N28" i="102"/>
  <c r="L28" i="102"/>
  <c r="B28" i="102"/>
  <c r="X27" i="102"/>
  <c r="Z27" i="102" s="1"/>
  <c r="L27" i="102"/>
  <c r="N27" i="102" s="1"/>
  <c r="B27" i="102"/>
  <c r="Z26" i="102"/>
  <c r="T26" i="102"/>
  <c r="P26" i="102"/>
  <c r="X26" i="102" s="1"/>
  <c r="L26" i="102"/>
  <c r="N26" i="102" s="1"/>
  <c r="H26" i="102"/>
  <c r="D26" i="102"/>
  <c r="B26" i="102"/>
  <c r="X25" i="102"/>
  <c r="T25" i="102"/>
  <c r="Z25" i="102" s="1"/>
  <c r="P25" i="102"/>
  <c r="H25" i="102"/>
  <c r="D25" i="102"/>
  <c r="L25" i="102" s="1"/>
  <c r="N25" i="102" s="1"/>
  <c r="H23" i="102"/>
  <c r="H77" i="102" s="1"/>
  <c r="Z21" i="102"/>
  <c r="X21" i="102"/>
  <c r="R21" i="102"/>
  <c r="N21" i="102"/>
  <c r="L21" i="102"/>
  <c r="B21" i="102"/>
  <c r="Z20" i="102"/>
  <c r="X20" i="102"/>
  <c r="V20" i="102"/>
  <c r="N20" i="102"/>
  <c r="L20" i="102"/>
  <c r="F20" i="102"/>
  <c r="B20" i="102"/>
  <c r="Z19" i="102"/>
  <c r="X19" i="102"/>
  <c r="L19" i="102"/>
  <c r="N19" i="102" s="1"/>
  <c r="B19" i="102"/>
  <c r="T18" i="102"/>
  <c r="X18" i="102" s="1"/>
  <c r="Z18" i="102" s="1"/>
  <c r="P18" i="102"/>
  <c r="J18" i="102"/>
  <c r="H18" i="102"/>
  <c r="L18" i="102" s="1"/>
  <c r="N18" i="102" s="1"/>
  <c r="D18" i="102"/>
  <c r="X16" i="102"/>
  <c r="Z16" i="102" s="1"/>
  <c r="P16" i="102"/>
  <c r="L16" i="102"/>
  <c r="N16" i="102" s="1"/>
  <c r="D16" i="102"/>
  <c r="B16" i="102"/>
  <c r="Z15" i="102"/>
  <c r="X15" i="102"/>
  <c r="P15" i="102"/>
  <c r="N15" i="102"/>
  <c r="D15" i="102"/>
  <c r="L15" i="102" s="1"/>
  <c r="B15" i="102"/>
  <c r="Z14" i="102"/>
  <c r="X14" i="102"/>
  <c r="P14" i="102"/>
  <c r="P12" i="102" s="1"/>
  <c r="R70" i="102" s="1"/>
  <c r="N14" i="102"/>
  <c r="L14" i="102"/>
  <c r="D14" i="102"/>
  <c r="B14" i="102"/>
  <c r="X13" i="102"/>
  <c r="Z13" i="102" s="1"/>
  <c r="P13" i="102"/>
  <c r="L13" i="102"/>
  <c r="N13" i="102" s="1"/>
  <c r="D13" i="102"/>
  <c r="D12" i="102" s="1"/>
  <c r="F50" i="102" s="1"/>
  <c r="B13" i="102"/>
  <c r="T12" i="102"/>
  <c r="V35" i="102" s="1"/>
  <c r="H12" i="102"/>
  <c r="J51" i="102" s="1"/>
  <c r="D6" i="102"/>
  <c r="D4" i="102"/>
  <c r="Z61" i="101"/>
  <c r="X61" i="101"/>
  <c r="V61" i="101"/>
  <c r="N61" i="101"/>
  <c r="L61" i="101"/>
  <c r="Z57" i="101"/>
  <c r="P57" i="101"/>
  <c r="X57" i="101" s="1"/>
  <c r="N57" i="101"/>
  <c r="L57" i="101"/>
  <c r="D57" i="101"/>
  <c r="B57" i="101"/>
  <c r="T56" i="101"/>
  <c r="Z56" i="101" s="1"/>
  <c r="P56" i="101"/>
  <c r="X56" i="101" s="1"/>
  <c r="N56" i="101"/>
  <c r="H56" i="101"/>
  <c r="D56" i="101"/>
  <c r="L56" i="101" s="1"/>
  <c r="Z54" i="101"/>
  <c r="X54" i="101"/>
  <c r="N54" i="101"/>
  <c r="L54" i="101"/>
  <c r="B54" i="101"/>
  <c r="Z53" i="101"/>
  <c r="X53" i="101"/>
  <c r="N53" i="101"/>
  <c r="L53" i="101"/>
  <c r="J53" i="101"/>
  <c r="B53" i="101"/>
  <c r="T52" i="101"/>
  <c r="P52" i="101"/>
  <c r="X52" i="101" s="1"/>
  <c r="H52" i="101"/>
  <c r="D52" i="101"/>
  <c r="L52" i="101" s="1"/>
  <c r="B52" i="101"/>
  <c r="Z51" i="101"/>
  <c r="X51" i="101"/>
  <c r="N51" i="101"/>
  <c r="L51" i="101"/>
  <c r="B51" i="101"/>
  <c r="T50" i="101"/>
  <c r="Z50" i="101" s="1"/>
  <c r="P50" i="101"/>
  <c r="X50" i="101" s="1"/>
  <c r="H50" i="101"/>
  <c r="N50" i="101" s="1"/>
  <c r="D50" i="101"/>
  <c r="L50" i="101" s="1"/>
  <c r="B50" i="101"/>
  <c r="Z49" i="101"/>
  <c r="X49" i="101"/>
  <c r="N49" i="101"/>
  <c r="L49" i="101"/>
  <c r="B49" i="101"/>
  <c r="T48" i="101"/>
  <c r="Z48" i="101" s="1"/>
  <c r="P48" i="101"/>
  <c r="X48" i="101" s="1"/>
  <c r="H48" i="101"/>
  <c r="N48" i="101" s="1"/>
  <c r="D48" i="101"/>
  <c r="L48" i="101" s="1"/>
  <c r="B48" i="101"/>
  <c r="Z47" i="101"/>
  <c r="X47" i="101"/>
  <c r="N47" i="101"/>
  <c r="L47" i="101"/>
  <c r="B47" i="101"/>
  <c r="Z46" i="101"/>
  <c r="X46" i="101"/>
  <c r="T46" i="101"/>
  <c r="P46" i="101"/>
  <c r="L46" i="101"/>
  <c r="H46" i="101"/>
  <c r="N46" i="101" s="1"/>
  <c r="D46" i="101"/>
  <c r="B46" i="101"/>
  <c r="Z45" i="101"/>
  <c r="X45" i="101"/>
  <c r="N45" i="101"/>
  <c r="L45" i="101"/>
  <c r="J45" i="101"/>
  <c r="B45" i="101"/>
  <c r="T44" i="101"/>
  <c r="P44" i="101"/>
  <c r="H44" i="101"/>
  <c r="N44" i="101" s="1"/>
  <c r="D44" i="101"/>
  <c r="L44" i="101" s="1"/>
  <c r="B44" i="101"/>
  <c r="Z43" i="101"/>
  <c r="X43" i="101"/>
  <c r="V43" i="101"/>
  <c r="N43" i="101"/>
  <c r="L43" i="101"/>
  <c r="B43" i="101"/>
  <c r="T42" i="101"/>
  <c r="Z42" i="101" s="1"/>
  <c r="P42" i="101"/>
  <c r="X42" i="101" s="1"/>
  <c r="H42" i="101"/>
  <c r="N42" i="101" s="1"/>
  <c r="D42" i="101"/>
  <c r="L42" i="101" s="1"/>
  <c r="B42" i="101"/>
  <c r="Z41" i="101"/>
  <c r="X41" i="101"/>
  <c r="N41" i="101"/>
  <c r="L41" i="101"/>
  <c r="B41" i="101"/>
  <c r="Z40" i="101"/>
  <c r="X40" i="101"/>
  <c r="N40" i="101"/>
  <c r="L40" i="101"/>
  <c r="F40" i="101"/>
  <c r="B40" i="101"/>
  <c r="X39" i="101"/>
  <c r="Z39" i="101" s="1"/>
  <c r="N39" i="101"/>
  <c r="L39" i="101"/>
  <c r="B39" i="101"/>
  <c r="Z38" i="101"/>
  <c r="X38" i="101"/>
  <c r="N38" i="101"/>
  <c r="L38" i="101"/>
  <c r="F38" i="101"/>
  <c r="B38" i="101"/>
  <c r="Z37" i="101"/>
  <c r="X37" i="101"/>
  <c r="N37" i="101"/>
  <c r="L37" i="101"/>
  <c r="B37" i="101"/>
  <c r="X36" i="101"/>
  <c r="Z36" i="101" s="1"/>
  <c r="L36" i="101"/>
  <c r="N36" i="101" s="1"/>
  <c r="B36" i="101"/>
  <c r="Z35" i="101"/>
  <c r="X35" i="101"/>
  <c r="N35" i="101"/>
  <c r="L35" i="101"/>
  <c r="B35" i="101"/>
  <c r="Z34" i="101"/>
  <c r="X34" i="101"/>
  <c r="N34" i="101"/>
  <c r="L34" i="101"/>
  <c r="B34" i="101"/>
  <c r="Z33" i="101"/>
  <c r="X33" i="101"/>
  <c r="N33" i="101"/>
  <c r="L33" i="101"/>
  <c r="B33" i="101"/>
  <c r="Z32" i="101"/>
  <c r="X32" i="101"/>
  <c r="N32" i="101"/>
  <c r="L32" i="101"/>
  <c r="F32" i="101"/>
  <c r="B32" i="101"/>
  <c r="T31" i="101"/>
  <c r="P31" i="101"/>
  <c r="X31" i="101" s="1"/>
  <c r="J31" i="101"/>
  <c r="H31" i="101"/>
  <c r="F31" i="101"/>
  <c r="D31" i="101"/>
  <c r="L31" i="101" s="1"/>
  <c r="N31" i="101" s="1"/>
  <c r="B31" i="101"/>
  <c r="X30" i="101"/>
  <c r="Z30" i="101" s="1"/>
  <c r="N30" i="101"/>
  <c r="L30" i="101"/>
  <c r="B30" i="101"/>
  <c r="Z29" i="101"/>
  <c r="X29" i="101"/>
  <c r="N29" i="101"/>
  <c r="L29" i="101"/>
  <c r="J29" i="101"/>
  <c r="B29" i="101"/>
  <c r="Z28" i="101"/>
  <c r="X28" i="101"/>
  <c r="N28" i="101"/>
  <c r="L28" i="101"/>
  <c r="B28" i="101"/>
  <c r="Z27" i="101"/>
  <c r="X27" i="101"/>
  <c r="N27" i="101"/>
  <c r="L27" i="101"/>
  <c r="J27" i="101"/>
  <c r="B27" i="101"/>
  <c r="X26" i="101"/>
  <c r="Z26" i="101" s="1"/>
  <c r="L26" i="101"/>
  <c r="N26" i="101" s="1"/>
  <c r="B26" i="101"/>
  <c r="Z25" i="101"/>
  <c r="X25" i="101"/>
  <c r="N25" i="101"/>
  <c r="L25" i="101"/>
  <c r="J25" i="101"/>
  <c r="B25" i="101"/>
  <c r="Z24" i="101"/>
  <c r="X24" i="101"/>
  <c r="N24" i="101"/>
  <c r="L24" i="101"/>
  <c r="B24" i="101"/>
  <c r="Z23" i="101"/>
  <c r="X23" i="101"/>
  <c r="N23" i="101"/>
  <c r="L23" i="101"/>
  <c r="J23" i="101"/>
  <c r="B23" i="101"/>
  <c r="T22" i="101"/>
  <c r="P22" i="101"/>
  <c r="H22" i="101"/>
  <c r="D22" i="101"/>
  <c r="B22" i="101"/>
  <c r="V21" i="101"/>
  <c r="T21" i="101"/>
  <c r="P21" i="101"/>
  <c r="J21" i="101"/>
  <c r="H21" i="101"/>
  <c r="L21" i="101" s="1"/>
  <c r="N21" i="101" s="1"/>
  <c r="D21" i="101"/>
  <c r="V19" i="101"/>
  <c r="J19" i="101"/>
  <c r="Z17" i="101"/>
  <c r="X17" i="101"/>
  <c r="V17" i="101"/>
  <c r="N17" i="101"/>
  <c r="L17" i="101"/>
  <c r="J17" i="101"/>
  <c r="B17" i="101"/>
  <c r="Z16" i="101"/>
  <c r="X16" i="101"/>
  <c r="N16" i="101"/>
  <c r="L16" i="101"/>
  <c r="J16" i="101"/>
  <c r="B16" i="101"/>
  <c r="Z15" i="101"/>
  <c r="V15" i="101"/>
  <c r="T15" i="101"/>
  <c r="X15" i="101" s="1"/>
  <c r="P15" i="101"/>
  <c r="J15" i="101"/>
  <c r="H15" i="101"/>
  <c r="H19" i="101" s="1"/>
  <c r="D15" i="101"/>
  <c r="Z13" i="101"/>
  <c r="P13" i="101"/>
  <c r="N13" i="101"/>
  <c r="D13" i="101"/>
  <c r="L13" i="101" s="1"/>
  <c r="B13" i="101"/>
  <c r="T12" i="101"/>
  <c r="V27" i="101" s="1"/>
  <c r="N12" i="101"/>
  <c r="H12" i="101"/>
  <c r="D12" i="101"/>
  <c r="F57" i="101" s="1"/>
  <c r="D6" i="101"/>
  <c r="D4" i="101"/>
  <c r="Z54" i="100"/>
  <c r="X54" i="100"/>
  <c r="N54" i="100"/>
  <c r="L54" i="100"/>
  <c r="F54" i="100"/>
  <c r="X50" i="100"/>
  <c r="Z50" i="100" s="1"/>
  <c r="P50" i="100"/>
  <c r="J50" i="100"/>
  <c r="F50" i="100"/>
  <c r="D50" i="100"/>
  <c r="L50" i="100" s="1"/>
  <c r="N50" i="100" s="1"/>
  <c r="B50" i="100"/>
  <c r="V49" i="100"/>
  <c r="T49" i="100"/>
  <c r="X49" i="100" s="1"/>
  <c r="Z49" i="100" s="1"/>
  <c r="P49" i="100"/>
  <c r="J49" i="100"/>
  <c r="H49" i="100"/>
  <c r="D49" i="100"/>
  <c r="L49" i="100" s="1"/>
  <c r="Z47" i="100"/>
  <c r="X47" i="100"/>
  <c r="V47" i="100"/>
  <c r="L47" i="100"/>
  <c r="N47" i="100" s="1"/>
  <c r="B47" i="100"/>
  <c r="T46" i="100"/>
  <c r="P46" i="100"/>
  <c r="X46" i="100" s="1"/>
  <c r="H46" i="100"/>
  <c r="D46" i="100"/>
  <c r="L46" i="100" s="1"/>
  <c r="N46" i="100" s="1"/>
  <c r="B46" i="100"/>
  <c r="Z45" i="100"/>
  <c r="X45" i="100"/>
  <c r="N45" i="100"/>
  <c r="L45" i="100"/>
  <c r="B45" i="100"/>
  <c r="X44" i="100"/>
  <c r="T44" i="100"/>
  <c r="Z44" i="100" s="1"/>
  <c r="P44" i="100"/>
  <c r="N44" i="100"/>
  <c r="L44" i="100"/>
  <c r="H44" i="100"/>
  <c r="D44" i="100"/>
  <c r="B44" i="100"/>
  <c r="Z43" i="100"/>
  <c r="X43" i="100"/>
  <c r="N43" i="100"/>
  <c r="L43" i="100"/>
  <c r="J43" i="100"/>
  <c r="F43" i="100"/>
  <c r="B43" i="100"/>
  <c r="T42" i="100"/>
  <c r="P42" i="100"/>
  <c r="X42" i="100" s="1"/>
  <c r="H42" i="100"/>
  <c r="F42" i="100"/>
  <c r="D42" i="100"/>
  <c r="B42" i="100"/>
  <c r="X41" i="100"/>
  <c r="Z41" i="100" s="1"/>
  <c r="V41" i="100"/>
  <c r="L41" i="100"/>
  <c r="N41" i="100" s="1"/>
  <c r="B41" i="100"/>
  <c r="T40" i="100"/>
  <c r="P40" i="100"/>
  <c r="X40" i="100" s="1"/>
  <c r="Z40" i="100" s="1"/>
  <c r="H40" i="100"/>
  <c r="D40" i="100"/>
  <c r="L40" i="100" s="1"/>
  <c r="N40" i="100" s="1"/>
  <c r="B40" i="100"/>
  <c r="Z39" i="100"/>
  <c r="X39" i="100"/>
  <c r="N39" i="100"/>
  <c r="L39" i="100"/>
  <c r="F39" i="100"/>
  <c r="B39" i="100"/>
  <c r="Z38" i="100"/>
  <c r="X38" i="100"/>
  <c r="N38" i="100"/>
  <c r="L38" i="100"/>
  <c r="F38" i="100"/>
  <c r="B38" i="100"/>
  <c r="Z37" i="100"/>
  <c r="X37" i="100"/>
  <c r="N37" i="100"/>
  <c r="L37" i="100"/>
  <c r="F37" i="100"/>
  <c r="B37" i="100"/>
  <c r="Z36" i="100"/>
  <c r="X36" i="100"/>
  <c r="N36" i="100"/>
  <c r="L36" i="100"/>
  <c r="F36" i="100"/>
  <c r="B36" i="100"/>
  <c r="Z35" i="100"/>
  <c r="X35" i="100"/>
  <c r="N35" i="100"/>
  <c r="L35" i="100"/>
  <c r="F35" i="100"/>
  <c r="B35" i="100"/>
  <c r="Z34" i="100"/>
  <c r="X34" i="100"/>
  <c r="N34" i="100"/>
  <c r="L34" i="100"/>
  <c r="F34" i="100"/>
  <c r="B34" i="100"/>
  <c r="Z33" i="100"/>
  <c r="X33" i="100"/>
  <c r="V33" i="100"/>
  <c r="N33" i="100"/>
  <c r="L33" i="100"/>
  <c r="F33" i="100"/>
  <c r="B33" i="100"/>
  <c r="Z32" i="100"/>
  <c r="X32" i="100"/>
  <c r="V32" i="100"/>
  <c r="N32" i="100"/>
  <c r="L32" i="100"/>
  <c r="F32" i="100"/>
  <c r="B32" i="100"/>
  <c r="Z31" i="100"/>
  <c r="X31" i="100"/>
  <c r="N31" i="100"/>
  <c r="L31" i="100"/>
  <c r="F31" i="100"/>
  <c r="B31" i="100"/>
  <c r="X30" i="100"/>
  <c r="Z30" i="100" s="1"/>
  <c r="L30" i="100"/>
  <c r="N30" i="100" s="1"/>
  <c r="F30" i="100"/>
  <c r="B30" i="100"/>
  <c r="V29" i="100"/>
  <c r="T29" i="100"/>
  <c r="P29" i="100"/>
  <c r="X29" i="100" s="1"/>
  <c r="Z29" i="100" s="1"/>
  <c r="H29" i="100"/>
  <c r="F29" i="100"/>
  <c r="D29" i="100"/>
  <c r="L29" i="100" s="1"/>
  <c r="B29" i="100"/>
  <c r="X28" i="100"/>
  <c r="Z28" i="100" s="1"/>
  <c r="R28" i="100"/>
  <c r="N28" i="100"/>
  <c r="L28" i="100"/>
  <c r="F28" i="100"/>
  <c r="B28" i="100"/>
  <c r="Z27" i="100"/>
  <c r="X27" i="100"/>
  <c r="N27" i="100"/>
  <c r="L27" i="100"/>
  <c r="J27" i="100"/>
  <c r="F27" i="100"/>
  <c r="B27" i="100"/>
  <c r="X26" i="100"/>
  <c r="Z26" i="100" s="1"/>
  <c r="N26" i="100"/>
  <c r="L26" i="100"/>
  <c r="F26" i="100"/>
  <c r="B26" i="100"/>
  <c r="Z25" i="100"/>
  <c r="X25" i="100"/>
  <c r="N25" i="100"/>
  <c r="L25" i="100"/>
  <c r="J25" i="100"/>
  <c r="F25" i="100"/>
  <c r="B25" i="100"/>
  <c r="X24" i="100"/>
  <c r="Z24" i="100" s="1"/>
  <c r="N24" i="100"/>
  <c r="L24" i="100"/>
  <c r="F24" i="100"/>
  <c r="B24" i="100"/>
  <c r="Z23" i="100"/>
  <c r="X23" i="100"/>
  <c r="N23" i="100"/>
  <c r="L23" i="100"/>
  <c r="J23" i="100"/>
  <c r="F23" i="100"/>
  <c r="B23" i="100"/>
  <c r="X22" i="100"/>
  <c r="Z22" i="100" s="1"/>
  <c r="N22" i="100"/>
  <c r="L22" i="100"/>
  <c r="F22" i="100"/>
  <c r="B22" i="100"/>
  <c r="Z21" i="100"/>
  <c r="X21" i="100"/>
  <c r="L21" i="100"/>
  <c r="N21" i="100" s="1"/>
  <c r="J21" i="100"/>
  <c r="F21" i="100"/>
  <c r="B21" i="100"/>
  <c r="X20" i="100"/>
  <c r="Z20" i="100" s="1"/>
  <c r="N20" i="100"/>
  <c r="L20" i="100"/>
  <c r="F20" i="100"/>
  <c r="B20" i="100"/>
  <c r="Z19" i="100"/>
  <c r="X19" i="100"/>
  <c r="V19" i="100"/>
  <c r="T19" i="100"/>
  <c r="P19" i="100"/>
  <c r="N19" i="100"/>
  <c r="L19" i="100"/>
  <c r="H19" i="100"/>
  <c r="F19" i="100"/>
  <c r="D19" i="100"/>
  <c r="B19" i="100"/>
  <c r="T18" i="100"/>
  <c r="P18" i="100"/>
  <c r="X18" i="100" s="1"/>
  <c r="H18" i="100"/>
  <c r="F18" i="100"/>
  <c r="D18" i="100"/>
  <c r="L18" i="100" s="1"/>
  <c r="Z16" i="100"/>
  <c r="T16" i="100"/>
  <c r="T52" i="100" s="1"/>
  <c r="F16" i="100"/>
  <c r="Z14" i="100"/>
  <c r="T14" i="100"/>
  <c r="P14" i="100"/>
  <c r="X14" i="100" s="1"/>
  <c r="H14" i="100"/>
  <c r="N14" i="100" s="1"/>
  <c r="F14" i="100"/>
  <c r="D14" i="100"/>
  <c r="L14" i="100" s="1"/>
  <c r="Z12" i="100"/>
  <c r="T12" i="100"/>
  <c r="V52" i="100" s="1"/>
  <c r="P12" i="100"/>
  <c r="R26" i="100" s="1"/>
  <c r="L12" i="100"/>
  <c r="H12" i="100"/>
  <c r="J44" i="100" s="1"/>
  <c r="D12" i="100"/>
  <c r="F59" i="100" s="1"/>
  <c r="D6" i="100"/>
  <c r="D4" i="100"/>
  <c r="V29" i="99"/>
  <c r="V26" i="99"/>
  <c r="Z24" i="99"/>
  <c r="X24" i="99"/>
  <c r="V24" i="99"/>
  <c r="N24" i="99"/>
  <c r="L24" i="99"/>
  <c r="F24" i="99"/>
  <c r="D22" i="99"/>
  <c r="T20" i="99"/>
  <c r="Z20" i="99" s="1"/>
  <c r="P20" i="99"/>
  <c r="X20" i="99" s="1"/>
  <c r="H20" i="99"/>
  <c r="N20" i="99" s="1"/>
  <c r="D20" i="99"/>
  <c r="L20" i="99" s="1"/>
  <c r="T18" i="99"/>
  <c r="Z18" i="99" s="1"/>
  <c r="P18" i="99"/>
  <c r="X18" i="99" s="1"/>
  <c r="H18" i="99"/>
  <c r="N18" i="99" s="1"/>
  <c r="D18" i="99"/>
  <c r="P16" i="99"/>
  <c r="D16" i="99"/>
  <c r="T14" i="99"/>
  <c r="Z14" i="99" s="1"/>
  <c r="P14" i="99"/>
  <c r="X14" i="99" s="1"/>
  <c r="N14" i="99"/>
  <c r="H14" i="99"/>
  <c r="D14" i="99"/>
  <c r="L14" i="99" s="1"/>
  <c r="Z12" i="99"/>
  <c r="T12" i="99"/>
  <c r="V22" i="99" s="1"/>
  <c r="P12" i="99"/>
  <c r="H12" i="99"/>
  <c r="H16" i="99" s="1"/>
  <c r="D12" i="99"/>
  <c r="F29" i="99" s="1"/>
  <c r="D6" i="99"/>
  <c r="D4" i="99"/>
  <c r="X88" i="98"/>
  <c r="Z88" i="98" s="1"/>
  <c r="L88" i="98"/>
  <c r="N88" i="98" s="1"/>
  <c r="T84" i="98"/>
  <c r="Z84" i="98" s="1"/>
  <c r="P84" i="98"/>
  <c r="X84" i="98" s="1"/>
  <c r="H84" i="98"/>
  <c r="N84" i="98" s="1"/>
  <c r="D84" i="98"/>
  <c r="Z82" i="98"/>
  <c r="X82" i="98"/>
  <c r="L82" i="98"/>
  <c r="N82" i="98" s="1"/>
  <c r="B82" i="98"/>
  <c r="T81" i="98"/>
  <c r="P81" i="98"/>
  <c r="X81" i="98" s="1"/>
  <c r="Z81" i="98" s="1"/>
  <c r="N81" i="98"/>
  <c r="J81" i="98"/>
  <c r="H81" i="98"/>
  <c r="D81" i="98"/>
  <c r="L81" i="98" s="1"/>
  <c r="B81" i="98"/>
  <c r="Z80" i="98"/>
  <c r="X80" i="98"/>
  <c r="N80" i="98"/>
  <c r="L80" i="98"/>
  <c r="B80" i="98"/>
  <c r="V79" i="98"/>
  <c r="T79" i="98"/>
  <c r="Z79" i="98" s="1"/>
  <c r="P79" i="98"/>
  <c r="X79" i="98" s="1"/>
  <c r="N79" i="98"/>
  <c r="H79" i="98"/>
  <c r="D79" i="98"/>
  <c r="L79" i="98" s="1"/>
  <c r="B79" i="98"/>
  <c r="X78" i="98"/>
  <c r="Z78" i="98" s="1"/>
  <c r="N78" i="98"/>
  <c r="L78" i="98"/>
  <c r="B78" i="98"/>
  <c r="Z77" i="98"/>
  <c r="X77" i="98"/>
  <c r="T77" i="98"/>
  <c r="P77" i="98"/>
  <c r="J77" i="98"/>
  <c r="H77" i="98"/>
  <c r="D77" i="98"/>
  <c r="B77" i="98"/>
  <c r="Z76" i="98"/>
  <c r="X76" i="98"/>
  <c r="L76" i="98"/>
  <c r="N76" i="98" s="1"/>
  <c r="B76" i="98"/>
  <c r="Z75" i="98"/>
  <c r="X75" i="98"/>
  <c r="L75" i="98"/>
  <c r="N75" i="98" s="1"/>
  <c r="B75" i="98"/>
  <c r="Z74" i="98"/>
  <c r="X74" i="98"/>
  <c r="R74" i="98"/>
  <c r="L74" i="98"/>
  <c r="N74" i="98" s="1"/>
  <c r="J74" i="98"/>
  <c r="B74" i="98"/>
  <c r="X73" i="98"/>
  <c r="Z73" i="98" s="1"/>
  <c r="L73" i="98"/>
  <c r="N73" i="98" s="1"/>
  <c r="B73" i="98"/>
  <c r="T72" i="98"/>
  <c r="P72" i="98"/>
  <c r="L72" i="98"/>
  <c r="H72" i="98"/>
  <c r="N72" i="98" s="1"/>
  <c r="D72" i="98"/>
  <c r="B72" i="98"/>
  <c r="X71" i="98"/>
  <c r="Z71" i="98" s="1"/>
  <c r="N71" i="98"/>
  <c r="L71" i="98"/>
  <c r="B71" i="98"/>
  <c r="T70" i="98"/>
  <c r="P70" i="98"/>
  <c r="X70" i="98" s="1"/>
  <c r="Z70" i="98" s="1"/>
  <c r="N70" i="98"/>
  <c r="L70" i="98"/>
  <c r="J70" i="98"/>
  <c r="H70" i="98"/>
  <c r="D70" i="98"/>
  <c r="B70" i="98"/>
  <c r="X69" i="98"/>
  <c r="Z69" i="98" s="1"/>
  <c r="L69" i="98"/>
  <c r="N69" i="98" s="1"/>
  <c r="J69" i="98"/>
  <c r="B69" i="98"/>
  <c r="Z68" i="98"/>
  <c r="X68" i="98"/>
  <c r="V68" i="98"/>
  <c r="N68" i="98"/>
  <c r="L68" i="98"/>
  <c r="B68" i="98"/>
  <c r="Z67" i="98"/>
  <c r="X67" i="98"/>
  <c r="V67" i="98"/>
  <c r="L67" i="98"/>
  <c r="N67" i="98" s="1"/>
  <c r="B67" i="98"/>
  <c r="T66" i="98"/>
  <c r="P66" i="98"/>
  <c r="J66" i="98"/>
  <c r="H66" i="98"/>
  <c r="L66" i="98" s="1"/>
  <c r="N66" i="98" s="1"/>
  <c r="D66" i="98"/>
  <c r="B66" i="98"/>
  <c r="X65" i="98"/>
  <c r="Z65" i="98" s="1"/>
  <c r="V65" i="98"/>
  <c r="R65" i="98"/>
  <c r="N65" i="98"/>
  <c r="L65" i="98"/>
  <c r="B65" i="98"/>
  <c r="T64" i="98"/>
  <c r="Z64" i="98" s="1"/>
  <c r="P64" i="98"/>
  <c r="X64" i="98" s="1"/>
  <c r="N64" i="98"/>
  <c r="L64" i="98"/>
  <c r="J64" i="98"/>
  <c r="H64" i="98"/>
  <c r="D64" i="98"/>
  <c r="B64" i="98"/>
  <c r="Z63" i="98"/>
  <c r="X63" i="98"/>
  <c r="N63" i="98"/>
  <c r="L63" i="98"/>
  <c r="J63" i="98"/>
  <c r="B63" i="98"/>
  <c r="X62" i="98"/>
  <c r="Z62" i="98" s="1"/>
  <c r="L62" i="98"/>
  <c r="N62" i="98" s="1"/>
  <c r="B62" i="98"/>
  <c r="X61" i="98"/>
  <c r="Z61" i="98" s="1"/>
  <c r="V61" i="98"/>
  <c r="T61" i="98"/>
  <c r="P61" i="98"/>
  <c r="H61" i="98"/>
  <c r="D61" i="98"/>
  <c r="L61" i="98" s="1"/>
  <c r="B61" i="98"/>
  <c r="Z60" i="98"/>
  <c r="X60" i="98"/>
  <c r="V60" i="98"/>
  <c r="N60" i="98"/>
  <c r="L60" i="98"/>
  <c r="B60" i="98"/>
  <c r="T59" i="98"/>
  <c r="R59" i="98"/>
  <c r="P59" i="98"/>
  <c r="H59" i="98"/>
  <c r="D59" i="98"/>
  <c r="L59" i="98" s="1"/>
  <c r="B59" i="98"/>
  <c r="Z58" i="98"/>
  <c r="X58" i="98"/>
  <c r="N58" i="98"/>
  <c r="L58" i="98"/>
  <c r="B58" i="98"/>
  <c r="T57" i="98"/>
  <c r="P57" i="98"/>
  <c r="X57" i="98" s="1"/>
  <c r="Z57" i="98" s="1"/>
  <c r="L57" i="98"/>
  <c r="J57" i="98"/>
  <c r="H57" i="98"/>
  <c r="N57" i="98" s="1"/>
  <c r="D57" i="98"/>
  <c r="B57" i="98"/>
  <c r="X56" i="98"/>
  <c r="Z56" i="98" s="1"/>
  <c r="L56" i="98"/>
  <c r="N56" i="98" s="1"/>
  <c r="J56" i="98"/>
  <c r="B56" i="98"/>
  <c r="Z55" i="98"/>
  <c r="X55" i="98"/>
  <c r="V55" i="98"/>
  <c r="L55" i="98"/>
  <c r="N55" i="98" s="1"/>
  <c r="B55" i="98"/>
  <c r="X54" i="98"/>
  <c r="Z54" i="98" s="1"/>
  <c r="V54" i="98"/>
  <c r="L54" i="98"/>
  <c r="N54" i="98" s="1"/>
  <c r="B54" i="98"/>
  <c r="T53" i="98"/>
  <c r="R53" i="98"/>
  <c r="P53" i="98"/>
  <c r="J53" i="98"/>
  <c r="H53" i="98"/>
  <c r="D53" i="98"/>
  <c r="L53" i="98" s="1"/>
  <c r="N53" i="98" s="1"/>
  <c r="B53" i="98"/>
  <c r="X52" i="98"/>
  <c r="Z52" i="98" s="1"/>
  <c r="V52" i="98"/>
  <c r="R52" i="98"/>
  <c r="N52" i="98"/>
  <c r="L52" i="98"/>
  <c r="B52" i="98"/>
  <c r="T51" i="98"/>
  <c r="Z51" i="98" s="1"/>
  <c r="P51" i="98"/>
  <c r="X51" i="98" s="1"/>
  <c r="N51" i="98"/>
  <c r="L51" i="98"/>
  <c r="H51" i="98"/>
  <c r="D51" i="98"/>
  <c r="B51" i="98"/>
  <c r="X50" i="98"/>
  <c r="Z50" i="98" s="1"/>
  <c r="N50" i="98"/>
  <c r="L50" i="98"/>
  <c r="J50" i="98"/>
  <c r="B50" i="98"/>
  <c r="T49" i="98"/>
  <c r="P49" i="98"/>
  <c r="X49" i="98" s="1"/>
  <c r="Z49" i="98" s="1"/>
  <c r="L49" i="98"/>
  <c r="J49" i="98"/>
  <c r="H49" i="98"/>
  <c r="D49" i="98"/>
  <c r="B49" i="98"/>
  <c r="X48" i="98"/>
  <c r="Z48" i="98" s="1"/>
  <c r="L48" i="98"/>
  <c r="N48" i="98" s="1"/>
  <c r="J48" i="98"/>
  <c r="B48" i="98"/>
  <c r="V47" i="98"/>
  <c r="T47" i="98"/>
  <c r="P47" i="98"/>
  <c r="X47" i="98" s="1"/>
  <c r="Z47" i="98" s="1"/>
  <c r="H47" i="98"/>
  <c r="D47" i="98"/>
  <c r="L47" i="98" s="1"/>
  <c r="B47" i="98"/>
  <c r="Z46" i="98"/>
  <c r="X46" i="98"/>
  <c r="N46" i="98"/>
  <c r="L46" i="98"/>
  <c r="B46" i="98"/>
  <c r="Z45" i="98"/>
  <c r="X45" i="98"/>
  <c r="N45" i="98"/>
  <c r="L45" i="98"/>
  <c r="B45" i="98"/>
  <c r="Z44" i="98"/>
  <c r="X44" i="98"/>
  <c r="V44" i="98"/>
  <c r="R44" i="98"/>
  <c r="N44" i="98"/>
  <c r="L44" i="98"/>
  <c r="B44" i="98"/>
  <c r="X43" i="98"/>
  <c r="Z43" i="98" s="1"/>
  <c r="V43" i="98"/>
  <c r="L43" i="98"/>
  <c r="N43" i="98" s="1"/>
  <c r="J43" i="98"/>
  <c r="B43" i="98"/>
  <c r="Z42" i="98"/>
  <c r="X42" i="98"/>
  <c r="N42" i="98"/>
  <c r="L42" i="98"/>
  <c r="B42" i="98"/>
  <c r="Z41" i="98"/>
  <c r="X41" i="98"/>
  <c r="N41" i="98"/>
  <c r="L41" i="98"/>
  <c r="B41" i="98"/>
  <c r="X40" i="98"/>
  <c r="Z40" i="98" s="1"/>
  <c r="V40" i="98"/>
  <c r="R40" i="98"/>
  <c r="N40" i="98"/>
  <c r="L40" i="98"/>
  <c r="B40" i="98"/>
  <c r="Z39" i="98"/>
  <c r="X39" i="98"/>
  <c r="V39" i="98"/>
  <c r="N39" i="98"/>
  <c r="L39" i="98"/>
  <c r="J39" i="98"/>
  <c r="B39" i="98"/>
  <c r="X38" i="98"/>
  <c r="Z38" i="98" s="1"/>
  <c r="L38" i="98"/>
  <c r="N38" i="98" s="1"/>
  <c r="B38" i="98"/>
  <c r="Z37" i="98"/>
  <c r="X37" i="98"/>
  <c r="N37" i="98"/>
  <c r="L37" i="98"/>
  <c r="B37" i="98"/>
  <c r="V36" i="98"/>
  <c r="T36" i="98"/>
  <c r="P36" i="98"/>
  <c r="L36" i="98"/>
  <c r="H36" i="98"/>
  <c r="N36" i="98" s="1"/>
  <c r="D36" i="98"/>
  <c r="B36" i="98"/>
  <c r="X35" i="98"/>
  <c r="Z35" i="98" s="1"/>
  <c r="V35" i="98"/>
  <c r="N35" i="98"/>
  <c r="L35" i="98"/>
  <c r="J35" i="98"/>
  <c r="B35" i="98"/>
  <c r="X34" i="98"/>
  <c r="Z34" i="98" s="1"/>
  <c r="N34" i="98"/>
  <c r="L34" i="98"/>
  <c r="J34" i="98"/>
  <c r="B34" i="98"/>
  <c r="Z33" i="98"/>
  <c r="X33" i="98"/>
  <c r="N33" i="98"/>
  <c r="L33" i="98"/>
  <c r="J33" i="98"/>
  <c r="B33" i="98"/>
  <c r="Z32" i="98"/>
  <c r="X32" i="98"/>
  <c r="N32" i="98"/>
  <c r="L32" i="98"/>
  <c r="J32" i="98"/>
  <c r="B32" i="98"/>
  <c r="X31" i="98"/>
  <c r="Z31" i="98" s="1"/>
  <c r="V31" i="98"/>
  <c r="N31" i="98"/>
  <c r="L31" i="98"/>
  <c r="J31" i="98"/>
  <c r="B31" i="98"/>
  <c r="X30" i="98"/>
  <c r="Z30" i="98" s="1"/>
  <c r="N30" i="98"/>
  <c r="L30" i="98"/>
  <c r="J30" i="98"/>
  <c r="B30" i="98"/>
  <c r="Z29" i="98"/>
  <c r="X29" i="98"/>
  <c r="N29" i="98"/>
  <c r="L29" i="98"/>
  <c r="J29" i="98"/>
  <c r="B29" i="98"/>
  <c r="Z28" i="98"/>
  <c r="X28" i="98"/>
  <c r="L28" i="98"/>
  <c r="N28" i="98" s="1"/>
  <c r="J28" i="98"/>
  <c r="B28" i="98"/>
  <c r="X27" i="98"/>
  <c r="Z27" i="98" s="1"/>
  <c r="V27" i="98"/>
  <c r="N27" i="98"/>
  <c r="L27" i="98"/>
  <c r="J27" i="98"/>
  <c r="B27" i="98"/>
  <c r="T26" i="98"/>
  <c r="Z26" i="98" s="1"/>
  <c r="P26" i="98"/>
  <c r="X26" i="98" s="1"/>
  <c r="H26" i="98"/>
  <c r="D26" i="98"/>
  <c r="L26" i="98" s="1"/>
  <c r="B26" i="98"/>
  <c r="T25" i="98"/>
  <c r="R25" i="98"/>
  <c r="P25" i="98"/>
  <c r="J25" i="98"/>
  <c r="H25" i="98"/>
  <c r="D25" i="98"/>
  <c r="L25" i="98" s="1"/>
  <c r="T23" i="98"/>
  <c r="Z21" i="98"/>
  <c r="X21" i="98"/>
  <c r="V21" i="98"/>
  <c r="R21" i="98"/>
  <c r="N21" i="98"/>
  <c r="L21" i="98"/>
  <c r="B21" i="98"/>
  <c r="Z20" i="98"/>
  <c r="X20" i="98"/>
  <c r="V20" i="98"/>
  <c r="N20" i="98"/>
  <c r="L20" i="98"/>
  <c r="J20" i="98"/>
  <c r="B20" i="98"/>
  <c r="Z19" i="98"/>
  <c r="X19" i="98"/>
  <c r="V19" i="98"/>
  <c r="L19" i="98"/>
  <c r="N19" i="98" s="1"/>
  <c r="J19" i="98"/>
  <c r="B19" i="98"/>
  <c r="Z18" i="98"/>
  <c r="X18" i="98"/>
  <c r="V18" i="98"/>
  <c r="T18" i="98"/>
  <c r="P18" i="98"/>
  <c r="H18" i="98"/>
  <c r="D18" i="98"/>
  <c r="L18" i="98" s="1"/>
  <c r="Z16" i="98"/>
  <c r="X16" i="98"/>
  <c r="P16" i="98"/>
  <c r="N16" i="98"/>
  <c r="D16" i="98"/>
  <c r="L16" i="98" s="1"/>
  <c r="B16" i="98"/>
  <c r="P15" i="98"/>
  <c r="X15" i="98" s="1"/>
  <c r="Z15" i="98" s="1"/>
  <c r="D15" i="98"/>
  <c r="L15" i="98" s="1"/>
  <c r="N15" i="98" s="1"/>
  <c r="B15" i="98"/>
  <c r="Z14" i="98"/>
  <c r="X14" i="98"/>
  <c r="P14" i="98"/>
  <c r="N14" i="98"/>
  <c r="D14" i="98"/>
  <c r="L14" i="98" s="1"/>
  <c r="B14" i="98"/>
  <c r="P13" i="98"/>
  <c r="P12" i="98" s="1"/>
  <c r="L13" i="98"/>
  <c r="N13" i="98" s="1"/>
  <c r="D13" i="98"/>
  <c r="D12" i="98" s="1"/>
  <c r="F48" i="98" s="1"/>
  <c r="B13" i="98"/>
  <c r="T12" i="98"/>
  <c r="V80" i="98" s="1"/>
  <c r="H12" i="98"/>
  <c r="D6" i="98"/>
  <c r="D4" i="98"/>
  <c r="X95" i="96"/>
  <c r="Z95" i="96" s="1"/>
  <c r="N95" i="96"/>
  <c r="L95" i="96"/>
  <c r="X91" i="96"/>
  <c r="T91" i="96"/>
  <c r="Z91" i="96" s="1"/>
  <c r="P91" i="96"/>
  <c r="H91" i="96"/>
  <c r="D91" i="96"/>
  <c r="X89" i="96"/>
  <c r="Z89" i="96" s="1"/>
  <c r="L89" i="96"/>
  <c r="N89" i="96" s="1"/>
  <c r="B89" i="96"/>
  <c r="Z88" i="96"/>
  <c r="X88" i="96"/>
  <c r="T88" i="96"/>
  <c r="P88" i="96"/>
  <c r="H88" i="96"/>
  <c r="D88" i="96"/>
  <c r="L88" i="96" s="1"/>
  <c r="N88" i="96" s="1"/>
  <c r="B88" i="96"/>
  <c r="Z87" i="96"/>
  <c r="X87" i="96"/>
  <c r="N87" i="96"/>
  <c r="L87" i="96"/>
  <c r="B87" i="96"/>
  <c r="X86" i="96"/>
  <c r="Z86" i="96" s="1"/>
  <c r="V86" i="96"/>
  <c r="N86" i="96"/>
  <c r="L86" i="96"/>
  <c r="B86" i="96"/>
  <c r="T85" i="96"/>
  <c r="Z85" i="96" s="1"/>
  <c r="P85" i="96"/>
  <c r="X85" i="96" s="1"/>
  <c r="H85" i="96"/>
  <c r="D85" i="96"/>
  <c r="L85" i="96" s="1"/>
  <c r="N85" i="96" s="1"/>
  <c r="B85" i="96"/>
  <c r="Z84" i="96"/>
  <c r="X84" i="96"/>
  <c r="N84" i="96"/>
  <c r="L84" i="96"/>
  <c r="B84" i="96"/>
  <c r="T83" i="96"/>
  <c r="Z83" i="96" s="1"/>
  <c r="P83" i="96"/>
  <c r="X83" i="96" s="1"/>
  <c r="L83" i="96"/>
  <c r="N83" i="96" s="1"/>
  <c r="H83" i="96"/>
  <c r="D83" i="96"/>
  <c r="B83" i="96"/>
  <c r="X82" i="96"/>
  <c r="Z82" i="96" s="1"/>
  <c r="L82" i="96"/>
  <c r="N82" i="96" s="1"/>
  <c r="B82" i="96"/>
  <c r="X81" i="96"/>
  <c r="Z81" i="96" s="1"/>
  <c r="L81" i="96"/>
  <c r="N81" i="96" s="1"/>
  <c r="B81" i="96"/>
  <c r="Z80" i="96"/>
  <c r="X80" i="96"/>
  <c r="N80" i="96"/>
  <c r="L80" i="96"/>
  <c r="B80" i="96"/>
  <c r="X79" i="96"/>
  <c r="Z79" i="96" s="1"/>
  <c r="V79" i="96"/>
  <c r="N79" i="96"/>
  <c r="L79" i="96"/>
  <c r="B79" i="96"/>
  <c r="X78" i="96"/>
  <c r="Z78" i="96" s="1"/>
  <c r="L78" i="96"/>
  <c r="N78" i="96" s="1"/>
  <c r="B78" i="96"/>
  <c r="X77" i="96"/>
  <c r="Z77" i="96" s="1"/>
  <c r="L77" i="96"/>
  <c r="N77" i="96" s="1"/>
  <c r="B77" i="96"/>
  <c r="X76" i="96"/>
  <c r="Z76" i="96" s="1"/>
  <c r="N76" i="96"/>
  <c r="L76" i="96"/>
  <c r="B76" i="96"/>
  <c r="V75" i="96"/>
  <c r="T75" i="96"/>
  <c r="P75" i="96"/>
  <c r="L75" i="96"/>
  <c r="H75" i="96"/>
  <c r="D75" i="96"/>
  <c r="B75" i="96"/>
  <c r="X74" i="96"/>
  <c r="Z74" i="96" s="1"/>
  <c r="V74" i="96"/>
  <c r="N74" i="96"/>
  <c r="L74" i="96"/>
  <c r="B74" i="96"/>
  <c r="T73" i="96"/>
  <c r="P73" i="96"/>
  <c r="X73" i="96" s="1"/>
  <c r="N73" i="96"/>
  <c r="H73" i="96"/>
  <c r="D73" i="96"/>
  <c r="L73" i="96" s="1"/>
  <c r="B73" i="96"/>
  <c r="Z72" i="96"/>
  <c r="X72" i="96"/>
  <c r="L72" i="96"/>
  <c r="N72" i="96" s="1"/>
  <c r="B72" i="96"/>
  <c r="X71" i="96"/>
  <c r="Z71" i="96" s="1"/>
  <c r="L71" i="96"/>
  <c r="N71" i="96" s="1"/>
  <c r="B71" i="96"/>
  <c r="Z70" i="96"/>
  <c r="X70" i="96"/>
  <c r="V70" i="96"/>
  <c r="L70" i="96"/>
  <c r="N70" i="96" s="1"/>
  <c r="B70" i="96"/>
  <c r="Z69" i="96"/>
  <c r="X69" i="96"/>
  <c r="V69" i="96"/>
  <c r="L69" i="96"/>
  <c r="N69" i="96" s="1"/>
  <c r="B69" i="96"/>
  <c r="Z68" i="96"/>
  <c r="X68" i="96"/>
  <c r="L68" i="96"/>
  <c r="N68" i="96" s="1"/>
  <c r="B68" i="96"/>
  <c r="T67" i="96"/>
  <c r="P67" i="96"/>
  <c r="X67" i="96" s="1"/>
  <c r="L67" i="96"/>
  <c r="N67" i="96" s="1"/>
  <c r="J67" i="96"/>
  <c r="H67" i="96"/>
  <c r="D67" i="96"/>
  <c r="B67" i="96"/>
  <c r="X66" i="96"/>
  <c r="Z66" i="96" s="1"/>
  <c r="V66" i="96"/>
  <c r="L66" i="96"/>
  <c r="N66" i="96" s="1"/>
  <c r="B66" i="96"/>
  <c r="X65" i="96"/>
  <c r="T65" i="96"/>
  <c r="Z65" i="96" s="1"/>
  <c r="P65" i="96"/>
  <c r="J65" i="96"/>
  <c r="H65" i="96"/>
  <c r="D65" i="96"/>
  <c r="B65" i="96"/>
  <c r="Z64" i="96"/>
  <c r="X64" i="96"/>
  <c r="N64" i="96"/>
  <c r="L64" i="96"/>
  <c r="B64" i="96"/>
  <c r="T63" i="96"/>
  <c r="P63" i="96"/>
  <c r="L63" i="96"/>
  <c r="H63" i="96"/>
  <c r="D63" i="96"/>
  <c r="B63" i="96"/>
  <c r="Z62" i="96"/>
  <c r="X62" i="96"/>
  <c r="V62" i="96"/>
  <c r="L62" i="96"/>
  <c r="N62" i="96" s="1"/>
  <c r="J62" i="96"/>
  <c r="B62" i="96"/>
  <c r="X61" i="96"/>
  <c r="Z61" i="96" s="1"/>
  <c r="V61" i="96"/>
  <c r="T61" i="96"/>
  <c r="P61" i="96"/>
  <c r="H61" i="96"/>
  <c r="D61" i="96"/>
  <c r="B61" i="96"/>
  <c r="X60" i="96"/>
  <c r="Z60" i="96" s="1"/>
  <c r="N60" i="96"/>
  <c r="L60" i="96"/>
  <c r="B60" i="96"/>
  <c r="X59" i="96"/>
  <c r="T59" i="96"/>
  <c r="P59" i="96"/>
  <c r="L59" i="96"/>
  <c r="H59" i="96"/>
  <c r="N59" i="96" s="1"/>
  <c r="D59" i="96"/>
  <c r="B59" i="96"/>
  <c r="Z58" i="96"/>
  <c r="X58" i="96"/>
  <c r="V58" i="96"/>
  <c r="N58" i="96"/>
  <c r="L58" i="96"/>
  <c r="B58" i="96"/>
  <c r="T57" i="96"/>
  <c r="P57" i="96"/>
  <c r="X57" i="96" s="1"/>
  <c r="H57" i="96"/>
  <c r="D57" i="96"/>
  <c r="B57" i="96"/>
  <c r="Z56" i="96"/>
  <c r="X56" i="96"/>
  <c r="V56" i="96"/>
  <c r="L56" i="96"/>
  <c r="N56" i="96" s="1"/>
  <c r="B56" i="96"/>
  <c r="T55" i="96"/>
  <c r="P55" i="96"/>
  <c r="X55" i="96" s="1"/>
  <c r="N55" i="96"/>
  <c r="L55" i="96"/>
  <c r="H55" i="96"/>
  <c r="D55" i="96"/>
  <c r="B55" i="96"/>
  <c r="X54" i="96"/>
  <c r="Z54" i="96" s="1"/>
  <c r="V54" i="96"/>
  <c r="N54" i="96"/>
  <c r="L54" i="96"/>
  <c r="J54" i="96"/>
  <c r="B54" i="96"/>
  <c r="X53" i="96"/>
  <c r="Z53" i="96" s="1"/>
  <c r="L53" i="96"/>
  <c r="N53" i="96" s="1"/>
  <c r="B53" i="96"/>
  <c r="X52" i="96"/>
  <c r="Z52" i="96" s="1"/>
  <c r="T52" i="96"/>
  <c r="P52" i="96"/>
  <c r="H52" i="96"/>
  <c r="D52" i="96"/>
  <c r="L52" i="96" s="1"/>
  <c r="N52" i="96" s="1"/>
  <c r="B52" i="96"/>
  <c r="Z51" i="96"/>
  <c r="X51" i="96"/>
  <c r="L51" i="96"/>
  <c r="N51" i="96" s="1"/>
  <c r="B51" i="96"/>
  <c r="T50" i="96"/>
  <c r="P50" i="96"/>
  <c r="N50" i="96"/>
  <c r="H50" i="96"/>
  <c r="D50" i="96"/>
  <c r="L50" i="96" s="1"/>
  <c r="B50" i="96"/>
  <c r="X49" i="96"/>
  <c r="Z49" i="96" s="1"/>
  <c r="V49" i="96"/>
  <c r="L49" i="96"/>
  <c r="N49" i="96" s="1"/>
  <c r="B49" i="96"/>
  <c r="T48" i="96"/>
  <c r="V48" i="96" s="1"/>
  <c r="P48" i="96"/>
  <c r="H48" i="96"/>
  <c r="D48" i="96"/>
  <c r="L48" i="96" s="1"/>
  <c r="N48" i="96" s="1"/>
  <c r="B48" i="96"/>
  <c r="X47" i="96"/>
  <c r="Z47" i="96" s="1"/>
  <c r="V47" i="96"/>
  <c r="N47" i="96"/>
  <c r="L47" i="96"/>
  <c r="B47" i="96"/>
  <c r="V46" i="96"/>
  <c r="T46" i="96"/>
  <c r="P46" i="96"/>
  <c r="X46" i="96" s="1"/>
  <c r="Z46" i="96" s="1"/>
  <c r="L46" i="96"/>
  <c r="N46" i="96" s="1"/>
  <c r="H46" i="96"/>
  <c r="D46" i="96"/>
  <c r="B46" i="96"/>
  <c r="Z45" i="96"/>
  <c r="X45" i="96"/>
  <c r="N45" i="96"/>
  <c r="L45" i="96"/>
  <c r="B45" i="96"/>
  <c r="Z44" i="96"/>
  <c r="X44" i="96"/>
  <c r="N44" i="96"/>
  <c r="L44" i="96"/>
  <c r="B44" i="96"/>
  <c r="Z43" i="96"/>
  <c r="X43" i="96"/>
  <c r="N43" i="96"/>
  <c r="L43" i="96"/>
  <c r="J43" i="96"/>
  <c r="B43" i="96"/>
  <c r="Z42" i="96"/>
  <c r="X42" i="96"/>
  <c r="V42" i="96"/>
  <c r="N42" i="96"/>
  <c r="L42" i="96"/>
  <c r="B42" i="96"/>
  <c r="Z41" i="96"/>
  <c r="X41" i="96"/>
  <c r="N41" i="96"/>
  <c r="L41" i="96"/>
  <c r="B41" i="96"/>
  <c r="Z40" i="96"/>
  <c r="X40" i="96"/>
  <c r="N40" i="96"/>
  <c r="L40" i="96"/>
  <c r="J40" i="96"/>
  <c r="B40" i="96"/>
  <c r="Z39" i="96"/>
  <c r="X39" i="96"/>
  <c r="L39" i="96"/>
  <c r="N39" i="96" s="1"/>
  <c r="B39" i="96"/>
  <c r="Z38" i="96"/>
  <c r="X38" i="96"/>
  <c r="V38" i="96"/>
  <c r="N38" i="96"/>
  <c r="L38" i="96"/>
  <c r="B38" i="96"/>
  <c r="X37" i="96"/>
  <c r="Z37" i="96" s="1"/>
  <c r="L37" i="96"/>
  <c r="N37" i="96" s="1"/>
  <c r="B37" i="96"/>
  <c r="Z36" i="96"/>
  <c r="X36" i="96"/>
  <c r="N36" i="96"/>
  <c r="L36" i="96"/>
  <c r="B36" i="96"/>
  <c r="T35" i="96"/>
  <c r="P35" i="96"/>
  <c r="H35" i="96"/>
  <c r="L35" i="96" s="1"/>
  <c r="N35" i="96" s="1"/>
  <c r="D35" i="96"/>
  <c r="B35" i="96"/>
  <c r="Z34" i="96"/>
  <c r="X34" i="96"/>
  <c r="V34" i="96"/>
  <c r="L34" i="96"/>
  <c r="N34" i="96" s="1"/>
  <c r="B34" i="96"/>
  <c r="Z33" i="96"/>
  <c r="X33" i="96"/>
  <c r="V33" i="96"/>
  <c r="L33" i="96"/>
  <c r="N33" i="96" s="1"/>
  <c r="B33" i="96"/>
  <c r="Z32" i="96"/>
  <c r="X32" i="96"/>
  <c r="V32" i="96"/>
  <c r="L32" i="96"/>
  <c r="N32" i="96" s="1"/>
  <c r="B32" i="96"/>
  <c r="Z31" i="96"/>
  <c r="X31" i="96"/>
  <c r="V31" i="96"/>
  <c r="N31" i="96"/>
  <c r="L31" i="96"/>
  <c r="B31" i="96"/>
  <c r="Z30" i="96"/>
  <c r="X30" i="96"/>
  <c r="V30" i="96"/>
  <c r="L30" i="96"/>
  <c r="N30" i="96" s="1"/>
  <c r="B30" i="96"/>
  <c r="X29" i="96"/>
  <c r="Z29" i="96" s="1"/>
  <c r="V29" i="96"/>
  <c r="L29" i="96"/>
  <c r="N29" i="96" s="1"/>
  <c r="B29" i="96"/>
  <c r="Z28" i="96"/>
  <c r="X28" i="96"/>
  <c r="V28" i="96"/>
  <c r="L28" i="96"/>
  <c r="N28" i="96" s="1"/>
  <c r="B28" i="96"/>
  <c r="X27" i="96"/>
  <c r="Z27" i="96" s="1"/>
  <c r="V27" i="96"/>
  <c r="L27" i="96"/>
  <c r="N27" i="96" s="1"/>
  <c r="B27" i="96"/>
  <c r="Z26" i="96"/>
  <c r="X26" i="96"/>
  <c r="V26" i="96"/>
  <c r="L26" i="96"/>
  <c r="N26" i="96" s="1"/>
  <c r="J26" i="96"/>
  <c r="B26" i="96"/>
  <c r="V25" i="96"/>
  <c r="T25" i="96"/>
  <c r="P25" i="96"/>
  <c r="X25" i="96" s="1"/>
  <c r="Z25" i="96" s="1"/>
  <c r="H25" i="96"/>
  <c r="D25" i="96"/>
  <c r="B25" i="96"/>
  <c r="Z24" i="96"/>
  <c r="X24" i="96"/>
  <c r="T24" i="96"/>
  <c r="P24" i="96"/>
  <c r="H24" i="96"/>
  <c r="D24" i="96"/>
  <c r="L24" i="96" s="1"/>
  <c r="Z20" i="96"/>
  <c r="X20" i="96"/>
  <c r="N20" i="96"/>
  <c r="L20" i="96"/>
  <c r="B20" i="96"/>
  <c r="Z19" i="96"/>
  <c r="X19" i="96"/>
  <c r="V19" i="96"/>
  <c r="N19" i="96"/>
  <c r="L19" i="96"/>
  <c r="B19" i="96"/>
  <c r="X18" i="96"/>
  <c r="Z18" i="96" s="1"/>
  <c r="V18" i="96"/>
  <c r="N18" i="96"/>
  <c r="L18" i="96"/>
  <c r="B18" i="96"/>
  <c r="T17" i="96"/>
  <c r="P17" i="96"/>
  <c r="X17" i="96" s="1"/>
  <c r="H17" i="96"/>
  <c r="D17" i="96"/>
  <c r="Z15" i="96"/>
  <c r="X15" i="96"/>
  <c r="P15" i="96"/>
  <c r="N15" i="96"/>
  <c r="D15" i="96"/>
  <c r="L15" i="96" s="1"/>
  <c r="B15" i="96"/>
  <c r="P14" i="96"/>
  <c r="X14" i="96" s="1"/>
  <c r="Z14" i="96" s="1"/>
  <c r="D14" i="96"/>
  <c r="L14" i="96" s="1"/>
  <c r="N14" i="96" s="1"/>
  <c r="B14" i="96"/>
  <c r="Z13" i="96"/>
  <c r="P13" i="96"/>
  <c r="N13" i="96"/>
  <c r="D13" i="96"/>
  <c r="L13" i="96" s="1"/>
  <c r="B13" i="96"/>
  <c r="T12" i="96"/>
  <c r="V88" i="96" s="1"/>
  <c r="H12" i="96"/>
  <c r="J52" i="96" s="1"/>
  <c r="D12" i="96"/>
  <c r="F52" i="96" s="1"/>
  <c r="D6" i="96"/>
  <c r="D4" i="96"/>
  <c r="Z82" i="95"/>
  <c r="X82" i="95"/>
  <c r="V82" i="95"/>
  <c r="L82" i="95"/>
  <c r="N82" i="95" s="1"/>
  <c r="Z78" i="95"/>
  <c r="X78" i="95"/>
  <c r="T78" i="95"/>
  <c r="P78" i="95"/>
  <c r="N78" i="95"/>
  <c r="L78" i="95"/>
  <c r="H78" i="95"/>
  <c r="D78" i="95"/>
  <c r="Z76" i="95"/>
  <c r="X76" i="95"/>
  <c r="N76" i="95"/>
  <c r="L76" i="95"/>
  <c r="B76" i="95"/>
  <c r="T75" i="95"/>
  <c r="P75" i="95"/>
  <c r="X75" i="95" s="1"/>
  <c r="L75" i="95"/>
  <c r="N75" i="95" s="1"/>
  <c r="H75" i="95"/>
  <c r="D75" i="95"/>
  <c r="B75" i="95"/>
  <c r="Z74" i="95"/>
  <c r="X74" i="95"/>
  <c r="L74" i="95"/>
  <c r="N74" i="95" s="1"/>
  <c r="B74" i="95"/>
  <c r="T73" i="95"/>
  <c r="Z73" i="95" s="1"/>
  <c r="P73" i="95"/>
  <c r="X73" i="95" s="1"/>
  <c r="H73" i="95"/>
  <c r="F73" i="95"/>
  <c r="D73" i="95"/>
  <c r="B73" i="95"/>
  <c r="Z72" i="95"/>
  <c r="X72" i="95"/>
  <c r="N72" i="95"/>
  <c r="L72" i="95"/>
  <c r="B72" i="95"/>
  <c r="Z71" i="95"/>
  <c r="X71" i="95"/>
  <c r="L71" i="95"/>
  <c r="N71" i="95" s="1"/>
  <c r="B71" i="95"/>
  <c r="Z70" i="95"/>
  <c r="X70" i="95"/>
  <c r="N70" i="95"/>
  <c r="L70" i="95"/>
  <c r="B70" i="95"/>
  <c r="X69" i="95"/>
  <c r="Z69" i="95" s="1"/>
  <c r="L69" i="95"/>
  <c r="N69" i="95" s="1"/>
  <c r="B69" i="95"/>
  <c r="T68" i="95"/>
  <c r="P68" i="95"/>
  <c r="X68" i="95" s="1"/>
  <c r="Z68" i="95" s="1"/>
  <c r="H68" i="95"/>
  <c r="D68" i="95"/>
  <c r="L68" i="95" s="1"/>
  <c r="B68" i="95"/>
  <c r="X67" i="95"/>
  <c r="Z67" i="95" s="1"/>
  <c r="L67" i="95"/>
  <c r="N67" i="95" s="1"/>
  <c r="B67" i="95"/>
  <c r="T66" i="95"/>
  <c r="P66" i="95"/>
  <c r="X66" i="95" s="1"/>
  <c r="Z66" i="95" s="1"/>
  <c r="H66" i="95"/>
  <c r="D66" i="95"/>
  <c r="L66" i="95" s="1"/>
  <c r="N66" i="95" s="1"/>
  <c r="B66" i="95"/>
  <c r="X65" i="95"/>
  <c r="Z65" i="95" s="1"/>
  <c r="L65" i="95"/>
  <c r="N65" i="95" s="1"/>
  <c r="B65" i="95"/>
  <c r="X64" i="95"/>
  <c r="Z64" i="95" s="1"/>
  <c r="V64" i="95"/>
  <c r="T64" i="95"/>
  <c r="P64" i="95"/>
  <c r="L64" i="95"/>
  <c r="H64" i="95"/>
  <c r="N64" i="95" s="1"/>
  <c r="D64" i="95"/>
  <c r="B64" i="95"/>
  <c r="Z63" i="95"/>
  <c r="X63" i="95"/>
  <c r="L63" i="95"/>
  <c r="N63" i="95" s="1"/>
  <c r="B63" i="95"/>
  <c r="T62" i="95"/>
  <c r="P62" i="95"/>
  <c r="H62" i="95"/>
  <c r="D62" i="95"/>
  <c r="L62" i="95" s="1"/>
  <c r="N62" i="95" s="1"/>
  <c r="B62" i="95"/>
  <c r="Z61" i="95"/>
  <c r="X61" i="95"/>
  <c r="N61" i="95"/>
  <c r="L61" i="95"/>
  <c r="B61" i="95"/>
  <c r="Z60" i="95"/>
  <c r="T60" i="95"/>
  <c r="P60" i="95"/>
  <c r="X60" i="95" s="1"/>
  <c r="N60" i="95"/>
  <c r="H60" i="95"/>
  <c r="D60" i="95"/>
  <c r="L60" i="95" s="1"/>
  <c r="B60" i="95"/>
  <c r="Z59" i="95"/>
  <c r="X59" i="95"/>
  <c r="N59" i="95"/>
  <c r="L59" i="95"/>
  <c r="B59" i="95"/>
  <c r="T58" i="95"/>
  <c r="Z58" i="95" s="1"/>
  <c r="P58" i="95"/>
  <c r="N58" i="95"/>
  <c r="L58" i="95"/>
  <c r="H58" i="95"/>
  <c r="D58" i="95"/>
  <c r="B58" i="95"/>
  <c r="X57" i="95"/>
  <c r="Z57" i="95" s="1"/>
  <c r="L57" i="95"/>
  <c r="N57" i="95" s="1"/>
  <c r="J57" i="95"/>
  <c r="F57" i="95"/>
  <c r="B57" i="95"/>
  <c r="T56" i="95"/>
  <c r="P56" i="95"/>
  <c r="X56" i="95" s="1"/>
  <c r="H56" i="95"/>
  <c r="D56" i="95"/>
  <c r="L56" i="95" s="1"/>
  <c r="B56" i="95"/>
  <c r="X55" i="95"/>
  <c r="Z55" i="95" s="1"/>
  <c r="L55" i="95"/>
  <c r="N55" i="95" s="1"/>
  <c r="F55" i="95"/>
  <c r="B55" i="95"/>
  <c r="Z54" i="95"/>
  <c r="X54" i="95"/>
  <c r="L54" i="95"/>
  <c r="N54" i="95" s="1"/>
  <c r="B54" i="95"/>
  <c r="T53" i="95"/>
  <c r="P53" i="95"/>
  <c r="H53" i="95"/>
  <c r="D53" i="95"/>
  <c r="L53" i="95" s="1"/>
  <c r="B53" i="95"/>
  <c r="Z52" i="95"/>
  <c r="X52" i="95"/>
  <c r="N52" i="95"/>
  <c r="L52" i="95"/>
  <c r="B52" i="95"/>
  <c r="T51" i="95"/>
  <c r="P51" i="95"/>
  <c r="H51" i="95"/>
  <c r="D51" i="95"/>
  <c r="L51" i="95" s="1"/>
  <c r="N51" i="95" s="1"/>
  <c r="B51" i="95"/>
  <c r="Z50" i="95"/>
  <c r="X50" i="95"/>
  <c r="N50" i="95"/>
  <c r="L50" i="95"/>
  <c r="B50" i="95"/>
  <c r="T49" i="95"/>
  <c r="Z49" i="95" s="1"/>
  <c r="P49" i="95"/>
  <c r="X49" i="95" s="1"/>
  <c r="N49" i="95"/>
  <c r="L49" i="95"/>
  <c r="H49" i="95"/>
  <c r="D49" i="95"/>
  <c r="B49" i="95"/>
  <c r="Z48" i="95"/>
  <c r="X48" i="95"/>
  <c r="L48" i="95"/>
  <c r="N48" i="95" s="1"/>
  <c r="B48" i="95"/>
  <c r="T47" i="95"/>
  <c r="P47" i="95"/>
  <c r="X47" i="95" s="1"/>
  <c r="J47" i="95"/>
  <c r="H47" i="95"/>
  <c r="D47" i="95"/>
  <c r="B47" i="95"/>
  <c r="Z46" i="95"/>
  <c r="X46" i="95"/>
  <c r="N46" i="95"/>
  <c r="L46" i="95"/>
  <c r="B46" i="95"/>
  <c r="Z45" i="95"/>
  <c r="X45" i="95"/>
  <c r="N45" i="95"/>
  <c r="L45" i="95"/>
  <c r="B45" i="95"/>
  <c r="Z44" i="95"/>
  <c r="X44" i="95"/>
  <c r="N44" i="95"/>
  <c r="L44" i="95"/>
  <c r="B44" i="95"/>
  <c r="X43" i="95"/>
  <c r="Z43" i="95" s="1"/>
  <c r="R43" i="95"/>
  <c r="N43" i="95"/>
  <c r="L43" i="95"/>
  <c r="B43" i="95"/>
  <c r="Z42" i="95"/>
  <c r="X42" i="95"/>
  <c r="N42" i="95"/>
  <c r="L42" i="95"/>
  <c r="F42" i="95"/>
  <c r="B42" i="95"/>
  <c r="Z41" i="95"/>
  <c r="X41" i="95"/>
  <c r="N41" i="95"/>
  <c r="L41" i="95"/>
  <c r="B41" i="95"/>
  <c r="X40" i="95"/>
  <c r="Z40" i="95" s="1"/>
  <c r="N40" i="95"/>
  <c r="L40" i="95"/>
  <c r="B40" i="95"/>
  <c r="Z39" i="95"/>
  <c r="X39" i="95"/>
  <c r="N39" i="95"/>
  <c r="L39" i="95"/>
  <c r="B39" i="95"/>
  <c r="X38" i="95"/>
  <c r="Z38" i="95" s="1"/>
  <c r="N38" i="95"/>
  <c r="L38" i="95"/>
  <c r="B38" i="95"/>
  <c r="Z37" i="95"/>
  <c r="X37" i="95"/>
  <c r="N37" i="95"/>
  <c r="L37" i="95"/>
  <c r="B37" i="95"/>
  <c r="Z36" i="95"/>
  <c r="X36" i="95"/>
  <c r="T36" i="95"/>
  <c r="P36" i="95"/>
  <c r="H36" i="95"/>
  <c r="D36" i="95"/>
  <c r="B36" i="95"/>
  <c r="Z35" i="95"/>
  <c r="X35" i="95"/>
  <c r="N35" i="95"/>
  <c r="L35" i="95"/>
  <c r="B35" i="95"/>
  <c r="Z34" i="95"/>
  <c r="X34" i="95"/>
  <c r="N34" i="95"/>
  <c r="L34" i="95"/>
  <c r="B34" i="95"/>
  <c r="X33" i="95"/>
  <c r="Z33" i="95" s="1"/>
  <c r="L33" i="95"/>
  <c r="N33" i="95" s="1"/>
  <c r="J33" i="95"/>
  <c r="F33" i="95"/>
  <c r="B33" i="95"/>
  <c r="Z32" i="95"/>
  <c r="X32" i="95"/>
  <c r="N32" i="95"/>
  <c r="L32" i="95"/>
  <c r="B32" i="95"/>
  <c r="Z31" i="95"/>
  <c r="X31" i="95"/>
  <c r="L31" i="95"/>
  <c r="N31" i="95" s="1"/>
  <c r="B31" i="95"/>
  <c r="Z30" i="95"/>
  <c r="X30" i="95"/>
  <c r="N30" i="95"/>
  <c r="L30" i="95"/>
  <c r="B30" i="95"/>
  <c r="X29" i="95"/>
  <c r="Z29" i="95" s="1"/>
  <c r="L29" i="95"/>
  <c r="N29" i="95" s="1"/>
  <c r="F29" i="95"/>
  <c r="B29" i="95"/>
  <c r="Z28" i="95"/>
  <c r="X28" i="95"/>
  <c r="N28" i="95"/>
  <c r="L28" i="95"/>
  <c r="B28" i="95"/>
  <c r="X27" i="95"/>
  <c r="Z27" i="95" s="1"/>
  <c r="L27" i="95"/>
  <c r="N27" i="95" s="1"/>
  <c r="B27" i="95"/>
  <c r="T26" i="95"/>
  <c r="P26" i="95"/>
  <c r="X26" i="95" s="1"/>
  <c r="H26" i="95"/>
  <c r="D26" i="95"/>
  <c r="L26" i="95" s="1"/>
  <c r="N26" i="95" s="1"/>
  <c r="B26" i="95"/>
  <c r="T25" i="95"/>
  <c r="P25" i="95"/>
  <c r="H25" i="95"/>
  <c r="N25" i="95" s="1"/>
  <c r="D25" i="95"/>
  <c r="L25" i="95" s="1"/>
  <c r="V23" i="95"/>
  <c r="T23" i="95"/>
  <c r="H23" i="95"/>
  <c r="Z21" i="95"/>
  <c r="X21" i="95"/>
  <c r="V21" i="95"/>
  <c r="N21" i="95"/>
  <c r="L21" i="95"/>
  <c r="B21" i="95"/>
  <c r="Z20" i="95"/>
  <c r="X20" i="95"/>
  <c r="V20" i="95"/>
  <c r="N20" i="95"/>
  <c r="L20" i="95"/>
  <c r="B20" i="95"/>
  <c r="X19" i="95"/>
  <c r="Z19" i="95" s="1"/>
  <c r="L19" i="95"/>
  <c r="N19" i="95" s="1"/>
  <c r="F19" i="95"/>
  <c r="B19" i="95"/>
  <c r="T18" i="95"/>
  <c r="P18" i="95"/>
  <c r="X18" i="95" s="1"/>
  <c r="Z18" i="95" s="1"/>
  <c r="N18" i="95"/>
  <c r="H18" i="95"/>
  <c r="D18" i="95"/>
  <c r="L18" i="95" s="1"/>
  <c r="Z16" i="95"/>
  <c r="P16" i="95"/>
  <c r="X16" i="95" s="1"/>
  <c r="N16" i="95"/>
  <c r="D16" i="95"/>
  <c r="L16" i="95" s="1"/>
  <c r="B16" i="95"/>
  <c r="X15" i="95"/>
  <c r="Z15" i="95" s="1"/>
  <c r="P15" i="95"/>
  <c r="N15" i="95"/>
  <c r="L15" i="95"/>
  <c r="D15" i="95"/>
  <c r="B15" i="95"/>
  <c r="Z14" i="95"/>
  <c r="P14" i="95"/>
  <c r="X14" i="95" s="1"/>
  <c r="N14" i="95"/>
  <c r="L14" i="95"/>
  <c r="D14" i="95"/>
  <c r="B14" i="95"/>
  <c r="X13" i="95"/>
  <c r="Z13" i="95" s="1"/>
  <c r="P13" i="95"/>
  <c r="P12" i="95" s="1"/>
  <c r="R62" i="95" s="1"/>
  <c r="N13" i="95"/>
  <c r="D13" i="95"/>
  <c r="L13" i="95" s="1"/>
  <c r="B13" i="95"/>
  <c r="T12" i="95"/>
  <c r="V40" i="95" s="1"/>
  <c r="H12" i="95"/>
  <c r="J48" i="95" s="1"/>
  <c r="D12" i="95"/>
  <c r="F67" i="95" s="1"/>
  <c r="D6" i="95"/>
  <c r="D4" i="95"/>
  <c r="Z73" i="94"/>
  <c r="X73" i="94"/>
  <c r="N73" i="94"/>
  <c r="L73" i="94"/>
  <c r="J73" i="94"/>
  <c r="Z69" i="94"/>
  <c r="X69" i="94"/>
  <c r="T69" i="94"/>
  <c r="P69" i="94"/>
  <c r="J69" i="94"/>
  <c r="H69" i="94"/>
  <c r="N69" i="94" s="1"/>
  <c r="D69" i="94"/>
  <c r="X67" i="94"/>
  <c r="Z67" i="94" s="1"/>
  <c r="N67" i="94"/>
  <c r="L67" i="94"/>
  <c r="B67" i="94"/>
  <c r="X66" i="94"/>
  <c r="Z66" i="94" s="1"/>
  <c r="L66" i="94"/>
  <c r="N66" i="94" s="1"/>
  <c r="B66" i="94"/>
  <c r="T65" i="94"/>
  <c r="P65" i="94"/>
  <c r="L65" i="94"/>
  <c r="N65" i="94" s="1"/>
  <c r="H65" i="94"/>
  <c r="D65" i="94"/>
  <c r="B65" i="94"/>
  <c r="X64" i="94"/>
  <c r="Z64" i="94" s="1"/>
  <c r="L64" i="94"/>
  <c r="N64" i="94" s="1"/>
  <c r="B64" i="94"/>
  <c r="Z63" i="94"/>
  <c r="X63" i="94"/>
  <c r="N63" i="94"/>
  <c r="L63" i="94"/>
  <c r="J63" i="94"/>
  <c r="B63" i="94"/>
  <c r="X62" i="94"/>
  <c r="Z62" i="94" s="1"/>
  <c r="L62" i="94"/>
  <c r="N62" i="94" s="1"/>
  <c r="B62" i="94"/>
  <c r="T61" i="94"/>
  <c r="P61" i="94"/>
  <c r="X61" i="94" s="1"/>
  <c r="H61" i="94"/>
  <c r="D61" i="94"/>
  <c r="L61" i="94" s="1"/>
  <c r="N61" i="94" s="1"/>
  <c r="B61" i="94"/>
  <c r="X60" i="94"/>
  <c r="Z60" i="94" s="1"/>
  <c r="L60" i="94"/>
  <c r="N60" i="94" s="1"/>
  <c r="B60" i="94"/>
  <c r="X59" i="94"/>
  <c r="Z59" i="94" s="1"/>
  <c r="T59" i="94"/>
  <c r="P59" i="94"/>
  <c r="N59" i="94"/>
  <c r="H59" i="94"/>
  <c r="D59" i="94"/>
  <c r="L59" i="94" s="1"/>
  <c r="B59" i="94"/>
  <c r="Z58" i="94"/>
  <c r="X58" i="94"/>
  <c r="N58" i="94"/>
  <c r="L58" i="94"/>
  <c r="B58" i="94"/>
  <c r="T57" i="94"/>
  <c r="P57" i="94"/>
  <c r="N57" i="94"/>
  <c r="L57" i="94"/>
  <c r="J57" i="94"/>
  <c r="H57" i="94"/>
  <c r="D57" i="94"/>
  <c r="B57" i="94"/>
  <c r="Z56" i="94"/>
  <c r="X56" i="94"/>
  <c r="N56" i="94"/>
  <c r="L56" i="94"/>
  <c r="J56" i="94"/>
  <c r="B56" i="94"/>
  <c r="Z55" i="94"/>
  <c r="T55" i="94"/>
  <c r="P55" i="94"/>
  <c r="X55" i="94" s="1"/>
  <c r="H55" i="94"/>
  <c r="N55" i="94" s="1"/>
  <c r="D55" i="94"/>
  <c r="B55" i="94"/>
  <c r="X54" i="94"/>
  <c r="Z54" i="94" s="1"/>
  <c r="N54" i="94"/>
  <c r="L54" i="94"/>
  <c r="B54" i="94"/>
  <c r="Z53" i="94"/>
  <c r="T53" i="94"/>
  <c r="P53" i="94"/>
  <c r="X53" i="94" s="1"/>
  <c r="L53" i="94"/>
  <c r="N53" i="94" s="1"/>
  <c r="J53" i="94"/>
  <c r="H53" i="94"/>
  <c r="D53" i="94"/>
  <c r="B53" i="94"/>
  <c r="X52" i="94"/>
  <c r="Z52" i="94" s="1"/>
  <c r="L52" i="94"/>
  <c r="N52" i="94" s="1"/>
  <c r="B52" i="94"/>
  <c r="X51" i="94"/>
  <c r="Z51" i="94" s="1"/>
  <c r="T51" i="94"/>
  <c r="P51" i="94"/>
  <c r="H51" i="94"/>
  <c r="D51" i="94"/>
  <c r="B51" i="94"/>
  <c r="X50" i="94"/>
  <c r="Z50" i="94" s="1"/>
  <c r="L50" i="94"/>
  <c r="N50" i="94" s="1"/>
  <c r="B50" i="94"/>
  <c r="T49" i="94"/>
  <c r="P49" i="94"/>
  <c r="H49" i="94"/>
  <c r="D49" i="94"/>
  <c r="L49" i="94" s="1"/>
  <c r="N49" i="94" s="1"/>
  <c r="B49" i="94"/>
  <c r="X48" i="94"/>
  <c r="Z48" i="94" s="1"/>
  <c r="L48" i="94"/>
  <c r="N48" i="94" s="1"/>
  <c r="B48" i="94"/>
  <c r="T47" i="94"/>
  <c r="P47" i="94"/>
  <c r="X47" i="94" s="1"/>
  <c r="Z47" i="94" s="1"/>
  <c r="N47" i="94"/>
  <c r="J47" i="94"/>
  <c r="H47" i="94"/>
  <c r="D47" i="94"/>
  <c r="L47" i="94" s="1"/>
  <c r="B47" i="94"/>
  <c r="Z46" i="94"/>
  <c r="X46" i="94"/>
  <c r="N46" i="94"/>
  <c r="L46" i="94"/>
  <c r="B46" i="94"/>
  <c r="Z45" i="94"/>
  <c r="X45" i="94"/>
  <c r="N45" i="94"/>
  <c r="L45" i="94"/>
  <c r="J45" i="94"/>
  <c r="B45" i="94"/>
  <c r="Z44" i="94"/>
  <c r="X44" i="94"/>
  <c r="N44" i="94"/>
  <c r="L44" i="94"/>
  <c r="J44" i="94"/>
  <c r="B44" i="94"/>
  <c r="X43" i="94"/>
  <c r="Z43" i="94" s="1"/>
  <c r="N43" i="94"/>
  <c r="L43" i="94"/>
  <c r="B43" i="94"/>
  <c r="Z42" i="94"/>
  <c r="X42" i="94"/>
  <c r="N42" i="94"/>
  <c r="L42" i="94"/>
  <c r="B42" i="94"/>
  <c r="Z41" i="94"/>
  <c r="X41" i="94"/>
  <c r="N41" i="94"/>
  <c r="L41" i="94"/>
  <c r="J41" i="94"/>
  <c r="B41" i="94"/>
  <c r="X40" i="94"/>
  <c r="Z40" i="94" s="1"/>
  <c r="L40" i="94"/>
  <c r="N40" i="94" s="1"/>
  <c r="J40" i="94"/>
  <c r="B40" i="94"/>
  <c r="Z39" i="94"/>
  <c r="X39" i="94"/>
  <c r="N39" i="94"/>
  <c r="L39" i="94"/>
  <c r="B39" i="94"/>
  <c r="X38" i="94"/>
  <c r="Z38" i="94" s="1"/>
  <c r="L38" i="94"/>
  <c r="N38" i="94" s="1"/>
  <c r="B38" i="94"/>
  <c r="Z37" i="94"/>
  <c r="X37" i="94"/>
  <c r="V37" i="94"/>
  <c r="N37" i="94"/>
  <c r="L37" i="94"/>
  <c r="J37" i="94"/>
  <c r="B37" i="94"/>
  <c r="T36" i="94"/>
  <c r="P36" i="94"/>
  <c r="X36" i="94" s="1"/>
  <c r="Z36" i="94" s="1"/>
  <c r="N36" i="94"/>
  <c r="L36" i="94"/>
  <c r="H36" i="94"/>
  <c r="D36" i="94"/>
  <c r="B36" i="94"/>
  <c r="Z35" i="94"/>
  <c r="X35" i="94"/>
  <c r="N35" i="94"/>
  <c r="L35" i="94"/>
  <c r="J35" i="94"/>
  <c r="B35" i="94"/>
  <c r="Z34" i="94"/>
  <c r="X34" i="94"/>
  <c r="L34" i="94"/>
  <c r="N34" i="94" s="1"/>
  <c r="J34" i="94"/>
  <c r="B34" i="94"/>
  <c r="Z33" i="94"/>
  <c r="X33" i="94"/>
  <c r="V33" i="94"/>
  <c r="N33" i="94"/>
  <c r="L33" i="94"/>
  <c r="B33" i="94"/>
  <c r="Z32" i="94"/>
  <c r="X32" i="94"/>
  <c r="N32" i="94"/>
  <c r="L32" i="94"/>
  <c r="J32" i="94"/>
  <c r="B32" i="94"/>
  <c r="Z31" i="94"/>
  <c r="X31" i="94"/>
  <c r="L31" i="94"/>
  <c r="N31" i="94" s="1"/>
  <c r="B31" i="94"/>
  <c r="X30" i="94"/>
  <c r="Z30" i="94" s="1"/>
  <c r="V30" i="94"/>
  <c r="L30" i="94"/>
  <c r="N30" i="94" s="1"/>
  <c r="B30" i="94"/>
  <c r="Z29" i="94"/>
  <c r="X29" i="94"/>
  <c r="L29" i="94"/>
  <c r="N29" i="94" s="1"/>
  <c r="J29" i="94"/>
  <c r="B29" i="94"/>
  <c r="Z28" i="94"/>
  <c r="X28" i="94"/>
  <c r="L28" i="94"/>
  <c r="N28" i="94" s="1"/>
  <c r="J28" i="94"/>
  <c r="B28" i="94"/>
  <c r="Z27" i="94"/>
  <c r="X27" i="94"/>
  <c r="L27" i="94"/>
  <c r="N27" i="94" s="1"/>
  <c r="B27" i="94"/>
  <c r="X26" i="94"/>
  <c r="Z26" i="94" s="1"/>
  <c r="T26" i="94"/>
  <c r="P26" i="94"/>
  <c r="H26" i="94"/>
  <c r="D26" i="94"/>
  <c r="L26" i="94" s="1"/>
  <c r="B26" i="94"/>
  <c r="X25" i="94"/>
  <c r="Z25" i="94" s="1"/>
  <c r="T25" i="94"/>
  <c r="P25" i="94"/>
  <c r="J25" i="94"/>
  <c r="H25" i="94"/>
  <c r="D25" i="94"/>
  <c r="L25" i="94" s="1"/>
  <c r="N25" i="94" s="1"/>
  <c r="Z21" i="94"/>
  <c r="X21" i="94"/>
  <c r="V21" i="94"/>
  <c r="N21" i="94"/>
  <c r="L21" i="94"/>
  <c r="B21" i="94"/>
  <c r="Z20" i="94"/>
  <c r="X20" i="94"/>
  <c r="N20" i="94"/>
  <c r="L20" i="94"/>
  <c r="B20" i="94"/>
  <c r="Z19" i="94"/>
  <c r="X19" i="94"/>
  <c r="L19" i="94"/>
  <c r="N19" i="94" s="1"/>
  <c r="B19" i="94"/>
  <c r="T18" i="94"/>
  <c r="P18" i="94"/>
  <c r="H18" i="94"/>
  <c r="D18" i="94"/>
  <c r="L18" i="94" s="1"/>
  <c r="Z16" i="94"/>
  <c r="X16" i="94"/>
  <c r="P16" i="94"/>
  <c r="N16" i="94"/>
  <c r="L16" i="94"/>
  <c r="D16" i="94"/>
  <c r="B16" i="94"/>
  <c r="P15" i="94"/>
  <c r="X15" i="94" s="1"/>
  <c r="Z15" i="94" s="1"/>
  <c r="L15" i="94"/>
  <c r="N15" i="94" s="1"/>
  <c r="D15" i="94"/>
  <c r="B15" i="94"/>
  <c r="Z14" i="94"/>
  <c r="P14" i="94"/>
  <c r="X14" i="94" s="1"/>
  <c r="N14" i="94"/>
  <c r="L14" i="94"/>
  <c r="D14" i="94"/>
  <c r="B14" i="94"/>
  <c r="P13" i="94"/>
  <c r="X13" i="94" s="1"/>
  <c r="Z13" i="94" s="1"/>
  <c r="D13" i="94"/>
  <c r="D12" i="94" s="1"/>
  <c r="F41" i="94" s="1"/>
  <c r="B13" i="94"/>
  <c r="T12" i="94"/>
  <c r="P12" i="94"/>
  <c r="H12" i="94"/>
  <c r="D6" i="94"/>
  <c r="D4" i="94"/>
  <c r="Z79" i="93"/>
  <c r="X79" i="93"/>
  <c r="L79" i="93"/>
  <c r="N79" i="93" s="1"/>
  <c r="X75" i="93"/>
  <c r="T75" i="93"/>
  <c r="Z75" i="93" s="1"/>
  <c r="P75" i="93"/>
  <c r="L75" i="93"/>
  <c r="J75" i="93"/>
  <c r="H75" i="93"/>
  <c r="N75" i="93" s="1"/>
  <c r="D75" i="93"/>
  <c r="Z73" i="93"/>
  <c r="X73" i="93"/>
  <c r="N73" i="93"/>
  <c r="L73" i="93"/>
  <c r="B73" i="93"/>
  <c r="Z72" i="93"/>
  <c r="T72" i="93"/>
  <c r="P72" i="93"/>
  <c r="X72" i="93" s="1"/>
  <c r="H72" i="93"/>
  <c r="N72" i="93" s="1"/>
  <c r="D72" i="93"/>
  <c r="L72" i="93" s="1"/>
  <c r="B72" i="93"/>
  <c r="Z71" i="93"/>
  <c r="X71" i="93"/>
  <c r="N71" i="93"/>
  <c r="L71" i="93"/>
  <c r="J71" i="93"/>
  <c r="B71" i="93"/>
  <c r="X70" i="93"/>
  <c r="Z70" i="93" s="1"/>
  <c r="V70" i="93"/>
  <c r="L70" i="93"/>
  <c r="N70" i="93" s="1"/>
  <c r="B70" i="93"/>
  <c r="Z69" i="93"/>
  <c r="X69" i="93"/>
  <c r="N69" i="93"/>
  <c r="L69" i="93"/>
  <c r="B69" i="93"/>
  <c r="X68" i="93"/>
  <c r="Z68" i="93" s="1"/>
  <c r="L68" i="93"/>
  <c r="N68" i="93" s="1"/>
  <c r="J68" i="93"/>
  <c r="B68" i="93"/>
  <c r="Z67" i="93"/>
  <c r="X67" i="93"/>
  <c r="N67" i="93"/>
  <c r="L67" i="93"/>
  <c r="J67" i="93"/>
  <c r="B67" i="93"/>
  <c r="Z66" i="93"/>
  <c r="X66" i="93"/>
  <c r="V66" i="93"/>
  <c r="L66" i="93"/>
  <c r="N66" i="93" s="1"/>
  <c r="B66" i="93"/>
  <c r="T65" i="93"/>
  <c r="P65" i="93"/>
  <c r="X65" i="93" s="1"/>
  <c r="H65" i="93"/>
  <c r="N65" i="93" s="1"/>
  <c r="D65" i="93"/>
  <c r="L65" i="93" s="1"/>
  <c r="B65" i="93"/>
  <c r="X64" i="93"/>
  <c r="Z64" i="93" s="1"/>
  <c r="V64" i="93"/>
  <c r="N64" i="93"/>
  <c r="L64" i="93"/>
  <c r="B64" i="93"/>
  <c r="Z63" i="93"/>
  <c r="X63" i="93"/>
  <c r="L63" i="93"/>
  <c r="N63" i="93" s="1"/>
  <c r="J63" i="93"/>
  <c r="B63" i="93"/>
  <c r="T62" i="93"/>
  <c r="P62" i="93"/>
  <c r="X62" i="93" s="1"/>
  <c r="H62" i="93"/>
  <c r="D62" i="93"/>
  <c r="B62" i="93"/>
  <c r="X61" i="93"/>
  <c r="Z61" i="93" s="1"/>
  <c r="N61" i="93"/>
  <c r="L61" i="93"/>
  <c r="B61" i="93"/>
  <c r="T60" i="93"/>
  <c r="P60" i="93"/>
  <c r="X60" i="93" s="1"/>
  <c r="Z60" i="93" s="1"/>
  <c r="H60" i="93"/>
  <c r="N60" i="93" s="1"/>
  <c r="D60" i="93"/>
  <c r="L60" i="93" s="1"/>
  <c r="B60" i="93"/>
  <c r="Z59" i="93"/>
  <c r="X59" i="93"/>
  <c r="N59" i="93"/>
  <c r="L59" i="93"/>
  <c r="J59" i="93"/>
  <c r="B59" i="93"/>
  <c r="Z58" i="93"/>
  <c r="X58" i="93"/>
  <c r="V58" i="93"/>
  <c r="T58" i="93"/>
  <c r="P58" i="93"/>
  <c r="H58" i="93"/>
  <c r="D58" i="93"/>
  <c r="B58" i="93"/>
  <c r="Z57" i="93"/>
  <c r="X57" i="93"/>
  <c r="L57" i="93"/>
  <c r="N57" i="93" s="1"/>
  <c r="J57" i="93"/>
  <c r="B57" i="93"/>
  <c r="T56" i="93"/>
  <c r="P56" i="93"/>
  <c r="H56" i="93"/>
  <c r="D56" i="93"/>
  <c r="L56" i="93" s="1"/>
  <c r="B56" i="93"/>
  <c r="Z55" i="93"/>
  <c r="X55" i="93"/>
  <c r="V55" i="93"/>
  <c r="N55" i="93"/>
  <c r="L55" i="93"/>
  <c r="B55" i="93"/>
  <c r="T54" i="93"/>
  <c r="Z54" i="93" s="1"/>
  <c r="P54" i="93"/>
  <c r="X54" i="93" s="1"/>
  <c r="N54" i="93"/>
  <c r="H54" i="93"/>
  <c r="D54" i="93"/>
  <c r="L54" i="93" s="1"/>
  <c r="B54" i="93"/>
  <c r="Z53" i="93"/>
  <c r="X53" i="93"/>
  <c r="L53" i="93"/>
  <c r="N53" i="93" s="1"/>
  <c r="B53" i="93"/>
  <c r="T52" i="93"/>
  <c r="P52" i="93"/>
  <c r="L52" i="93"/>
  <c r="N52" i="93" s="1"/>
  <c r="J52" i="93"/>
  <c r="H52" i="93"/>
  <c r="D52" i="93"/>
  <c r="B52" i="93"/>
  <c r="Z51" i="93"/>
  <c r="X51" i="93"/>
  <c r="V51" i="93"/>
  <c r="L51" i="93"/>
  <c r="N51" i="93" s="1"/>
  <c r="J51" i="93"/>
  <c r="B51" i="93"/>
  <c r="T50" i="93"/>
  <c r="Z50" i="93" s="1"/>
  <c r="P50" i="93"/>
  <c r="X50" i="93" s="1"/>
  <c r="J50" i="93"/>
  <c r="H50" i="93"/>
  <c r="D50" i="93"/>
  <c r="B50" i="93"/>
  <c r="X49" i="93"/>
  <c r="Z49" i="93" s="1"/>
  <c r="N49" i="93"/>
  <c r="L49" i="93"/>
  <c r="B49" i="93"/>
  <c r="Z48" i="93"/>
  <c r="T48" i="93"/>
  <c r="P48" i="93"/>
  <c r="X48" i="93" s="1"/>
  <c r="H48" i="93"/>
  <c r="D48" i="93"/>
  <c r="L48" i="93" s="1"/>
  <c r="B48" i="93"/>
  <c r="Z47" i="93"/>
  <c r="X47" i="93"/>
  <c r="N47" i="93"/>
  <c r="L47" i="93"/>
  <c r="J47" i="93"/>
  <c r="B47" i="93"/>
  <c r="Z46" i="93"/>
  <c r="X46" i="93"/>
  <c r="V46" i="93"/>
  <c r="T46" i="93"/>
  <c r="P46" i="93"/>
  <c r="H46" i="93"/>
  <c r="D46" i="93"/>
  <c r="B46" i="93"/>
  <c r="Z45" i="93"/>
  <c r="X45" i="93"/>
  <c r="N45" i="93"/>
  <c r="L45" i="93"/>
  <c r="J45" i="93"/>
  <c r="B45" i="93"/>
  <c r="Z44" i="93"/>
  <c r="X44" i="93"/>
  <c r="V44" i="93"/>
  <c r="N44" i="93"/>
  <c r="L44" i="93"/>
  <c r="B44" i="93"/>
  <c r="Z43" i="93"/>
  <c r="X43" i="93"/>
  <c r="V43" i="93"/>
  <c r="N43" i="93"/>
  <c r="L43" i="93"/>
  <c r="J43" i="93"/>
  <c r="B43" i="93"/>
  <c r="Z42" i="93"/>
  <c r="X42" i="93"/>
  <c r="N42" i="93"/>
  <c r="L42" i="93"/>
  <c r="B42" i="93"/>
  <c r="Z41" i="93"/>
  <c r="X41" i="93"/>
  <c r="N41" i="93"/>
  <c r="L41" i="93"/>
  <c r="J41" i="93"/>
  <c r="B41" i="93"/>
  <c r="Z40" i="93"/>
  <c r="X40" i="93"/>
  <c r="V40" i="93"/>
  <c r="N40" i="93"/>
  <c r="L40" i="93"/>
  <c r="B40" i="93"/>
  <c r="Z39" i="93"/>
  <c r="X39" i="93"/>
  <c r="V39" i="93"/>
  <c r="L39" i="93"/>
  <c r="N39" i="93" s="1"/>
  <c r="J39" i="93"/>
  <c r="B39" i="93"/>
  <c r="Z38" i="93"/>
  <c r="X38" i="93"/>
  <c r="N38" i="93"/>
  <c r="L38" i="93"/>
  <c r="B38" i="93"/>
  <c r="Z37" i="93"/>
  <c r="X37" i="93"/>
  <c r="L37" i="93"/>
  <c r="N37" i="93" s="1"/>
  <c r="J37" i="93"/>
  <c r="B37" i="93"/>
  <c r="Z36" i="93"/>
  <c r="X36" i="93"/>
  <c r="V36" i="93"/>
  <c r="N36" i="93"/>
  <c r="L36" i="93"/>
  <c r="B36" i="93"/>
  <c r="V35" i="93"/>
  <c r="T35" i="93"/>
  <c r="P35" i="93"/>
  <c r="X35" i="93" s="1"/>
  <c r="Z35" i="93" s="1"/>
  <c r="N35" i="93"/>
  <c r="L35" i="93"/>
  <c r="H35" i="93"/>
  <c r="D35" i="93"/>
  <c r="B35" i="93"/>
  <c r="Z34" i="93"/>
  <c r="X34" i="93"/>
  <c r="N34" i="93"/>
  <c r="L34" i="93"/>
  <c r="J34" i="93"/>
  <c r="B34" i="93"/>
  <c r="X33" i="93"/>
  <c r="Z33" i="93" s="1"/>
  <c r="V33" i="93"/>
  <c r="N33" i="93"/>
  <c r="L33" i="93"/>
  <c r="B33" i="93"/>
  <c r="Z32" i="93"/>
  <c r="X32" i="93"/>
  <c r="L32" i="93"/>
  <c r="N32" i="93" s="1"/>
  <c r="B32" i="93"/>
  <c r="Z31" i="93"/>
  <c r="X31" i="93"/>
  <c r="V31" i="93"/>
  <c r="N31" i="93"/>
  <c r="L31" i="93"/>
  <c r="B31" i="93"/>
  <c r="X30" i="93"/>
  <c r="Z30" i="93" s="1"/>
  <c r="N30" i="93"/>
  <c r="L30" i="93"/>
  <c r="J30" i="93"/>
  <c r="B30" i="93"/>
  <c r="X29" i="93"/>
  <c r="Z29" i="93" s="1"/>
  <c r="V29" i="93"/>
  <c r="N29" i="93"/>
  <c r="L29" i="93"/>
  <c r="J29" i="93"/>
  <c r="B29" i="93"/>
  <c r="Z28" i="93"/>
  <c r="X28" i="93"/>
  <c r="L28" i="93"/>
  <c r="N28" i="93" s="1"/>
  <c r="B28" i="93"/>
  <c r="X27" i="93"/>
  <c r="Z27" i="93" s="1"/>
  <c r="V27" i="93"/>
  <c r="N27" i="93"/>
  <c r="L27" i="93"/>
  <c r="B27" i="93"/>
  <c r="X26" i="93"/>
  <c r="Z26" i="93" s="1"/>
  <c r="L26" i="93"/>
  <c r="N26" i="93" s="1"/>
  <c r="J26" i="93"/>
  <c r="B26" i="93"/>
  <c r="X25" i="93"/>
  <c r="V25" i="93"/>
  <c r="T25" i="93"/>
  <c r="Z25" i="93" s="1"/>
  <c r="P25" i="93"/>
  <c r="H25" i="93"/>
  <c r="D25" i="93"/>
  <c r="B25" i="93"/>
  <c r="T24" i="93"/>
  <c r="P24" i="93"/>
  <c r="N24" i="93"/>
  <c r="L24" i="93"/>
  <c r="J24" i="93"/>
  <c r="H24" i="93"/>
  <c r="D24" i="93"/>
  <c r="T22" i="93"/>
  <c r="Z20" i="93"/>
  <c r="X20" i="93"/>
  <c r="N20" i="93"/>
  <c r="L20" i="93"/>
  <c r="J20" i="93"/>
  <c r="B20" i="93"/>
  <c r="Z19" i="93"/>
  <c r="X19" i="93"/>
  <c r="N19" i="93"/>
  <c r="L19" i="93"/>
  <c r="J19" i="93"/>
  <c r="B19" i="93"/>
  <c r="Z18" i="93"/>
  <c r="X18" i="93"/>
  <c r="V18" i="93"/>
  <c r="T18" i="93"/>
  <c r="P18" i="93"/>
  <c r="H18" i="93"/>
  <c r="D18" i="93"/>
  <c r="Z16" i="93"/>
  <c r="P16" i="93"/>
  <c r="X16" i="93" s="1"/>
  <c r="N16" i="93"/>
  <c r="D16" i="93"/>
  <c r="L16" i="93" s="1"/>
  <c r="B16" i="93"/>
  <c r="Z15" i="93"/>
  <c r="P15" i="93"/>
  <c r="X15" i="93" s="1"/>
  <c r="D15" i="93"/>
  <c r="L15" i="93" s="1"/>
  <c r="N15" i="93" s="1"/>
  <c r="B15" i="93"/>
  <c r="Z14" i="93"/>
  <c r="X14" i="93"/>
  <c r="P14" i="93"/>
  <c r="N14" i="93"/>
  <c r="D14" i="93"/>
  <c r="L14" i="93" s="1"/>
  <c r="B14" i="93"/>
  <c r="Z13" i="93"/>
  <c r="P13" i="93"/>
  <c r="X13" i="93" s="1"/>
  <c r="D13" i="93"/>
  <c r="B13" i="93"/>
  <c r="T12" i="93"/>
  <c r="V57" i="93" s="1"/>
  <c r="H12" i="93"/>
  <c r="J79" i="93" s="1"/>
  <c r="D6" i="93"/>
  <c r="D4" i="93"/>
  <c r="Z88" i="92"/>
  <c r="X88" i="92"/>
  <c r="N88" i="92"/>
  <c r="L88" i="92"/>
  <c r="J86" i="92"/>
  <c r="Z84" i="92"/>
  <c r="P84" i="92"/>
  <c r="X84" i="92" s="1"/>
  <c r="N84" i="92"/>
  <c r="D84" i="92"/>
  <c r="B84" i="92"/>
  <c r="Z83" i="92"/>
  <c r="P83" i="92"/>
  <c r="X83" i="92" s="1"/>
  <c r="N83" i="92"/>
  <c r="D83" i="92"/>
  <c r="L83" i="92" s="1"/>
  <c r="B83" i="92"/>
  <c r="T82" i="92"/>
  <c r="P82" i="92"/>
  <c r="X82" i="92" s="1"/>
  <c r="H82" i="92"/>
  <c r="X80" i="92"/>
  <c r="Z80" i="92" s="1"/>
  <c r="L80" i="92"/>
  <c r="N80" i="92" s="1"/>
  <c r="B80" i="92"/>
  <c r="X79" i="92"/>
  <c r="Z79" i="92" s="1"/>
  <c r="V79" i="92"/>
  <c r="T79" i="92"/>
  <c r="R79" i="92"/>
  <c r="P79" i="92"/>
  <c r="H79" i="92"/>
  <c r="L79" i="92" s="1"/>
  <c r="N79" i="92" s="1"/>
  <c r="D79" i="92"/>
  <c r="B79" i="92"/>
  <c r="Z78" i="92"/>
  <c r="X78" i="92"/>
  <c r="R78" i="92"/>
  <c r="N78" i="92"/>
  <c r="L78" i="92"/>
  <c r="B78" i="92"/>
  <c r="Z77" i="92"/>
  <c r="X77" i="92"/>
  <c r="N77" i="92"/>
  <c r="L77" i="92"/>
  <c r="B77" i="92"/>
  <c r="Z76" i="92"/>
  <c r="X76" i="92"/>
  <c r="N76" i="92"/>
  <c r="L76" i="92"/>
  <c r="B76" i="92"/>
  <c r="Z75" i="92"/>
  <c r="T75" i="92"/>
  <c r="R75" i="92"/>
  <c r="P75" i="92"/>
  <c r="X75" i="92" s="1"/>
  <c r="H75" i="92"/>
  <c r="N75" i="92" s="1"/>
  <c r="D75" i="92"/>
  <c r="B75" i="92"/>
  <c r="Z74" i="92"/>
  <c r="X74" i="92"/>
  <c r="N74" i="92"/>
  <c r="L74" i="92"/>
  <c r="B74" i="92"/>
  <c r="Z73" i="92"/>
  <c r="V73" i="92"/>
  <c r="T73" i="92"/>
  <c r="P73" i="92"/>
  <c r="X73" i="92" s="1"/>
  <c r="N73" i="92"/>
  <c r="H73" i="92"/>
  <c r="D73" i="92"/>
  <c r="L73" i="92" s="1"/>
  <c r="B73" i="92"/>
  <c r="X72" i="92"/>
  <c r="Z72" i="92" s="1"/>
  <c r="R72" i="92"/>
  <c r="L72" i="92"/>
  <c r="N72" i="92" s="1"/>
  <c r="B72" i="92"/>
  <c r="X71" i="92"/>
  <c r="Z71" i="92" s="1"/>
  <c r="T71" i="92"/>
  <c r="P71" i="92"/>
  <c r="H71" i="92"/>
  <c r="D71" i="92"/>
  <c r="B71" i="92"/>
  <c r="Z70" i="92"/>
  <c r="X70" i="92"/>
  <c r="N70" i="92"/>
  <c r="L70" i="92"/>
  <c r="B70" i="92"/>
  <c r="Z69" i="92"/>
  <c r="X69" i="92"/>
  <c r="N69" i="92"/>
  <c r="L69" i="92"/>
  <c r="B69" i="92"/>
  <c r="Z68" i="92"/>
  <c r="X68" i="92"/>
  <c r="V68" i="92"/>
  <c r="L68" i="92"/>
  <c r="N68" i="92" s="1"/>
  <c r="B68" i="92"/>
  <c r="Z67" i="92"/>
  <c r="X67" i="92"/>
  <c r="N67" i="92"/>
  <c r="L67" i="92"/>
  <c r="J67" i="92"/>
  <c r="B67" i="92"/>
  <c r="Z66" i="92"/>
  <c r="X66" i="92"/>
  <c r="L66" i="92"/>
  <c r="N66" i="92" s="1"/>
  <c r="B66" i="92"/>
  <c r="Z65" i="92"/>
  <c r="T65" i="92"/>
  <c r="R65" i="92"/>
  <c r="P65" i="92"/>
  <c r="X65" i="92" s="1"/>
  <c r="N65" i="92"/>
  <c r="H65" i="92"/>
  <c r="D65" i="92"/>
  <c r="L65" i="92" s="1"/>
  <c r="B65" i="92"/>
  <c r="X64" i="92"/>
  <c r="Z64" i="92" s="1"/>
  <c r="L64" i="92"/>
  <c r="N64" i="92" s="1"/>
  <c r="B64" i="92"/>
  <c r="Z63" i="92"/>
  <c r="X63" i="92"/>
  <c r="L63" i="92"/>
  <c r="N63" i="92" s="1"/>
  <c r="B63" i="92"/>
  <c r="X62" i="92"/>
  <c r="Z62" i="92" s="1"/>
  <c r="N62" i="92"/>
  <c r="L62" i="92"/>
  <c r="B62" i="92"/>
  <c r="Z61" i="92"/>
  <c r="X61" i="92"/>
  <c r="N61" i="92"/>
  <c r="L61" i="92"/>
  <c r="B61" i="92"/>
  <c r="X60" i="92"/>
  <c r="Z60" i="92" s="1"/>
  <c r="R60" i="92"/>
  <c r="L60" i="92"/>
  <c r="N60" i="92" s="1"/>
  <c r="B60" i="92"/>
  <c r="Z59" i="92"/>
  <c r="X59" i="92"/>
  <c r="T59" i="92"/>
  <c r="P59" i="92"/>
  <c r="N59" i="92"/>
  <c r="H59" i="92"/>
  <c r="D59" i="92"/>
  <c r="L59" i="92" s="1"/>
  <c r="B59" i="92"/>
  <c r="Z58" i="92"/>
  <c r="X58" i="92"/>
  <c r="L58" i="92"/>
  <c r="N58" i="92" s="1"/>
  <c r="B58" i="92"/>
  <c r="X57" i="92"/>
  <c r="Z57" i="92" s="1"/>
  <c r="N57" i="92"/>
  <c r="L57" i="92"/>
  <c r="B57" i="92"/>
  <c r="X56" i="92"/>
  <c r="Z56" i="92" s="1"/>
  <c r="N56" i="92"/>
  <c r="L56" i="92"/>
  <c r="J56" i="92"/>
  <c r="B56" i="92"/>
  <c r="X55" i="92"/>
  <c r="Z55" i="92" s="1"/>
  <c r="T55" i="92"/>
  <c r="P55" i="92"/>
  <c r="H55" i="92"/>
  <c r="D55" i="92"/>
  <c r="B55" i="92"/>
  <c r="Z54" i="92"/>
  <c r="X54" i="92"/>
  <c r="L54" i="92"/>
  <c r="N54" i="92" s="1"/>
  <c r="B54" i="92"/>
  <c r="V53" i="92"/>
  <c r="T53" i="92"/>
  <c r="P53" i="92"/>
  <c r="H53" i="92"/>
  <c r="D53" i="92"/>
  <c r="L53" i="92" s="1"/>
  <c r="N53" i="92" s="1"/>
  <c r="B53" i="92"/>
  <c r="X52" i="92"/>
  <c r="Z52" i="92" s="1"/>
  <c r="R52" i="92"/>
  <c r="L52" i="92"/>
  <c r="N52" i="92" s="1"/>
  <c r="B52" i="92"/>
  <c r="Z51" i="92"/>
  <c r="X51" i="92"/>
  <c r="T51" i="92"/>
  <c r="P51" i="92"/>
  <c r="N51" i="92"/>
  <c r="L51" i="92"/>
  <c r="J51" i="92"/>
  <c r="H51" i="92"/>
  <c r="D51" i="92"/>
  <c r="B51" i="92"/>
  <c r="X50" i="92"/>
  <c r="Z50" i="92" s="1"/>
  <c r="L50" i="92"/>
  <c r="N50" i="92" s="1"/>
  <c r="B50" i="92"/>
  <c r="T49" i="92"/>
  <c r="P49" i="92"/>
  <c r="X49" i="92" s="1"/>
  <c r="Z49" i="92" s="1"/>
  <c r="J49" i="92"/>
  <c r="H49" i="92"/>
  <c r="D49" i="92"/>
  <c r="L49" i="92" s="1"/>
  <c r="N49" i="92" s="1"/>
  <c r="B49" i="92"/>
  <c r="X48" i="92"/>
  <c r="Z48" i="92" s="1"/>
  <c r="L48" i="92"/>
  <c r="N48" i="92" s="1"/>
  <c r="B48" i="92"/>
  <c r="Z47" i="92"/>
  <c r="X47" i="92"/>
  <c r="T47" i="92"/>
  <c r="P47" i="92"/>
  <c r="L47" i="92"/>
  <c r="N47" i="92" s="1"/>
  <c r="H47" i="92"/>
  <c r="D47" i="92"/>
  <c r="B47" i="92"/>
  <c r="Z46" i="92"/>
  <c r="X46" i="92"/>
  <c r="L46" i="92"/>
  <c r="N46" i="92" s="1"/>
  <c r="B46" i="92"/>
  <c r="Z45" i="92"/>
  <c r="X45" i="92"/>
  <c r="V45" i="92"/>
  <c r="L45" i="92"/>
  <c r="N45" i="92" s="1"/>
  <c r="B45" i="92"/>
  <c r="X44" i="92"/>
  <c r="Z44" i="92" s="1"/>
  <c r="R44" i="92"/>
  <c r="L44" i="92"/>
  <c r="N44" i="92" s="1"/>
  <c r="B44" i="92"/>
  <c r="T43" i="92"/>
  <c r="P43" i="92"/>
  <c r="N43" i="92"/>
  <c r="L43" i="92"/>
  <c r="J43" i="92"/>
  <c r="H43" i="92"/>
  <c r="D43" i="92"/>
  <c r="B43" i="92"/>
  <c r="X42" i="92"/>
  <c r="Z42" i="92" s="1"/>
  <c r="L42" i="92"/>
  <c r="N42" i="92" s="1"/>
  <c r="F42" i="92"/>
  <c r="B42" i="92"/>
  <c r="T41" i="92"/>
  <c r="P41" i="92"/>
  <c r="X41" i="92" s="1"/>
  <c r="Z41" i="92" s="1"/>
  <c r="J41" i="92"/>
  <c r="H41" i="92"/>
  <c r="D41" i="92"/>
  <c r="L41" i="92" s="1"/>
  <c r="N41" i="92" s="1"/>
  <c r="B41" i="92"/>
  <c r="Z40" i="92"/>
  <c r="X40" i="92"/>
  <c r="N40" i="92"/>
  <c r="L40" i="92"/>
  <c r="B40" i="92"/>
  <c r="Z39" i="92"/>
  <c r="X39" i="92"/>
  <c r="N39" i="92"/>
  <c r="L39" i="92"/>
  <c r="B39" i="92"/>
  <c r="Z38" i="92"/>
  <c r="X38" i="92"/>
  <c r="R38" i="92"/>
  <c r="N38" i="92"/>
  <c r="L38" i="92"/>
  <c r="B38" i="92"/>
  <c r="X37" i="92"/>
  <c r="Z37" i="92" s="1"/>
  <c r="N37" i="92"/>
  <c r="L37" i="92"/>
  <c r="J37" i="92"/>
  <c r="B37" i="92"/>
  <c r="Z36" i="92"/>
  <c r="X36" i="92"/>
  <c r="N36" i="92"/>
  <c r="L36" i="92"/>
  <c r="F36" i="92"/>
  <c r="B36" i="92"/>
  <c r="Z35" i="92"/>
  <c r="X35" i="92"/>
  <c r="N35" i="92"/>
  <c r="L35" i="92"/>
  <c r="B35" i="92"/>
  <c r="X34" i="92"/>
  <c r="Z34" i="92" s="1"/>
  <c r="R34" i="92"/>
  <c r="N34" i="92"/>
  <c r="L34" i="92"/>
  <c r="B34" i="92"/>
  <c r="Z33" i="92"/>
  <c r="X33" i="92"/>
  <c r="N33" i="92"/>
  <c r="L33" i="92"/>
  <c r="J33" i="92"/>
  <c r="B33" i="92"/>
  <c r="X32" i="92"/>
  <c r="Z32" i="92" s="1"/>
  <c r="L32" i="92"/>
  <c r="N32" i="92" s="1"/>
  <c r="B32" i="92"/>
  <c r="Z31" i="92"/>
  <c r="X31" i="92"/>
  <c r="N31" i="92"/>
  <c r="L31" i="92"/>
  <c r="B31" i="92"/>
  <c r="X30" i="92"/>
  <c r="T30" i="92"/>
  <c r="P30" i="92"/>
  <c r="H30" i="92"/>
  <c r="D30" i="92"/>
  <c r="L30" i="92" s="1"/>
  <c r="N30" i="92" s="1"/>
  <c r="B30" i="92"/>
  <c r="Z29" i="92"/>
  <c r="X29" i="92"/>
  <c r="V29" i="92"/>
  <c r="N29" i="92"/>
  <c r="L29" i="92"/>
  <c r="B29" i="92"/>
  <c r="X28" i="92"/>
  <c r="Z28" i="92" s="1"/>
  <c r="R28" i="92"/>
  <c r="L28" i="92"/>
  <c r="N28" i="92" s="1"/>
  <c r="B28" i="92"/>
  <c r="Z27" i="92"/>
  <c r="X27" i="92"/>
  <c r="N27" i="92"/>
  <c r="L27" i="92"/>
  <c r="J27" i="92"/>
  <c r="B27" i="92"/>
  <c r="Z26" i="92"/>
  <c r="X26" i="92"/>
  <c r="N26" i="92"/>
  <c r="L26" i="92"/>
  <c r="B26" i="92"/>
  <c r="Z25" i="92"/>
  <c r="X25" i="92"/>
  <c r="V25" i="92"/>
  <c r="N25" i="92"/>
  <c r="L25" i="92"/>
  <c r="B25" i="92"/>
  <c r="X24" i="92"/>
  <c r="Z24" i="92" s="1"/>
  <c r="R24" i="92"/>
  <c r="L24" i="92"/>
  <c r="N24" i="92" s="1"/>
  <c r="B24" i="92"/>
  <c r="Z23" i="92"/>
  <c r="X23" i="92"/>
  <c r="N23" i="92"/>
  <c r="L23" i="92"/>
  <c r="J23" i="92"/>
  <c r="B23" i="92"/>
  <c r="Z22" i="92"/>
  <c r="X22" i="92"/>
  <c r="L22" i="92"/>
  <c r="N22" i="92" s="1"/>
  <c r="B22" i="92"/>
  <c r="Z21" i="92"/>
  <c r="X21" i="92"/>
  <c r="V21" i="92"/>
  <c r="L21" i="92"/>
  <c r="N21" i="92" s="1"/>
  <c r="B21" i="92"/>
  <c r="X20" i="92"/>
  <c r="Z20" i="92" s="1"/>
  <c r="R20" i="92"/>
  <c r="L20" i="92"/>
  <c r="N20" i="92" s="1"/>
  <c r="B20" i="92"/>
  <c r="T19" i="92"/>
  <c r="P19" i="92"/>
  <c r="X19" i="92" s="1"/>
  <c r="N19" i="92"/>
  <c r="L19" i="92"/>
  <c r="J19" i="92"/>
  <c r="H19" i="92"/>
  <c r="D19" i="92"/>
  <c r="B19" i="92"/>
  <c r="T18" i="92"/>
  <c r="P18" i="92"/>
  <c r="X18" i="92" s="1"/>
  <c r="L18" i="92"/>
  <c r="N18" i="92" s="1"/>
  <c r="H18" i="92"/>
  <c r="D18" i="92"/>
  <c r="P16" i="92"/>
  <c r="T14" i="92"/>
  <c r="Z14" i="92" s="1"/>
  <c r="P14" i="92"/>
  <c r="X14" i="92" s="1"/>
  <c r="N14" i="92"/>
  <c r="L14" i="92"/>
  <c r="H14" i="92"/>
  <c r="D14" i="92"/>
  <c r="T12" i="92"/>
  <c r="V75" i="92" s="1"/>
  <c r="P12" i="92"/>
  <c r="R90" i="92" s="1"/>
  <c r="H12" i="92"/>
  <c r="D12" i="92"/>
  <c r="D6" i="92"/>
  <c r="D4" i="92"/>
  <c r="Z75" i="89"/>
  <c r="X75" i="89"/>
  <c r="N75" i="89"/>
  <c r="L75" i="89"/>
  <c r="F75" i="89"/>
  <c r="D73" i="89"/>
  <c r="X71" i="89"/>
  <c r="T71" i="89"/>
  <c r="Z71" i="89" s="1"/>
  <c r="P71" i="89"/>
  <c r="H71" i="89"/>
  <c r="N71" i="89" s="1"/>
  <c r="D71" i="89"/>
  <c r="L71" i="89" s="1"/>
  <c r="X69" i="89"/>
  <c r="Z69" i="89" s="1"/>
  <c r="L69" i="89"/>
  <c r="N69" i="89" s="1"/>
  <c r="B69" i="89"/>
  <c r="Z68" i="89"/>
  <c r="T68" i="89"/>
  <c r="R68" i="89"/>
  <c r="P68" i="89"/>
  <c r="X68" i="89" s="1"/>
  <c r="H68" i="89"/>
  <c r="D68" i="89"/>
  <c r="L68" i="89" s="1"/>
  <c r="N68" i="89" s="1"/>
  <c r="B68" i="89"/>
  <c r="Z67" i="89"/>
  <c r="X67" i="89"/>
  <c r="R67" i="89"/>
  <c r="N67" i="89"/>
  <c r="L67" i="89"/>
  <c r="B67" i="89"/>
  <c r="X66" i="89"/>
  <c r="V66" i="89"/>
  <c r="T66" i="89"/>
  <c r="Z66" i="89" s="1"/>
  <c r="R66" i="89"/>
  <c r="P66" i="89"/>
  <c r="N66" i="89"/>
  <c r="L66" i="89"/>
  <c r="H66" i="89"/>
  <c r="D66" i="89"/>
  <c r="B66" i="89"/>
  <c r="X65" i="89"/>
  <c r="Z65" i="89" s="1"/>
  <c r="R65" i="89"/>
  <c r="L65" i="89"/>
  <c r="N65" i="89" s="1"/>
  <c r="B65" i="89"/>
  <c r="Z64" i="89"/>
  <c r="X64" i="89"/>
  <c r="N64" i="89"/>
  <c r="L64" i="89"/>
  <c r="B64" i="89"/>
  <c r="X63" i="89"/>
  <c r="T63" i="89"/>
  <c r="Z63" i="89" s="1"/>
  <c r="P63" i="89"/>
  <c r="H63" i="89"/>
  <c r="D63" i="89"/>
  <c r="L63" i="89" s="1"/>
  <c r="B63" i="89"/>
  <c r="Z62" i="89"/>
  <c r="X62" i="89"/>
  <c r="L62" i="89"/>
  <c r="N62" i="89" s="1"/>
  <c r="B62" i="89"/>
  <c r="X61" i="89"/>
  <c r="Z61" i="89" s="1"/>
  <c r="L61" i="89"/>
  <c r="N61" i="89" s="1"/>
  <c r="B61" i="89"/>
  <c r="Z60" i="89"/>
  <c r="X60" i="89"/>
  <c r="V60" i="89"/>
  <c r="N60" i="89"/>
  <c r="L60" i="89"/>
  <c r="B60" i="89"/>
  <c r="T59" i="89"/>
  <c r="P59" i="89"/>
  <c r="X59" i="89" s="1"/>
  <c r="L59" i="89"/>
  <c r="H59" i="89"/>
  <c r="N59" i="89" s="1"/>
  <c r="D59" i="89"/>
  <c r="B59" i="89"/>
  <c r="X58" i="89"/>
  <c r="Z58" i="89" s="1"/>
  <c r="N58" i="89"/>
  <c r="L58" i="89"/>
  <c r="B58" i="89"/>
  <c r="X57" i="89"/>
  <c r="Z57" i="89" s="1"/>
  <c r="L57" i="89"/>
  <c r="N57" i="89" s="1"/>
  <c r="F57" i="89"/>
  <c r="B57" i="89"/>
  <c r="Z56" i="89"/>
  <c r="X56" i="89"/>
  <c r="N56" i="89"/>
  <c r="L56" i="89"/>
  <c r="B56" i="89"/>
  <c r="T55" i="89"/>
  <c r="P55" i="89"/>
  <c r="H55" i="89"/>
  <c r="D55" i="89"/>
  <c r="L55" i="89" s="1"/>
  <c r="B55" i="89"/>
  <c r="Z54" i="89"/>
  <c r="X54" i="89"/>
  <c r="V54" i="89"/>
  <c r="N54" i="89"/>
  <c r="L54" i="89"/>
  <c r="B54" i="89"/>
  <c r="X53" i="89"/>
  <c r="Z53" i="89" s="1"/>
  <c r="R53" i="89"/>
  <c r="L53" i="89"/>
  <c r="N53" i="89" s="1"/>
  <c r="B53" i="89"/>
  <c r="T52" i="89"/>
  <c r="R52" i="89"/>
  <c r="P52" i="89"/>
  <c r="N52" i="89"/>
  <c r="L52" i="89"/>
  <c r="H52" i="89"/>
  <c r="D52" i="89"/>
  <c r="B52" i="89"/>
  <c r="Z51" i="89"/>
  <c r="X51" i="89"/>
  <c r="R51" i="89"/>
  <c r="N51" i="89"/>
  <c r="L51" i="89"/>
  <c r="F51" i="89"/>
  <c r="B51" i="89"/>
  <c r="Z50" i="89"/>
  <c r="T50" i="89"/>
  <c r="P50" i="89"/>
  <c r="X50" i="89" s="1"/>
  <c r="N50" i="89"/>
  <c r="H50" i="89"/>
  <c r="F50" i="89"/>
  <c r="D50" i="89"/>
  <c r="L50" i="89" s="1"/>
  <c r="B50" i="89"/>
  <c r="X49" i="89"/>
  <c r="Z49" i="89" s="1"/>
  <c r="L49" i="89"/>
  <c r="N49" i="89" s="1"/>
  <c r="F49" i="89"/>
  <c r="B49" i="89"/>
  <c r="Z48" i="89"/>
  <c r="X48" i="89"/>
  <c r="T48" i="89"/>
  <c r="P48" i="89"/>
  <c r="L48" i="89"/>
  <c r="N48" i="89" s="1"/>
  <c r="H48" i="89"/>
  <c r="F48" i="89"/>
  <c r="D48" i="89"/>
  <c r="B48" i="89"/>
  <c r="Z47" i="89"/>
  <c r="X47" i="89"/>
  <c r="N47" i="89"/>
  <c r="L47" i="89"/>
  <c r="F47" i="89"/>
  <c r="B47" i="89"/>
  <c r="Z46" i="89"/>
  <c r="X46" i="89"/>
  <c r="V46" i="89"/>
  <c r="T46" i="89"/>
  <c r="P46" i="89"/>
  <c r="H46" i="89"/>
  <c r="N46" i="89" s="1"/>
  <c r="F46" i="89"/>
  <c r="D46" i="89"/>
  <c r="L46" i="89" s="1"/>
  <c r="B46" i="89"/>
  <c r="Z45" i="89"/>
  <c r="X45" i="89"/>
  <c r="N45" i="89"/>
  <c r="L45" i="89"/>
  <c r="B45" i="89"/>
  <c r="Z44" i="89"/>
  <c r="V44" i="89"/>
  <c r="T44" i="89"/>
  <c r="R44" i="89"/>
  <c r="P44" i="89"/>
  <c r="X44" i="89" s="1"/>
  <c r="N44" i="89"/>
  <c r="H44" i="89"/>
  <c r="D44" i="89"/>
  <c r="L44" i="89" s="1"/>
  <c r="B44" i="89"/>
  <c r="Z43" i="89"/>
  <c r="X43" i="89"/>
  <c r="R43" i="89"/>
  <c r="N43" i="89"/>
  <c r="L43" i="89"/>
  <c r="B43" i="89"/>
  <c r="X42" i="89"/>
  <c r="V42" i="89"/>
  <c r="T42" i="89"/>
  <c r="Z42" i="89" s="1"/>
  <c r="R42" i="89"/>
  <c r="P42" i="89"/>
  <c r="N42" i="89"/>
  <c r="L42" i="89"/>
  <c r="H42" i="89"/>
  <c r="D42" i="89"/>
  <c r="B42" i="89"/>
  <c r="Z41" i="89"/>
  <c r="X41" i="89"/>
  <c r="R41" i="89"/>
  <c r="N41" i="89"/>
  <c r="L41" i="89"/>
  <c r="B41" i="89"/>
  <c r="Z40" i="89"/>
  <c r="X40" i="89"/>
  <c r="N40" i="89"/>
  <c r="L40" i="89"/>
  <c r="B40" i="89"/>
  <c r="Z39" i="89"/>
  <c r="X39" i="89"/>
  <c r="N39" i="89"/>
  <c r="L39" i="89"/>
  <c r="F39" i="89"/>
  <c r="B39" i="89"/>
  <c r="Z38" i="89"/>
  <c r="X38" i="89"/>
  <c r="V38" i="89"/>
  <c r="N38" i="89"/>
  <c r="L38" i="89"/>
  <c r="B38" i="89"/>
  <c r="Z37" i="89"/>
  <c r="X37" i="89"/>
  <c r="R37" i="89"/>
  <c r="N37" i="89"/>
  <c r="L37" i="89"/>
  <c r="B37" i="89"/>
  <c r="Z36" i="89"/>
  <c r="X36" i="89"/>
  <c r="R36" i="89"/>
  <c r="N36" i="89"/>
  <c r="L36" i="89"/>
  <c r="B36" i="89"/>
  <c r="Z35" i="89"/>
  <c r="X35" i="89"/>
  <c r="N35" i="89"/>
  <c r="L35" i="89"/>
  <c r="F35" i="89"/>
  <c r="B35" i="89"/>
  <c r="Z34" i="89"/>
  <c r="X34" i="89"/>
  <c r="V34" i="89"/>
  <c r="N34" i="89"/>
  <c r="L34" i="89"/>
  <c r="B34" i="89"/>
  <c r="Z33" i="89"/>
  <c r="X33" i="89"/>
  <c r="R33" i="89"/>
  <c r="N33" i="89"/>
  <c r="L33" i="89"/>
  <c r="B33" i="89"/>
  <c r="Z32" i="89"/>
  <c r="X32" i="89"/>
  <c r="R32" i="89"/>
  <c r="N32" i="89"/>
  <c r="L32" i="89"/>
  <c r="F32" i="89"/>
  <c r="B32" i="89"/>
  <c r="X31" i="89"/>
  <c r="T31" i="89"/>
  <c r="Z31" i="89" s="1"/>
  <c r="P31" i="89"/>
  <c r="H31" i="89"/>
  <c r="F31" i="89"/>
  <c r="D31" i="89"/>
  <c r="L31" i="89" s="1"/>
  <c r="B31" i="89"/>
  <c r="Z30" i="89"/>
  <c r="X30" i="89"/>
  <c r="L30" i="89"/>
  <c r="N30" i="89" s="1"/>
  <c r="J30" i="89"/>
  <c r="B30" i="89"/>
  <c r="X29" i="89"/>
  <c r="Z29" i="89" s="1"/>
  <c r="L29" i="89"/>
  <c r="N29" i="89" s="1"/>
  <c r="B29" i="89"/>
  <c r="Z28" i="89"/>
  <c r="X28" i="89"/>
  <c r="V28" i="89"/>
  <c r="N28" i="89"/>
  <c r="L28" i="89"/>
  <c r="B28" i="89"/>
  <c r="Z27" i="89"/>
  <c r="X27" i="89"/>
  <c r="V27" i="89"/>
  <c r="R27" i="89"/>
  <c r="N27" i="89"/>
  <c r="L27" i="89"/>
  <c r="F27" i="89"/>
  <c r="B27" i="89"/>
  <c r="Z26" i="89"/>
  <c r="X26" i="89"/>
  <c r="L26" i="89"/>
  <c r="N26" i="89" s="1"/>
  <c r="B26" i="89"/>
  <c r="X25" i="89"/>
  <c r="Z25" i="89" s="1"/>
  <c r="L25" i="89"/>
  <c r="N25" i="89" s="1"/>
  <c r="B25" i="89"/>
  <c r="Z24" i="89"/>
  <c r="X24" i="89"/>
  <c r="V24" i="89"/>
  <c r="N24" i="89"/>
  <c r="L24" i="89"/>
  <c r="B24" i="89"/>
  <c r="X23" i="89"/>
  <c r="Z23" i="89" s="1"/>
  <c r="V23" i="89"/>
  <c r="R23" i="89"/>
  <c r="L23" i="89"/>
  <c r="N23" i="89" s="1"/>
  <c r="F23" i="89"/>
  <c r="B23" i="89"/>
  <c r="Z22" i="89"/>
  <c r="X22" i="89"/>
  <c r="L22" i="89"/>
  <c r="N22" i="89" s="1"/>
  <c r="B22" i="89"/>
  <c r="X21" i="89"/>
  <c r="Z21" i="89" s="1"/>
  <c r="T21" i="89"/>
  <c r="P21" i="89"/>
  <c r="J21" i="89"/>
  <c r="H21" i="89"/>
  <c r="D21" i="89"/>
  <c r="B21" i="89"/>
  <c r="T20" i="89"/>
  <c r="P20" i="89"/>
  <c r="X20" i="89" s="1"/>
  <c r="Z20" i="89" s="1"/>
  <c r="L20" i="89"/>
  <c r="H20" i="89"/>
  <c r="N20" i="89" s="1"/>
  <c r="F20" i="89"/>
  <c r="D20" i="89"/>
  <c r="F18" i="89"/>
  <c r="D18" i="89"/>
  <c r="Z16" i="89"/>
  <c r="X16" i="89"/>
  <c r="N16" i="89"/>
  <c r="L16" i="89"/>
  <c r="F16" i="89"/>
  <c r="B16" i="89"/>
  <c r="Z15" i="89"/>
  <c r="X15" i="89"/>
  <c r="V15" i="89"/>
  <c r="R15" i="89"/>
  <c r="N15" i="89"/>
  <c r="L15" i="89"/>
  <c r="B15" i="89"/>
  <c r="X14" i="89"/>
  <c r="V14" i="89"/>
  <c r="T14" i="89"/>
  <c r="Z14" i="89" s="1"/>
  <c r="R14" i="89"/>
  <c r="P14" i="89"/>
  <c r="N14" i="89"/>
  <c r="H14" i="89"/>
  <c r="F14" i="89"/>
  <c r="D14" i="89"/>
  <c r="L14" i="89" s="1"/>
  <c r="X12" i="89"/>
  <c r="T12" i="89"/>
  <c r="V58" i="89" s="1"/>
  <c r="P12" i="89"/>
  <c r="R55" i="89" s="1"/>
  <c r="N12" i="89"/>
  <c r="H12" i="89"/>
  <c r="J48" i="89" s="1"/>
  <c r="D12" i="89"/>
  <c r="F80" i="89" s="1"/>
  <c r="D6" i="89"/>
  <c r="D4" i="89"/>
  <c r="X93" i="88"/>
  <c r="Z93" i="88" s="1"/>
  <c r="N93" i="88"/>
  <c r="L93" i="88"/>
  <c r="Z89" i="88"/>
  <c r="T89" i="88"/>
  <c r="P89" i="88"/>
  <c r="X89" i="88" s="1"/>
  <c r="L89" i="88"/>
  <c r="J89" i="88"/>
  <c r="H89" i="88"/>
  <c r="N89" i="88" s="1"/>
  <c r="D89" i="88"/>
  <c r="Z87" i="88"/>
  <c r="X87" i="88"/>
  <c r="L87" i="88"/>
  <c r="N87" i="88" s="1"/>
  <c r="B87" i="88"/>
  <c r="T86" i="88"/>
  <c r="P86" i="88"/>
  <c r="N86" i="88"/>
  <c r="H86" i="88"/>
  <c r="D86" i="88"/>
  <c r="L86" i="88" s="1"/>
  <c r="B86" i="88"/>
  <c r="Z85" i="88"/>
  <c r="X85" i="88"/>
  <c r="N85" i="88"/>
  <c r="L85" i="88"/>
  <c r="B85" i="88"/>
  <c r="T84" i="88"/>
  <c r="Z84" i="88" s="1"/>
  <c r="P84" i="88"/>
  <c r="X84" i="88" s="1"/>
  <c r="L84" i="88"/>
  <c r="H84" i="88"/>
  <c r="N84" i="88" s="1"/>
  <c r="F84" i="88"/>
  <c r="D84" i="88"/>
  <c r="B84" i="88"/>
  <c r="X83" i="88"/>
  <c r="Z83" i="88" s="1"/>
  <c r="N83" i="88"/>
  <c r="L83" i="88"/>
  <c r="B83" i="88"/>
  <c r="T82" i="88"/>
  <c r="P82" i="88"/>
  <c r="H82" i="88"/>
  <c r="D82" i="88"/>
  <c r="B82" i="88"/>
  <c r="X81" i="88"/>
  <c r="Z81" i="88" s="1"/>
  <c r="V81" i="88"/>
  <c r="N81" i="88"/>
  <c r="L81" i="88"/>
  <c r="B81" i="88"/>
  <c r="Z80" i="88"/>
  <c r="X80" i="88"/>
  <c r="L80" i="88"/>
  <c r="N80" i="88" s="1"/>
  <c r="J80" i="88"/>
  <c r="B80" i="88"/>
  <c r="Z79" i="88"/>
  <c r="X79" i="88"/>
  <c r="L79" i="88"/>
  <c r="N79" i="88" s="1"/>
  <c r="B79" i="88"/>
  <c r="X78" i="88"/>
  <c r="Z78" i="88" s="1"/>
  <c r="V78" i="88"/>
  <c r="L78" i="88"/>
  <c r="N78" i="88" s="1"/>
  <c r="J78" i="88"/>
  <c r="B78" i="88"/>
  <c r="Z77" i="88"/>
  <c r="X77" i="88"/>
  <c r="N77" i="88"/>
  <c r="L77" i="88"/>
  <c r="B77" i="88"/>
  <c r="Z76" i="88"/>
  <c r="X76" i="88"/>
  <c r="L76" i="88"/>
  <c r="N76" i="88" s="1"/>
  <c r="J76" i="88"/>
  <c r="B76" i="88"/>
  <c r="Z75" i="88"/>
  <c r="X75" i="88"/>
  <c r="N75" i="88"/>
  <c r="L75" i="88"/>
  <c r="B75" i="88"/>
  <c r="X74" i="88"/>
  <c r="Z74" i="88" s="1"/>
  <c r="L74" i="88"/>
  <c r="N74" i="88" s="1"/>
  <c r="B74" i="88"/>
  <c r="X73" i="88"/>
  <c r="T73" i="88"/>
  <c r="P73" i="88"/>
  <c r="H73" i="88"/>
  <c r="D73" i="88"/>
  <c r="B73" i="88"/>
  <c r="X72" i="88"/>
  <c r="Z72" i="88" s="1"/>
  <c r="L72" i="88"/>
  <c r="N72" i="88" s="1"/>
  <c r="J72" i="88"/>
  <c r="B72" i="88"/>
  <c r="Z71" i="88"/>
  <c r="X71" i="88"/>
  <c r="N71" i="88"/>
  <c r="L71" i="88"/>
  <c r="J71" i="88"/>
  <c r="B71" i="88"/>
  <c r="Z70" i="88"/>
  <c r="X70" i="88"/>
  <c r="L70" i="88"/>
  <c r="N70" i="88" s="1"/>
  <c r="J70" i="88"/>
  <c r="B70" i="88"/>
  <c r="T69" i="88"/>
  <c r="Z69" i="88" s="1"/>
  <c r="P69" i="88"/>
  <c r="X69" i="88" s="1"/>
  <c r="H69" i="88"/>
  <c r="D69" i="88"/>
  <c r="L69" i="88" s="1"/>
  <c r="B69" i="88"/>
  <c r="X68" i="88"/>
  <c r="Z68" i="88" s="1"/>
  <c r="N68" i="88"/>
  <c r="L68" i="88"/>
  <c r="B68" i="88"/>
  <c r="T67" i="88"/>
  <c r="P67" i="88"/>
  <c r="X67" i="88" s="1"/>
  <c r="Z67" i="88" s="1"/>
  <c r="J67" i="88"/>
  <c r="H67" i="88"/>
  <c r="D67" i="88"/>
  <c r="L67" i="88" s="1"/>
  <c r="N67" i="88" s="1"/>
  <c r="B67" i="88"/>
  <c r="X66" i="88"/>
  <c r="Z66" i="88" s="1"/>
  <c r="N66" i="88"/>
  <c r="L66" i="88"/>
  <c r="J66" i="88"/>
  <c r="B66" i="88"/>
  <c r="X65" i="88"/>
  <c r="Z65" i="88" s="1"/>
  <c r="V65" i="88"/>
  <c r="N65" i="88"/>
  <c r="L65" i="88"/>
  <c r="B65" i="88"/>
  <c r="Z64" i="88"/>
  <c r="X64" i="88"/>
  <c r="L64" i="88"/>
  <c r="N64" i="88" s="1"/>
  <c r="B64" i="88"/>
  <c r="T63" i="88"/>
  <c r="P63" i="88"/>
  <c r="L63" i="88"/>
  <c r="J63" i="88"/>
  <c r="H63" i="88"/>
  <c r="D63" i="88"/>
  <c r="B63" i="88"/>
  <c r="Z62" i="88"/>
  <c r="X62" i="88"/>
  <c r="L62" i="88"/>
  <c r="N62" i="88" s="1"/>
  <c r="J62" i="88"/>
  <c r="F62" i="88"/>
  <c r="B62" i="88"/>
  <c r="T61" i="88"/>
  <c r="P61" i="88"/>
  <c r="X61" i="88" s="1"/>
  <c r="H61" i="88"/>
  <c r="D61" i="88"/>
  <c r="L61" i="88" s="1"/>
  <c r="B61" i="88"/>
  <c r="X60" i="88"/>
  <c r="Z60" i="88" s="1"/>
  <c r="N60" i="88"/>
  <c r="L60" i="88"/>
  <c r="B60" i="88"/>
  <c r="Z59" i="88"/>
  <c r="V59" i="88"/>
  <c r="T59" i="88"/>
  <c r="P59" i="88"/>
  <c r="X59" i="88" s="1"/>
  <c r="J59" i="88"/>
  <c r="H59" i="88"/>
  <c r="D59" i="88"/>
  <c r="L59" i="88" s="1"/>
  <c r="N59" i="88" s="1"/>
  <c r="B59" i="88"/>
  <c r="X58" i="88"/>
  <c r="Z58" i="88" s="1"/>
  <c r="N58" i="88"/>
  <c r="L58" i="88"/>
  <c r="J58" i="88"/>
  <c r="B58" i="88"/>
  <c r="X57" i="88"/>
  <c r="V57" i="88"/>
  <c r="T57" i="88"/>
  <c r="P57" i="88"/>
  <c r="H57" i="88"/>
  <c r="D57" i="88"/>
  <c r="B57" i="88"/>
  <c r="Z56" i="88"/>
  <c r="X56" i="88"/>
  <c r="R56" i="88"/>
  <c r="L56" i="88"/>
  <c r="N56" i="88" s="1"/>
  <c r="J56" i="88"/>
  <c r="B56" i="88"/>
  <c r="T55" i="88"/>
  <c r="P55" i="88"/>
  <c r="H55" i="88"/>
  <c r="D55" i="88"/>
  <c r="L55" i="88" s="1"/>
  <c r="N55" i="88" s="1"/>
  <c r="B55" i="88"/>
  <c r="X54" i="88"/>
  <c r="Z54" i="88" s="1"/>
  <c r="V54" i="88"/>
  <c r="R54" i="88"/>
  <c r="L54" i="88"/>
  <c r="N54" i="88" s="1"/>
  <c r="B54" i="88"/>
  <c r="X53" i="88"/>
  <c r="Z53" i="88" s="1"/>
  <c r="L53" i="88"/>
  <c r="N53" i="88" s="1"/>
  <c r="J53" i="88"/>
  <c r="B53" i="88"/>
  <c r="T52" i="88"/>
  <c r="Z52" i="88" s="1"/>
  <c r="P52" i="88"/>
  <c r="X52" i="88" s="1"/>
  <c r="J52" i="88"/>
  <c r="H52" i="88"/>
  <c r="D52" i="88"/>
  <c r="L52" i="88" s="1"/>
  <c r="B52" i="88"/>
  <c r="Z51" i="88"/>
  <c r="X51" i="88"/>
  <c r="N51" i="88"/>
  <c r="L51" i="88"/>
  <c r="B51" i="88"/>
  <c r="Z50" i="88"/>
  <c r="X50" i="88"/>
  <c r="T50" i="88"/>
  <c r="P50" i="88"/>
  <c r="N50" i="88"/>
  <c r="H50" i="88"/>
  <c r="F50" i="88"/>
  <c r="D50" i="88"/>
  <c r="L50" i="88" s="1"/>
  <c r="B50" i="88"/>
  <c r="Z49" i="88"/>
  <c r="X49" i="88"/>
  <c r="L49" i="88"/>
  <c r="N49" i="88" s="1"/>
  <c r="J49" i="88"/>
  <c r="B49" i="88"/>
  <c r="T48" i="88"/>
  <c r="P48" i="88"/>
  <c r="J48" i="88"/>
  <c r="H48" i="88"/>
  <c r="L48" i="88" s="1"/>
  <c r="N48" i="88" s="1"/>
  <c r="D48" i="88"/>
  <c r="B48" i="88"/>
  <c r="Z47" i="88"/>
  <c r="X47" i="88"/>
  <c r="V47" i="88"/>
  <c r="L47" i="88"/>
  <c r="N47" i="88" s="1"/>
  <c r="J47" i="88"/>
  <c r="B47" i="88"/>
  <c r="T46" i="88"/>
  <c r="P46" i="88"/>
  <c r="J46" i="88"/>
  <c r="H46" i="88"/>
  <c r="N46" i="88" s="1"/>
  <c r="D46" i="88"/>
  <c r="L46" i="88" s="1"/>
  <c r="B46" i="88"/>
  <c r="Z45" i="88"/>
  <c r="X45" i="88"/>
  <c r="V45" i="88"/>
  <c r="N45" i="88"/>
  <c r="L45" i="88"/>
  <c r="B45" i="88"/>
  <c r="Z44" i="88"/>
  <c r="X44" i="88"/>
  <c r="N44" i="88"/>
  <c r="L44" i="88"/>
  <c r="J44" i="88"/>
  <c r="B44" i="88"/>
  <c r="Z43" i="88"/>
  <c r="X43" i="88"/>
  <c r="N43" i="88"/>
  <c r="L43" i="88"/>
  <c r="F43" i="88"/>
  <c r="B43" i="88"/>
  <c r="X42" i="88"/>
  <c r="Z42" i="88" s="1"/>
  <c r="N42" i="88"/>
  <c r="L42" i="88"/>
  <c r="J42" i="88"/>
  <c r="B42" i="88"/>
  <c r="Z41" i="88"/>
  <c r="X41" i="88"/>
  <c r="V41" i="88"/>
  <c r="N41" i="88"/>
  <c r="L41" i="88"/>
  <c r="B41" i="88"/>
  <c r="Z40" i="88"/>
  <c r="X40" i="88"/>
  <c r="N40" i="88"/>
  <c r="L40" i="88"/>
  <c r="J40" i="88"/>
  <c r="B40" i="88"/>
  <c r="Z39" i="88"/>
  <c r="X39" i="88"/>
  <c r="N39" i="88"/>
  <c r="L39" i="88"/>
  <c r="F39" i="88"/>
  <c r="B39" i="88"/>
  <c r="Z38" i="88"/>
  <c r="X38" i="88"/>
  <c r="N38" i="88"/>
  <c r="L38" i="88"/>
  <c r="J38" i="88"/>
  <c r="B38" i="88"/>
  <c r="X37" i="88"/>
  <c r="Z37" i="88" s="1"/>
  <c r="V37" i="88"/>
  <c r="N37" i="88"/>
  <c r="L37" i="88"/>
  <c r="B37" i="88"/>
  <c r="Z36" i="88"/>
  <c r="X36" i="88"/>
  <c r="N36" i="88"/>
  <c r="L36" i="88"/>
  <c r="J36" i="88"/>
  <c r="B36" i="88"/>
  <c r="T35" i="88"/>
  <c r="P35" i="88"/>
  <c r="L35" i="88"/>
  <c r="J35" i="88"/>
  <c r="H35" i="88"/>
  <c r="N35" i="88" s="1"/>
  <c r="F35" i="88"/>
  <c r="D35" i="88"/>
  <c r="B35" i="88"/>
  <c r="Z34" i="88"/>
  <c r="X34" i="88"/>
  <c r="N34" i="88"/>
  <c r="L34" i="88"/>
  <c r="J34" i="88"/>
  <c r="B34" i="88"/>
  <c r="Z33" i="88"/>
  <c r="X33" i="88"/>
  <c r="L33" i="88"/>
  <c r="N33" i="88" s="1"/>
  <c r="J33" i="88"/>
  <c r="B33" i="88"/>
  <c r="Z32" i="88"/>
  <c r="X32" i="88"/>
  <c r="N32" i="88"/>
  <c r="L32" i="88"/>
  <c r="J32" i="88"/>
  <c r="B32" i="88"/>
  <c r="Z31" i="88"/>
  <c r="X31" i="88"/>
  <c r="R31" i="88"/>
  <c r="N31" i="88"/>
  <c r="L31" i="88"/>
  <c r="J31" i="88"/>
  <c r="B31" i="88"/>
  <c r="Z30" i="88"/>
  <c r="X30" i="88"/>
  <c r="L30" i="88"/>
  <c r="N30" i="88" s="1"/>
  <c r="J30" i="88"/>
  <c r="F30" i="88"/>
  <c r="B30" i="88"/>
  <c r="Z29" i="88"/>
  <c r="X29" i="88"/>
  <c r="L29" i="88"/>
  <c r="N29" i="88" s="1"/>
  <c r="J29" i="88"/>
  <c r="B29" i="88"/>
  <c r="X28" i="88"/>
  <c r="Z28" i="88" s="1"/>
  <c r="N28" i="88"/>
  <c r="L28" i="88"/>
  <c r="J28" i="88"/>
  <c r="B28" i="88"/>
  <c r="Z27" i="88"/>
  <c r="X27" i="88"/>
  <c r="R27" i="88"/>
  <c r="N27" i="88"/>
  <c r="L27" i="88"/>
  <c r="J27" i="88"/>
  <c r="B27" i="88"/>
  <c r="Z26" i="88"/>
  <c r="X26" i="88"/>
  <c r="V26" i="88"/>
  <c r="L26" i="88"/>
  <c r="N26" i="88" s="1"/>
  <c r="J26" i="88"/>
  <c r="F26" i="88"/>
  <c r="B26" i="88"/>
  <c r="Z25" i="88"/>
  <c r="T25" i="88"/>
  <c r="P25" i="88"/>
  <c r="X25" i="88" s="1"/>
  <c r="H25" i="88"/>
  <c r="D25" i="88"/>
  <c r="L25" i="88" s="1"/>
  <c r="B25" i="88"/>
  <c r="T24" i="88"/>
  <c r="P24" i="88"/>
  <c r="X24" i="88" s="1"/>
  <c r="H24" i="88"/>
  <c r="D24" i="88"/>
  <c r="J22" i="88"/>
  <c r="H22" i="88"/>
  <c r="D22" i="88"/>
  <c r="Z20" i="88"/>
  <c r="X20" i="88"/>
  <c r="N20" i="88"/>
  <c r="L20" i="88"/>
  <c r="B20" i="88"/>
  <c r="Z19" i="88"/>
  <c r="X19" i="88"/>
  <c r="V19" i="88"/>
  <c r="N19" i="88"/>
  <c r="L19" i="88"/>
  <c r="J19" i="88"/>
  <c r="B19" i="88"/>
  <c r="X18" i="88"/>
  <c r="Z18" i="88" s="1"/>
  <c r="V18" i="88"/>
  <c r="L18" i="88"/>
  <c r="N18" i="88" s="1"/>
  <c r="B18" i="88"/>
  <c r="T17" i="88"/>
  <c r="P17" i="88"/>
  <c r="X17" i="88" s="1"/>
  <c r="Z17" i="88" s="1"/>
  <c r="N17" i="88"/>
  <c r="J17" i="88"/>
  <c r="H17" i="88"/>
  <c r="D17" i="88"/>
  <c r="L17" i="88" s="1"/>
  <c r="Z15" i="88"/>
  <c r="X15" i="88"/>
  <c r="P15" i="88"/>
  <c r="P12" i="88" s="1"/>
  <c r="R78" i="88" s="1"/>
  <c r="N15" i="88"/>
  <c r="D15" i="88"/>
  <c r="L15" i="88" s="1"/>
  <c r="B15" i="88"/>
  <c r="Z14" i="88"/>
  <c r="X14" i="88"/>
  <c r="P14" i="88"/>
  <c r="N14" i="88"/>
  <c r="L14" i="88"/>
  <c r="D14" i="88"/>
  <c r="B14" i="88"/>
  <c r="P13" i="88"/>
  <c r="X13" i="88" s="1"/>
  <c r="Z13" i="88" s="1"/>
  <c r="N13" i="88"/>
  <c r="L13" i="88"/>
  <c r="D13" i="88"/>
  <c r="D12" i="88" s="1"/>
  <c r="F69" i="88" s="1"/>
  <c r="B13" i="88"/>
  <c r="T12" i="88"/>
  <c r="V77" i="88" s="1"/>
  <c r="H12" i="88"/>
  <c r="J84" i="88" s="1"/>
  <c r="D6" i="88"/>
  <c r="D4" i="88"/>
  <c r="Z30" i="86"/>
  <c r="X30" i="86"/>
  <c r="N30" i="86"/>
  <c r="L30" i="86"/>
  <c r="J30" i="86"/>
  <c r="H28" i="86"/>
  <c r="T26" i="86"/>
  <c r="Z26" i="86" s="1"/>
  <c r="P26" i="86"/>
  <c r="X26" i="86" s="1"/>
  <c r="J26" i="86"/>
  <c r="H26" i="86"/>
  <c r="N26" i="86" s="1"/>
  <c r="D26" i="86"/>
  <c r="L26" i="86" s="1"/>
  <c r="X24" i="86"/>
  <c r="Z24" i="86" s="1"/>
  <c r="N24" i="86"/>
  <c r="L24" i="86"/>
  <c r="B24" i="86"/>
  <c r="T23" i="86"/>
  <c r="P23" i="86"/>
  <c r="X23" i="86" s="1"/>
  <c r="Z23" i="86" s="1"/>
  <c r="J23" i="86"/>
  <c r="H23" i="86"/>
  <c r="D23" i="86"/>
  <c r="L23" i="86" s="1"/>
  <c r="N23" i="86" s="1"/>
  <c r="B23" i="86"/>
  <c r="X22" i="86"/>
  <c r="Z22" i="86" s="1"/>
  <c r="T22" i="86"/>
  <c r="P22" i="86"/>
  <c r="H22" i="86"/>
  <c r="D22" i="86"/>
  <c r="L22" i="86" s="1"/>
  <c r="N22" i="86" s="1"/>
  <c r="H20" i="86"/>
  <c r="Z18" i="86"/>
  <c r="X18" i="86"/>
  <c r="N18" i="86"/>
  <c r="L18" i="86"/>
  <c r="J18" i="86"/>
  <c r="B18" i="86"/>
  <c r="X17" i="86"/>
  <c r="Z17" i="86" s="1"/>
  <c r="N17" i="86"/>
  <c r="L17" i="86"/>
  <c r="B17" i="86"/>
  <c r="T16" i="86"/>
  <c r="P16" i="86"/>
  <c r="X16" i="86" s="1"/>
  <c r="Z16" i="86" s="1"/>
  <c r="L16" i="86"/>
  <c r="N16" i="86" s="1"/>
  <c r="H16" i="86"/>
  <c r="D16" i="86"/>
  <c r="Z14" i="86"/>
  <c r="X14" i="86"/>
  <c r="P14" i="86"/>
  <c r="N14" i="86"/>
  <c r="L14" i="86"/>
  <c r="D14" i="86"/>
  <c r="B14" i="86"/>
  <c r="Z13" i="86"/>
  <c r="X13" i="86"/>
  <c r="P13" i="86"/>
  <c r="D13" i="86"/>
  <c r="D12" i="86" s="1"/>
  <c r="B13" i="86"/>
  <c r="T12" i="86"/>
  <c r="V23" i="86" s="1"/>
  <c r="P12" i="86"/>
  <c r="H12" i="86"/>
  <c r="D6" i="86"/>
  <c r="D4" i="86"/>
  <c r="Z117" i="85"/>
  <c r="X117" i="85"/>
  <c r="N117" i="85"/>
  <c r="L117" i="85"/>
  <c r="T113" i="85"/>
  <c r="Z113" i="85" s="1"/>
  <c r="P113" i="85"/>
  <c r="X113" i="85" s="1"/>
  <c r="J113" i="85"/>
  <c r="H113" i="85"/>
  <c r="N113" i="85" s="1"/>
  <c r="D113" i="85"/>
  <c r="L113" i="85" s="1"/>
  <c r="Z111" i="85"/>
  <c r="X111" i="85"/>
  <c r="N111" i="85"/>
  <c r="L111" i="85"/>
  <c r="B111" i="85"/>
  <c r="T110" i="85"/>
  <c r="P110" i="85"/>
  <c r="X110" i="85" s="1"/>
  <c r="Z110" i="85" s="1"/>
  <c r="H110" i="85"/>
  <c r="D110" i="85"/>
  <c r="L110" i="85" s="1"/>
  <c r="N110" i="85" s="1"/>
  <c r="B110" i="85"/>
  <c r="X109" i="85"/>
  <c r="Z109" i="85" s="1"/>
  <c r="N109" i="85"/>
  <c r="L109" i="85"/>
  <c r="J109" i="85"/>
  <c r="B109" i="85"/>
  <c r="X108" i="85"/>
  <c r="T108" i="85"/>
  <c r="Z108" i="85" s="1"/>
  <c r="P108" i="85"/>
  <c r="H108" i="85"/>
  <c r="D108" i="85"/>
  <c r="B108" i="85"/>
  <c r="Z107" i="85"/>
  <c r="X107" i="85"/>
  <c r="N107" i="85"/>
  <c r="L107" i="85"/>
  <c r="J107" i="85"/>
  <c r="B107" i="85"/>
  <c r="T106" i="85"/>
  <c r="Z106" i="85" s="1"/>
  <c r="P106" i="85"/>
  <c r="N106" i="85"/>
  <c r="H106" i="85"/>
  <c r="D106" i="85"/>
  <c r="L106" i="85" s="1"/>
  <c r="B106" i="85"/>
  <c r="Z105" i="85"/>
  <c r="X105" i="85"/>
  <c r="N105" i="85"/>
  <c r="L105" i="85"/>
  <c r="B105" i="85"/>
  <c r="X104" i="85"/>
  <c r="Z104" i="85" s="1"/>
  <c r="L104" i="85"/>
  <c r="N104" i="85" s="1"/>
  <c r="J104" i="85"/>
  <c r="B104" i="85"/>
  <c r="T103" i="85"/>
  <c r="P103" i="85"/>
  <c r="X103" i="85" s="1"/>
  <c r="H103" i="85"/>
  <c r="D103" i="85"/>
  <c r="B103" i="85"/>
  <c r="Z102" i="85"/>
  <c r="X102" i="85"/>
  <c r="N102" i="85"/>
  <c r="L102" i="85"/>
  <c r="B102" i="85"/>
  <c r="X101" i="85"/>
  <c r="Z101" i="85" s="1"/>
  <c r="N101" i="85"/>
  <c r="L101" i="85"/>
  <c r="J101" i="85"/>
  <c r="B101" i="85"/>
  <c r="X100" i="85"/>
  <c r="Z100" i="85" s="1"/>
  <c r="V100" i="85"/>
  <c r="N100" i="85"/>
  <c r="L100" i="85"/>
  <c r="B100" i="85"/>
  <c r="Z99" i="85"/>
  <c r="X99" i="85"/>
  <c r="L99" i="85"/>
  <c r="N99" i="85" s="1"/>
  <c r="B99" i="85"/>
  <c r="X98" i="85"/>
  <c r="Z98" i="85" s="1"/>
  <c r="N98" i="85"/>
  <c r="L98" i="85"/>
  <c r="B98" i="85"/>
  <c r="X97" i="85"/>
  <c r="Z97" i="85" s="1"/>
  <c r="T97" i="85"/>
  <c r="P97" i="85"/>
  <c r="H97" i="85"/>
  <c r="D97" i="85"/>
  <c r="L97" i="85" s="1"/>
  <c r="N97" i="85" s="1"/>
  <c r="B97" i="85"/>
  <c r="Z96" i="85"/>
  <c r="X96" i="85"/>
  <c r="L96" i="85"/>
  <c r="N96" i="85" s="1"/>
  <c r="B96" i="85"/>
  <c r="X95" i="85"/>
  <c r="Z95" i="85" s="1"/>
  <c r="N95" i="85"/>
  <c r="L95" i="85"/>
  <c r="J95" i="85"/>
  <c r="B95" i="85"/>
  <c r="T94" i="85"/>
  <c r="P94" i="85"/>
  <c r="X94" i="85" s="1"/>
  <c r="N94" i="85"/>
  <c r="H94" i="85"/>
  <c r="D94" i="85"/>
  <c r="L94" i="85" s="1"/>
  <c r="B94" i="85"/>
  <c r="X93" i="85"/>
  <c r="Z93" i="85" s="1"/>
  <c r="L93" i="85"/>
  <c r="N93" i="85" s="1"/>
  <c r="B93" i="85"/>
  <c r="X92" i="85"/>
  <c r="Z92" i="85" s="1"/>
  <c r="L92" i="85"/>
  <c r="N92" i="85" s="1"/>
  <c r="J92" i="85"/>
  <c r="B92" i="85"/>
  <c r="Z91" i="85"/>
  <c r="X91" i="85"/>
  <c r="N91" i="85"/>
  <c r="L91" i="85"/>
  <c r="B91" i="85"/>
  <c r="T90" i="85"/>
  <c r="P90" i="85"/>
  <c r="X90" i="85" s="1"/>
  <c r="Z90" i="85" s="1"/>
  <c r="J90" i="85"/>
  <c r="H90" i="85"/>
  <c r="D90" i="85"/>
  <c r="L90" i="85" s="1"/>
  <c r="N90" i="85" s="1"/>
  <c r="B90" i="85"/>
  <c r="X89" i="85"/>
  <c r="Z89" i="85" s="1"/>
  <c r="N89" i="85"/>
  <c r="L89" i="85"/>
  <c r="J89" i="85"/>
  <c r="B89" i="85"/>
  <c r="Z88" i="85"/>
  <c r="X88" i="85"/>
  <c r="N88" i="85"/>
  <c r="L88" i="85"/>
  <c r="B88" i="85"/>
  <c r="T87" i="85"/>
  <c r="P87" i="85"/>
  <c r="X87" i="85" s="1"/>
  <c r="Z87" i="85" s="1"/>
  <c r="L87" i="85"/>
  <c r="N87" i="85" s="1"/>
  <c r="H87" i="85"/>
  <c r="D87" i="85"/>
  <c r="B87" i="85"/>
  <c r="Z86" i="85"/>
  <c r="X86" i="85"/>
  <c r="N86" i="85"/>
  <c r="L86" i="85"/>
  <c r="J86" i="85"/>
  <c r="B86" i="85"/>
  <c r="X85" i="85"/>
  <c r="Z85" i="85" s="1"/>
  <c r="T85" i="85"/>
  <c r="P85" i="85"/>
  <c r="L85" i="85"/>
  <c r="H85" i="85"/>
  <c r="N85" i="85" s="1"/>
  <c r="D85" i="85"/>
  <c r="B85" i="85"/>
  <c r="X84" i="85"/>
  <c r="Z84" i="85" s="1"/>
  <c r="L84" i="85"/>
  <c r="N84" i="85" s="1"/>
  <c r="J84" i="85"/>
  <c r="B84" i="85"/>
  <c r="T83" i="85"/>
  <c r="Z83" i="85" s="1"/>
  <c r="P83" i="85"/>
  <c r="X83" i="85" s="1"/>
  <c r="J83" i="85"/>
  <c r="H83" i="85"/>
  <c r="D83" i="85"/>
  <c r="L83" i="85" s="1"/>
  <c r="B83" i="85"/>
  <c r="X82" i="85"/>
  <c r="Z82" i="85" s="1"/>
  <c r="N82" i="85"/>
  <c r="L82" i="85"/>
  <c r="B82" i="85"/>
  <c r="X81" i="85"/>
  <c r="Z81" i="85" s="1"/>
  <c r="T81" i="85"/>
  <c r="P81" i="85"/>
  <c r="H81" i="85"/>
  <c r="D81" i="85"/>
  <c r="L81" i="85" s="1"/>
  <c r="N81" i="85" s="1"/>
  <c r="B81" i="85"/>
  <c r="Z80" i="85"/>
  <c r="X80" i="85"/>
  <c r="L80" i="85"/>
  <c r="N80" i="85" s="1"/>
  <c r="J80" i="85"/>
  <c r="B80" i="85"/>
  <c r="X79" i="85"/>
  <c r="Z79" i="85" s="1"/>
  <c r="T79" i="85"/>
  <c r="P79" i="85"/>
  <c r="L79" i="85"/>
  <c r="N79" i="85" s="1"/>
  <c r="J79" i="85"/>
  <c r="H79" i="85"/>
  <c r="D79" i="85"/>
  <c r="B79" i="85"/>
  <c r="Z78" i="85"/>
  <c r="X78" i="85"/>
  <c r="V78" i="85"/>
  <c r="L78" i="85"/>
  <c r="N78" i="85" s="1"/>
  <c r="J78" i="85"/>
  <c r="B78" i="85"/>
  <c r="T77" i="85"/>
  <c r="P77" i="85"/>
  <c r="X77" i="85" s="1"/>
  <c r="H77" i="85"/>
  <c r="D77" i="85"/>
  <c r="L77" i="85" s="1"/>
  <c r="B77" i="85"/>
  <c r="X76" i="85"/>
  <c r="Z76" i="85" s="1"/>
  <c r="V76" i="85"/>
  <c r="N76" i="85"/>
  <c r="L76" i="85"/>
  <c r="B76" i="85"/>
  <c r="T75" i="85"/>
  <c r="P75" i="85"/>
  <c r="X75" i="85" s="1"/>
  <c r="Z75" i="85" s="1"/>
  <c r="L75" i="85"/>
  <c r="N75" i="85" s="1"/>
  <c r="H75" i="85"/>
  <c r="D75" i="85"/>
  <c r="B75" i="85"/>
  <c r="Z74" i="85"/>
  <c r="X74" i="85"/>
  <c r="N74" i="85"/>
  <c r="L74" i="85"/>
  <c r="J74" i="85"/>
  <c r="B74" i="85"/>
  <c r="X73" i="85"/>
  <c r="Z73" i="85" s="1"/>
  <c r="T73" i="85"/>
  <c r="P73" i="85"/>
  <c r="H73" i="85"/>
  <c r="D73" i="85"/>
  <c r="B73" i="85"/>
  <c r="X72" i="85"/>
  <c r="Z72" i="85" s="1"/>
  <c r="L72" i="85"/>
  <c r="N72" i="85" s="1"/>
  <c r="J72" i="85"/>
  <c r="B72" i="85"/>
  <c r="T71" i="85"/>
  <c r="P71" i="85"/>
  <c r="X71" i="85" s="1"/>
  <c r="H71" i="85"/>
  <c r="D71" i="85"/>
  <c r="B71" i="85"/>
  <c r="X70" i="85"/>
  <c r="Z70" i="85" s="1"/>
  <c r="N70" i="85"/>
  <c r="L70" i="85"/>
  <c r="B70" i="85"/>
  <c r="X69" i="85"/>
  <c r="Z69" i="85" s="1"/>
  <c r="T69" i="85"/>
  <c r="P69" i="85"/>
  <c r="H69" i="85"/>
  <c r="D69" i="85"/>
  <c r="L69" i="85" s="1"/>
  <c r="N69" i="85" s="1"/>
  <c r="B69" i="85"/>
  <c r="Z68" i="85"/>
  <c r="X68" i="85"/>
  <c r="L68" i="85"/>
  <c r="N68" i="85" s="1"/>
  <c r="J68" i="85"/>
  <c r="B68" i="85"/>
  <c r="Z67" i="85"/>
  <c r="X67" i="85"/>
  <c r="N67" i="85"/>
  <c r="L67" i="85"/>
  <c r="J67" i="85"/>
  <c r="B67" i="85"/>
  <c r="T66" i="85"/>
  <c r="R66" i="85"/>
  <c r="P66" i="85"/>
  <c r="H66" i="85"/>
  <c r="D66" i="85"/>
  <c r="L66" i="85" s="1"/>
  <c r="N66" i="85" s="1"/>
  <c r="B66" i="85"/>
  <c r="X65" i="85"/>
  <c r="Z65" i="85" s="1"/>
  <c r="L65" i="85"/>
  <c r="N65" i="85" s="1"/>
  <c r="B65" i="85"/>
  <c r="T64" i="85"/>
  <c r="P64" i="85"/>
  <c r="X64" i="85" s="1"/>
  <c r="Z64" i="85" s="1"/>
  <c r="J64" i="85"/>
  <c r="H64" i="85"/>
  <c r="D64" i="85"/>
  <c r="L64" i="85" s="1"/>
  <c r="N64" i="85" s="1"/>
  <c r="B64" i="85"/>
  <c r="Z63" i="85"/>
  <c r="X63" i="85"/>
  <c r="N63" i="85"/>
  <c r="L63" i="85"/>
  <c r="J63" i="85"/>
  <c r="B63" i="85"/>
  <c r="Z62" i="85"/>
  <c r="X62" i="85"/>
  <c r="N62" i="85"/>
  <c r="L62" i="85"/>
  <c r="B62" i="85"/>
  <c r="Z61" i="85"/>
  <c r="X61" i="85"/>
  <c r="N61" i="85"/>
  <c r="L61" i="85"/>
  <c r="J61" i="85"/>
  <c r="B61" i="85"/>
  <c r="X60" i="85"/>
  <c r="Z60" i="85" s="1"/>
  <c r="N60" i="85"/>
  <c r="L60" i="85"/>
  <c r="B60" i="85"/>
  <c r="Z59" i="85"/>
  <c r="X59" i="85"/>
  <c r="N59" i="85"/>
  <c r="L59" i="85"/>
  <c r="J59" i="85"/>
  <c r="B59" i="85"/>
  <c r="Z58" i="85"/>
  <c r="X58" i="85"/>
  <c r="N58" i="85"/>
  <c r="L58" i="85"/>
  <c r="B58" i="85"/>
  <c r="X57" i="85"/>
  <c r="Z57" i="85" s="1"/>
  <c r="L57" i="85"/>
  <c r="N57" i="85" s="1"/>
  <c r="J57" i="85"/>
  <c r="B57" i="85"/>
  <c r="Z56" i="85"/>
  <c r="X56" i="85"/>
  <c r="N56" i="85"/>
  <c r="L56" i="85"/>
  <c r="B56" i="85"/>
  <c r="Z55" i="85"/>
  <c r="X55" i="85"/>
  <c r="L55" i="85"/>
  <c r="N55" i="85" s="1"/>
  <c r="J55" i="85"/>
  <c r="B55" i="85"/>
  <c r="Z54" i="85"/>
  <c r="X54" i="85"/>
  <c r="N54" i="85"/>
  <c r="L54" i="85"/>
  <c r="B54" i="85"/>
  <c r="X53" i="85"/>
  <c r="Z53" i="85" s="1"/>
  <c r="T53" i="85"/>
  <c r="P53" i="85"/>
  <c r="H53" i="85"/>
  <c r="D53" i="85"/>
  <c r="L53" i="85" s="1"/>
  <c r="N53" i="85" s="1"/>
  <c r="B53" i="85"/>
  <c r="Z52" i="85"/>
  <c r="X52" i="85"/>
  <c r="L52" i="85"/>
  <c r="N52" i="85" s="1"/>
  <c r="J52" i="85"/>
  <c r="B52" i="85"/>
  <c r="Z51" i="85"/>
  <c r="X51" i="85"/>
  <c r="N51" i="85"/>
  <c r="L51" i="85"/>
  <c r="J51" i="85"/>
  <c r="B51" i="85"/>
  <c r="Z50" i="85"/>
  <c r="X50" i="85"/>
  <c r="N50" i="85"/>
  <c r="L50" i="85"/>
  <c r="J50" i="85"/>
  <c r="B50" i="85"/>
  <c r="X49" i="85"/>
  <c r="Z49" i="85" s="1"/>
  <c r="L49" i="85"/>
  <c r="N49" i="85" s="1"/>
  <c r="J49" i="85"/>
  <c r="B49" i="85"/>
  <c r="Z48" i="85"/>
  <c r="X48" i="85"/>
  <c r="L48" i="85"/>
  <c r="N48" i="85" s="1"/>
  <c r="J48" i="85"/>
  <c r="B48" i="85"/>
  <c r="Z47" i="85"/>
  <c r="X47" i="85"/>
  <c r="N47" i="85"/>
  <c r="L47" i="85"/>
  <c r="J47" i="85"/>
  <c r="B47" i="85"/>
  <c r="Z46" i="85"/>
  <c r="X46" i="85"/>
  <c r="N46" i="85"/>
  <c r="L46" i="85"/>
  <c r="J46" i="85"/>
  <c r="B46" i="85"/>
  <c r="X45" i="85"/>
  <c r="Z45" i="85" s="1"/>
  <c r="L45" i="85"/>
  <c r="N45" i="85" s="1"/>
  <c r="J45" i="85"/>
  <c r="B45" i="85"/>
  <c r="Z44" i="85"/>
  <c r="T44" i="85"/>
  <c r="P44" i="85"/>
  <c r="X44" i="85" s="1"/>
  <c r="H44" i="85"/>
  <c r="D44" i="85"/>
  <c r="L44" i="85" s="1"/>
  <c r="B44" i="85"/>
  <c r="T43" i="85"/>
  <c r="P43" i="85"/>
  <c r="X43" i="85" s="1"/>
  <c r="H43" i="85"/>
  <c r="D43" i="85"/>
  <c r="Z39" i="85"/>
  <c r="X39" i="85"/>
  <c r="N39" i="85"/>
  <c r="L39" i="85"/>
  <c r="B39" i="85"/>
  <c r="Z38" i="85"/>
  <c r="X38" i="85"/>
  <c r="N38" i="85"/>
  <c r="L38" i="85"/>
  <c r="J38" i="85"/>
  <c r="B38" i="85"/>
  <c r="Z37" i="85"/>
  <c r="X37" i="85"/>
  <c r="V37" i="85"/>
  <c r="N37" i="85"/>
  <c r="L37" i="85"/>
  <c r="B37" i="85"/>
  <c r="Z36" i="85"/>
  <c r="X36" i="85"/>
  <c r="N36" i="85"/>
  <c r="L36" i="85"/>
  <c r="J36" i="85"/>
  <c r="B36" i="85"/>
  <c r="Z35" i="85"/>
  <c r="X35" i="85"/>
  <c r="N35" i="85"/>
  <c r="L35" i="85"/>
  <c r="B35" i="85"/>
  <c r="Z34" i="85"/>
  <c r="X34" i="85"/>
  <c r="N34" i="85"/>
  <c r="L34" i="85"/>
  <c r="J34" i="85"/>
  <c r="B34" i="85"/>
  <c r="Z33" i="85"/>
  <c r="X33" i="85"/>
  <c r="N33" i="85"/>
  <c r="L33" i="85"/>
  <c r="B33" i="85"/>
  <c r="Z32" i="85"/>
  <c r="X32" i="85"/>
  <c r="N32" i="85"/>
  <c r="L32" i="85"/>
  <c r="J32" i="85"/>
  <c r="B32" i="85"/>
  <c r="Z31" i="85"/>
  <c r="X31" i="85"/>
  <c r="N31" i="85"/>
  <c r="L31" i="85"/>
  <c r="B31" i="85"/>
  <c r="Z30" i="85"/>
  <c r="X30" i="85"/>
  <c r="N30" i="85"/>
  <c r="L30" i="85"/>
  <c r="J30" i="85"/>
  <c r="B30" i="85"/>
  <c r="Z29" i="85"/>
  <c r="X29" i="85"/>
  <c r="N29" i="85"/>
  <c r="L29" i="85"/>
  <c r="B29" i="85"/>
  <c r="Z28" i="85"/>
  <c r="X28" i="85"/>
  <c r="L28" i="85"/>
  <c r="N28" i="85" s="1"/>
  <c r="J28" i="85"/>
  <c r="B28" i="85"/>
  <c r="T27" i="85"/>
  <c r="P27" i="85"/>
  <c r="X27" i="85" s="1"/>
  <c r="J27" i="85"/>
  <c r="H27" i="85"/>
  <c r="D27" i="85"/>
  <c r="L27" i="85" s="1"/>
  <c r="Z25" i="85"/>
  <c r="P25" i="85"/>
  <c r="X25" i="85" s="1"/>
  <c r="N25" i="85"/>
  <c r="L25" i="85"/>
  <c r="D25" i="85"/>
  <c r="B25" i="85"/>
  <c r="Z24" i="85"/>
  <c r="X24" i="85"/>
  <c r="P24" i="85"/>
  <c r="N24" i="85"/>
  <c r="L24" i="85"/>
  <c r="D24" i="85"/>
  <c r="B24" i="85"/>
  <c r="Z23" i="85"/>
  <c r="X23" i="85"/>
  <c r="P23" i="85"/>
  <c r="N23" i="85"/>
  <c r="D23" i="85"/>
  <c r="L23" i="85" s="1"/>
  <c r="B23" i="85"/>
  <c r="Z22" i="85"/>
  <c r="P22" i="85"/>
  <c r="X22" i="85" s="1"/>
  <c r="N22" i="85"/>
  <c r="D22" i="85"/>
  <c r="L22" i="85" s="1"/>
  <c r="B22" i="85"/>
  <c r="Z21" i="85"/>
  <c r="X21" i="85"/>
  <c r="P21" i="85"/>
  <c r="N21" i="85"/>
  <c r="L21" i="85"/>
  <c r="D21" i="85"/>
  <c r="B21" i="85"/>
  <c r="Z20" i="85"/>
  <c r="P20" i="85"/>
  <c r="X20" i="85" s="1"/>
  <c r="N20" i="85"/>
  <c r="D20" i="85"/>
  <c r="L20" i="85" s="1"/>
  <c r="B20" i="85"/>
  <c r="Z19" i="85"/>
  <c r="P19" i="85"/>
  <c r="X19" i="85" s="1"/>
  <c r="N19" i="85"/>
  <c r="D19" i="85"/>
  <c r="L19" i="85" s="1"/>
  <c r="B19" i="85"/>
  <c r="Z18" i="85"/>
  <c r="P18" i="85"/>
  <c r="X18" i="85" s="1"/>
  <c r="N18" i="85"/>
  <c r="L18" i="85"/>
  <c r="D18" i="85"/>
  <c r="B18" i="85"/>
  <c r="Z17" i="85"/>
  <c r="X17" i="85"/>
  <c r="P17" i="85"/>
  <c r="N17" i="85"/>
  <c r="L17" i="85"/>
  <c r="D17" i="85"/>
  <c r="B17" i="85"/>
  <c r="Z16" i="85"/>
  <c r="X16" i="85"/>
  <c r="P16" i="85"/>
  <c r="N16" i="85"/>
  <c r="D16" i="85"/>
  <c r="L16" i="85" s="1"/>
  <c r="B16" i="85"/>
  <c r="Z15" i="85"/>
  <c r="X15" i="85"/>
  <c r="P15" i="85"/>
  <c r="N15" i="85"/>
  <c r="D15" i="85"/>
  <c r="B15" i="85"/>
  <c r="Z14" i="85"/>
  <c r="P14" i="85"/>
  <c r="X14" i="85" s="1"/>
  <c r="N14" i="85"/>
  <c r="L14" i="85"/>
  <c r="D14" i="85"/>
  <c r="B14" i="85"/>
  <c r="P13" i="85"/>
  <c r="P12" i="85" s="1"/>
  <c r="R37" i="85" s="1"/>
  <c r="L13" i="85"/>
  <c r="N13" i="85" s="1"/>
  <c r="D13" i="85"/>
  <c r="B13" i="85"/>
  <c r="T12" i="85"/>
  <c r="V29" i="85" s="1"/>
  <c r="H12" i="85"/>
  <c r="J117" i="85" s="1"/>
  <c r="D6" i="85"/>
  <c r="D4" i="85"/>
  <c r="Z90" i="84"/>
  <c r="X90" i="84"/>
  <c r="N90" i="84"/>
  <c r="L90" i="84"/>
  <c r="J90" i="84"/>
  <c r="T86" i="84"/>
  <c r="P86" i="84"/>
  <c r="L86" i="84"/>
  <c r="J86" i="84"/>
  <c r="H86" i="84"/>
  <c r="N86" i="84" s="1"/>
  <c r="D86" i="84"/>
  <c r="X84" i="84"/>
  <c r="Z84" i="84" s="1"/>
  <c r="N84" i="84"/>
  <c r="L84" i="84"/>
  <c r="B84" i="84"/>
  <c r="T83" i="84"/>
  <c r="P83" i="84"/>
  <c r="X83" i="84" s="1"/>
  <c r="Z83" i="84" s="1"/>
  <c r="N83" i="84"/>
  <c r="H83" i="84"/>
  <c r="D83" i="84"/>
  <c r="L83" i="84" s="1"/>
  <c r="B83" i="84"/>
  <c r="Z82" i="84"/>
  <c r="X82" i="84"/>
  <c r="L82" i="84"/>
  <c r="N82" i="84" s="1"/>
  <c r="B82" i="84"/>
  <c r="Z81" i="84"/>
  <c r="T81" i="84"/>
  <c r="X81" i="84" s="1"/>
  <c r="P81" i="84"/>
  <c r="L81" i="84"/>
  <c r="N81" i="84" s="1"/>
  <c r="H81" i="84"/>
  <c r="D81" i="84"/>
  <c r="B81" i="84"/>
  <c r="Z80" i="84"/>
  <c r="X80" i="84"/>
  <c r="L80" i="84"/>
  <c r="N80" i="84" s="1"/>
  <c r="J80" i="84"/>
  <c r="B80" i="84"/>
  <c r="Z79" i="84"/>
  <c r="X79" i="84"/>
  <c r="N79" i="84"/>
  <c r="L79" i="84"/>
  <c r="B79" i="84"/>
  <c r="X78" i="84"/>
  <c r="Z78" i="84" s="1"/>
  <c r="L78" i="84"/>
  <c r="N78" i="84" s="1"/>
  <c r="J78" i="84"/>
  <c r="B78" i="84"/>
  <c r="Z77" i="84"/>
  <c r="X77" i="84"/>
  <c r="N77" i="84"/>
  <c r="L77" i="84"/>
  <c r="B77" i="84"/>
  <c r="Z76" i="84"/>
  <c r="X76" i="84"/>
  <c r="V76" i="84"/>
  <c r="L76" i="84"/>
  <c r="N76" i="84" s="1"/>
  <c r="B76" i="84"/>
  <c r="X75" i="84"/>
  <c r="Z75" i="84" s="1"/>
  <c r="L75" i="84"/>
  <c r="N75" i="84" s="1"/>
  <c r="B75" i="84"/>
  <c r="X74" i="84"/>
  <c r="Z74" i="84" s="1"/>
  <c r="T74" i="84"/>
  <c r="P74" i="84"/>
  <c r="N74" i="84"/>
  <c r="H74" i="84"/>
  <c r="D74" i="84"/>
  <c r="L74" i="84" s="1"/>
  <c r="B74" i="84"/>
  <c r="Z73" i="84"/>
  <c r="X73" i="84"/>
  <c r="N73" i="84"/>
  <c r="L73" i="84"/>
  <c r="B73" i="84"/>
  <c r="X72" i="84"/>
  <c r="T72" i="84"/>
  <c r="P72" i="84"/>
  <c r="L72" i="84"/>
  <c r="H72" i="84"/>
  <c r="D72" i="84"/>
  <c r="B72" i="84"/>
  <c r="Z71" i="84"/>
  <c r="X71" i="84"/>
  <c r="L71" i="84"/>
  <c r="N71" i="84" s="1"/>
  <c r="B71" i="84"/>
  <c r="Z70" i="84"/>
  <c r="X70" i="84"/>
  <c r="N70" i="84"/>
  <c r="L70" i="84"/>
  <c r="J70" i="84"/>
  <c r="B70" i="84"/>
  <c r="Z69" i="84"/>
  <c r="X69" i="84"/>
  <c r="L69" i="84"/>
  <c r="N69" i="84" s="1"/>
  <c r="B69" i="84"/>
  <c r="Z68" i="84"/>
  <c r="X68" i="84"/>
  <c r="N68" i="84"/>
  <c r="L68" i="84"/>
  <c r="B68" i="84"/>
  <c r="Z67" i="84"/>
  <c r="X67" i="84"/>
  <c r="T67" i="84"/>
  <c r="P67" i="84"/>
  <c r="L67" i="84"/>
  <c r="H67" i="84"/>
  <c r="D67" i="84"/>
  <c r="B67" i="84"/>
  <c r="Z66" i="84"/>
  <c r="X66" i="84"/>
  <c r="L66" i="84"/>
  <c r="N66" i="84" s="1"/>
  <c r="B66" i="84"/>
  <c r="T65" i="84"/>
  <c r="P65" i="84"/>
  <c r="X65" i="84" s="1"/>
  <c r="J65" i="84"/>
  <c r="H65" i="84"/>
  <c r="D65" i="84"/>
  <c r="B65" i="84"/>
  <c r="X64" i="84"/>
  <c r="Z64" i="84" s="1"/>
  <c r="N64" i="84"/>
  <c r="L64" i="84"/>
  <c r="B64" i="84"/>
  <c r="X63" i="84"/>
  <c r="Z63" i="84" s="1"/>
  <c r="T63" i="84"/>
  <c r="P63" i="84"/>
  <c r="L63" i="84"/>
  <c r="N63" i="84" s="1"/>
  <c r="H63" i="84"/>
  <c r="D63" i="84"/>
  <c r="B63" i="84"/>
  <c r="Z62" i="84"/>
  <c r="X62" i="84"/>
  <c r="N62" i="84"/>
  <c r="L62" i="84"/>
  <c r="B62" i="84"/>
  <c r="T61" i="84"/>
  <c r="P61" i="84"/>
  <c r="J61" i="84"/>
  <c r="H61" i="84"/>
  <c r="D61" i="84"/>
  <c r="B61" i="84"/>
  <c r="Z60" i="84"/>
  <c r="X60" i="84"/>
  <c r="L60" i="84"/>
  <c r="N60" i="84" s="1"/>
  <c r="J60" i="84"/>
  <c r="B60" i="84"/>
  <c r="T59" i="84"/>
  <c r="P59" i="84"/>
  <c r="J59" i="84"/>
  <c r="H59" i="84"/>
  <c r="D59" i="84"/>
  <c r="B59" i="84"/>
  <c r="X58" i="84"/>
  <c r="Z58" i="84" s="1"/>
  <c r="N58" i="84"/>
  <c r="L58" i="84"/>
  <c r="B58" i="84"/>
  <c r="X57" i="84"/>
  <c r="Z57" i="84" s="1"/>
  <c r="T57" i="84"/>
  <c r="P57" i="84"/>
  <c r="L57" i="84"/>
  <c r="N57" i="84" s="1"/>
  <c r="H57" i="84"/>
  <c r="D57" i="84"/>
  <c r="B57" i="84"/>
  <c r="Z56" i="84"/>
  <c r="X56" i="84"/>
  <c r="N56" i="84"/>
  <c r="L56" i="84"/>
  <c r="B56" i="84"/>
  <c r="Z55" i="84"/>
  <c r="X55" i="84"/>
  <c r="T55" i="84"/>
  <c r="P55" i="84"/>
  <c r="H55" i="84"/>
  <c r="D55" i="84"/>
  <c r="B55" i="84"/>
  <c r="Z54" i="84"/>
  <c r="X54" i="84"/>
  <c r="L54" i="84"/>
  <c r="N54" i="84" s="1"/>
  <c r="J54" i="84"/>
  <c r="B54" i="84"/>
  <c r="X53" i="84"/>
  <c r="Z53" i="84" s="1"/>
  <c r="N53" i="84"/>
  <c r="L53" i="84"/>
  <c r="B53" i="84"/>
  <c r="Z52" i="84"/>
  <c r="T52" i="84"/>
  <c r="P52" i="84"/>
  <c r="X52" i="84" s="1"/>
  <c r="J52" i="84"/>
  <c r="H52" i="84"/>
  <c r="D52" i="84"/>
  <c r="L52" i="84" s="1"/>
  <c r="N52" i="84" s="1"/>
  <c r="B52" i="84"/>
  <c r="X51" i="84"/>
  <c r="Z51" i="84" s="1"/>
  <c r="N51" i="84"/>
  <c r="L51" i="84"/>
  <c r="B51" i="84"/>
  <c r="X50" i="84"/>
  <c r="T50" i="84"/>
  <c r="P50" i="84"/>
  <c r="L50" i="84"/>
  <c r="J50" i="84"/>
  <c r="H50" i="84"/>
  <c r="D50" i="84"/>
  <c r="B50" i="84"/>
  <c r="X49" i="84"/>
  <c r="Z49" i="84" s="1"/>
  <c r="L49" i="84"/>
  <c r="N49" i="84" s="1"/>
  <c r="B49" i="84"/>
  <c r="T48" i="84"/>
  <c r="P48" i="84"/>
  <c r="H48" i="84"/>
  <c r="D48" i="84"/>
  <c r="B48" i="84"/>
  <c r="X47" i="84"/>
  <c r="Z47" i="84" s="1"/>
  <c r="V47" i="84"/>
  <c r="L47" i="84"/>
  <c r="N47" i="84" s="1"/>
  <c r="B47" i="84"/>
  <c r="T46" i="84"/>
  <c r="P46" i="84"/>
  <c r="X46" i="84" s="1"/>
  <c r="Z46" i="84" s="1"/>
  <c r="J46" i="84"/>
  <c r="H46" i="84"/>
  <c r="D46" i="84"/>
  <c r="L46" i="84" s="1"/>
  <c r="N46" i="84" s="1"/>
  <c r="B46" i="84"/>
  <c r="Z45" i="84"/>
  <c r="X45" i="84"/>
  <c r="N45" i="84"/>
  <c r="L45" i="84"/>
  <c r="B45" i="84"/>
  <c r="Z44" i="84"/>
  <c r="X44" i="84"/>
  <c r="V44" i="84"/>
  <c r="N44" i="84"/>
  <c r="L44" i="84"/>
  <c r="B44" i="84"/>
  <c r="Z43" i="84"/>
  <c r="X43" i="84"/>
  <c r="N43" i="84"/>
  <c r="L43" i="84"/>
  <c r="J43" i="84"/>
  <c r="B43" i="84"/>
  <c r="X42" i="84"/>
  <c r="Z42" i="84" s="1"/>
  <c r="V42" i="84"/>
  <c r="N42" i="84"/>
  <c r="L42" i="84"/>
  <c r="B42" i="84"/>
  <c r="Z41" i="84"/>
  <c r="X41" i="84"/>
  <c r="N41" i="84"/>
  <c r="L41" i="84"/>
  <c r="B41" i="84"/>
  <c r="Z40" i="84"/>
  <c r="X40" i="84"/>
  <c r="V40" i="84"/>
  <c r="N40" i="84"/>
  <c r="L40" i="84"/>
  <c r="B40" i="84"/>
  <c r="Z39" i="84"/>
  <c r="X39" i="84"/>
  <c r="N39" i="84"/>
  <c r="L39" i="84"/>
  <c r="B39" i="84"/>
  <c r="Z38" i="84"/>
  <c r="X38" i="84"/>
  <c r="N38" i="84"/>
  <c r="L38" i="84"/>
  <c r="B38" i="84"/>
  <c r="X37" i="84"/>
  <c r="Z37" i="84" s="1"/>
  <c r="L37" i="84"/>
  <c r="N37" i="84" s="1"/>
  <c r="B37" i="84"/>
  <c r="Z36" i="84"/>
  <c r="X36" i="84"/>
  <c r="N36" i="84"/>
  <c r="L36" i="84"/>
  <c r="B36" i="84"/>
  <c r="T35" i="84"/>
  <c r="P35" i="84"/>
  <c r="X35" i="84" s="1"/>
  <c r="Z35" i="84" s="1"/>
  <c r="N35" i="84"/>
  <c r="L35" i="84"/>
  <c r="H35" i="84"/>
  <c r="D35" i="84"/>
  <c r="B35" i="84"/>
  <c r="Z34" i="84"/>
  <c r="X34" i="84"/>
  <c r="N34" i="84"/>
  <c r="L34" i="84"/>
  <c r="J34" i="84"/>
  <c r="B34" i="84"/>
  <c r="Z33" i="84"/>
  <c r="X33" i="84"/>
  <c r="N33" i="84"/>
  <c r="L33" i="84"/>
  <c r="B33" i="84"/>
  <c r="Z32" i="84"/>
  <c r="X32" i="84"/>
  <c r="N32" i="84"/>
  <c r="L32" i="84"/>
  <c r="B32" i="84"/>
  <c r="Z31" i="84"/>
  <c r="X31" i="84"/>
  <c r="N31" i="84"/>
  <c r="L31" i="84"/>
  <c r="J31" i="84"/>
  <c r="B31" i="84"/>
  <c r="Z30" i="84"/>
  <c r="X30" i="84"/>
  <c r="L30" i="84"/>
  <c r="N30" i="84" s="1"/>
  <c r="B30" i="84"/>
  <c r="X29" i="84"/>
  <c r="Z29" i="84" s="1"/>
  <c r="N29" i="84"/>
  <c r="L29" i="84"/>
  <c r="B29" i="84"/>
  <c r="Z28" i="84"/>
  <c r="X28" i="84"/>
  <c r="N28" i="84"/>
  <c r="L28" i="84"/>
  <c r="J28" i="84"/>
  <c r="B28" i="84"/>
  <c r="Z27" i="84"/>
  <c r="X27" i="84"/>
  <c r="L27" i="84"/>
  <c r="N27" i="84" s="1"/>
  <c r="B27" i="84"/>
  <c r="Z26" i="84"/>
  <c r="X26" i="84"/>
  <c r="N26" i="84"/>
  <c r="L26" i="84"/>
  <c r="J26" i="84"/>
  <c r="B26" i="84"/>
  <c r="X25" i="84"/>
  <c r="T25" i="84"/>
  <c r="Z25" i="84" s="1"/>
  <c r="P25" i="84"/>
  <c r="H25" i="84"/>
  <c r="D25" i="84"/>
  <c r="B25" i="84"/>
  <c r="Z24" i="84"/>
  <c r="T24" i="84"/>
  <c r="P24" i="84"/>
  <c r="X24" i="84" s="1"/>
  <c r="L24" i="84"/>
  <c r="N24" i="84" s="1"/>
  <c r="H24" i="84"/>
  <c r="D24" i="84"/>
  <c r="Z20" i="84"/>
  <c r="X20" i="84"/>
  <c r="N20" i="84"/>
  <c r="L20" i="84"/>
  <c r="J20" i="84"/>
  <c r="B20" i="84"/>
  <c r="Z19" i="84"/>
  <c r="X19" i="84"/>
  <c r="N19" i="84"/>
  <c r="L19" i="84"/>
  <c r="B19" i="84"/>
  <c r="Z18" i="84"/>
  <c r="X18" i="84"/>
  <c r="V18" i="84"/>
  <c r="L18" i="84"/>
  <c r="N18" i="84" s="1"/>
  <c r="J18" i="84"/>
  <c r="B18" i="84"/>
  <c r="T17" i="84"/>
  <c r="P17" i="84"/>
  <c r="X17" i="84" s="1"/>
  <c r="J17" i="84"/>
  <c r="H17" i="84"/>
  <c r="D17" i="84"/>
  <c r="L17" i="84" s="1"/>
  <c r="Z15" i="84"/>
  <c r="P15" i="84"/>
  <c r="X15" i="84" s="1"/>
  <c r="N15" i="84"/>
  <c r="L15" i="84"/>
  <c r="D15" i="84"/>
  <c r="D12" i="84" s="1"/>
  <c r="B15" i="84"/>
  <c r="Z14" i="84"/>
  <c r="X14" i="84"/>
  <c r="P14" i="84"/>
  <c r="N14" i="84"/>
  <c r="L14" i="84"/>
  <c r="D14" i="84"/>
  <c r="B14" i="84"/>
  <c r="X13" i="84"/>
  <c r="Z13" i="84" s="1"/>
  <c r="P13" i="84"/>
  <c r="N13" i="84"/>
  <c r="D13" i="84"/>
  <c r="L13" i="84" s="1"/>
  <c r="B13" i="84"/>
  <c r="T12" i="84"/>
  <c r="V86" i="84" s="1"/>
  <c r="H12" i="84"/>
  <c r="J49" i="84" s="1"/>
  <c r="D6" i="84"/>
  <c r="D4" i="84"/>
  <c r="X30" i="83"/>
  <c r="Z30" i="83" s="1"/>
  <c r="V30" i="83"/>
  <c r="N30" i="83"/>
  <c r="L30" i="83"/>
  <c r="Z26" i="83"/>
  <c r="T26" i="83"/>
  <c r="P26" i="83"/>
  <c r="X26" i="83" s="1"/>
  <c r="N26" i="83"/>
  <c r="H26" i="83"/>
  <c r="D26" i="83"/>
  <c r="L26" i="83" s="1"/>
  <c r="Z24" i="83"/>
  <c r="X24" i="83"/>
  <c r="V24" i="83"/>
  <c r="T24" i="83"/>
  <c r="P24" i="83"/>
  <c r="N24" i="83"/>
  <c r="J24" i="83"/>
  <c r="H24" i="83"/>
  <c r="D24" i="83"/>
  <c r="L24" i="83" s="1"/>
  <c r="Z20" i="83"/>
  <c r="X20" i="83"/>
  <c r="V20" i="83"/>
  <c r="N20" i="83"/>
  <c r="L20" i="83"/>
  <c r="B20" i="83"/>
  <c r="Z19" i="83"/>
  <c r="X19" i="83"/>
  <c r="V19" i="83"/>
  <c r="N19" i="83"/>
  <c r="L19" i="83"/>
  <c r="B19" i="83"/>
  <c r="Z18" i="83"/>
  <c r="X18" i="83"/>
  <c r="V18" i="83"/>
  <c r="L18" i="83"/>
  <c r="N18" i="83" s="1"/>
  <c r="J18" i="83"/>
  <c r="B18" i="83"/>
  <c r="V17" i="83"/>
  <c r="T17" i="83"/>
  <c r="P17" i="83"/>
  <c r="H17" i="83"/>
  <c r="D17" i="83"/>
  <c r="L17" i="83" s="1"/>
  <c r="P15" i="83"/>
  <c r="X15" i="83" s="1"/>
  <c r="Z15" i="83" s="1"/>
  <c r="L15" i="83"/>
  <c r="N15" i="83" s="1"/>
  <c r="D15" i="83"/>
  <c r="B15" i="83"/>
  <c r="Z14" i="83"/>
  <c r="X14" i="83"/>
  <c r="P14" i="83"/>
  <c r="N14" i="83"/>
  <c r="L14" i="83"/>
  <c r="D14" i="83"/>
  <c r="B14" i="83"/>
  <c r="Z13" i="83"/>
  <c r="P13" i="83"/>
  <c r="N13" i="83"/>
  <c r="L13" i="83"/>
  <c r="D13" i="83"/>
  <c r="B13" i="83"/>
  <c r="T12" i="83"/>
  <c r="H12" i="83"/>
  <c r="J26" i="83" s="1"/>
  <c r="D12" i="83"/>
  <c r="F18" i="83" s="1"/>
  <c r="D6" i="83"/>
  <c r="D4" i="83"/>
  <c r="Z78" i="81"/>
  <c r="X78" i="81"/>
  <c r="N78" i="81"/>
  <c r="L78" i="81"/>
  <c r="V74" i="81"/>
  <c r="T74" i="81"/>
  <c r="Z74" i="81" s="1"/>
  <c r="P74" i="81"/>
  <c r="H74" i="81"/>
  <c r="N74" i="81" s="1"/>
  <c r="D74" i="81"/>
  <c r="L74" i="81" s="1"/>
  <c r="Z72" i="81"/>
  <c r="X72" i="81"/>
  <c r="R72" i="81"/>
  <c r="N72" i="81"/>
  <c r="L72" i="81"/>
  <c r="B72" i="81"/>
  <c r="T71" i="81"/>
  <c r="Z71" i="81" s="1"/>
  <c r="P71" i="81"/>
  <c r="H71" i="81"/>
  <c r="N71" i="81" s="1"/>
  <c r="D71" i="81"/>
  <c r="B71" i="81"/>
  <c r="Z70" i="81"/>
  <c r="X70" i="81"/>
  <c r="N70" i="81"/>
  <c r="L70" i="81"/>
  <c r="J70" i="81"/>
  <c r="B70" i="81"/>
  <c r="T69" i="81"/>
  <c r="P69" i="81"/>
  <c r="X69" i="81" s="1"/>
  <c r="Z69" i="81" s="1"/>
  <c r="H69" i="81"/>
  <c r="D69" i="81"/>
  <c r="L69" i="81" s="1"/>
  <c r="B69" i="81"/>
  <c r="Z68" i="81"/>
  <c r="X68" i="81"/>
  <c r="N68" i="81"/>
  <c r="L68" i="81"/>
  <c r="B68" i="81"/>
  <c r="Z67" i="81"/>
  <c r="X67" i="81"/>
  <c r="N67" i="81"/>
  <c r="L67" i="81"/>
  <c r="B67" i="81"/>
  <c r="Z66" i="81"/>
  <c r="X66" i="81"/>
  <c r="V66" i="81"/>
  <c r="R66" i="81"/>
  <c r="N66" i="81"/>
  <c r="L66" i="81"/>
  <c r="B66" i="81"/>
  <c r="T65" i="81"/>
  <c r="Z65" i="81" s="1"/>
  <c r="P65" i="81"/>
  <c r="X65" i="81" s="1"/>
  <c r="L65" i="81"/>
  <c r="N65" i="81" s="1"/>
  <c r="H65" i="81"/>
  <c r="D65" i="81"/>
  <c r="B65" i="81"/>
  <c r="Z64" i="81"/>
  <c r="X64" i="81"/>
  <c r="N64" i="81"/>
  <c r="L64" i="81"/>
  <c r="J64" i="81"/>
  <c r="B64" i="81"/>
  <c r="Z63" i="81"/>
  <c r="X63" i="81"/>
  <c r="N63" i="81"/>
  <c r="L63" i="81"/>
  <c r="B63" i="81"/>
  <c r="Z62" i="81"/>
  <c r="X62" i="81"/>
  <c r="T62" i="81"/>
  <c r="P62" i="81"/>
  <c r="N62" i="81"/>
  <c r="H62" i="81"/>
  <c r="D62" i="81"/>
  <c r="L62" i="81" s="1"/>
  <c r="B62" i="81"/>
  <c r="Z61" i="81"/>
  <c r="X61" i="81"/>
  <c r="L61" i="81"/>
  <c r="N61" i="81" s="1"/>
  <c r="B61" i="81"/>
  <c r="X60" i="81"/>
  <c r="Z60" i="81" s="1"/>
  <c r="V60" i="81"/>
  <c r="T60" i="81"/>
  <c r="P60" i="81"/>
  <c r="N60" i="81"/>
  <c r="L60" i="81"/>
  <c r="H60" i="81"/>
  <c r="D60" i="81"/>
  <c r="B60" i="81"/>
  <c r="X59" i="81"/>
  <c r="Z59" i="81" s="1"/>
  <c r="L59" i="81"/>
  <c r="N59" i="81" s="1"/>
  <c r="B59" i="81"/>
  <c r="T58" i="81"/>
  <c r="R58" i="81"/>
  <c r="P58" i="81"/>
  <c r="H58" i="81"/>
  <c r="D58" i="81"/>
  <c r="L58" i="81" s="1"/>
  <c r="B58" i="81"/>
  <c r="X57" i="81"/>
  <c r="Z57" i="81" s="1"/>
  <c r="V57" i="81"/>
  <c r="R57" i="81"/>
  <c r="N57" i="81"/>
  <c r="L57" i="81"/>
  <c r="B57" i="81"/>
  <c r="T56" i="81"/>
  <c r="R56" i="81"/>
  <c r="P56" i="81"/>
  <c r="X56" i="81" s="1"/>
  <c r="Z56" i="81" s="1"/>
  <c r="N56" i="81"/>
  <c r="L56" i="81"/>
  <c r="H56" i="81"/>
  <c r="D56" i="81"/>
  <c r="B56" i="81"/>
  <c r="Z55" i="81"/>
  <c r="X55" i="81"/>
  <c r="R55" i="81"/>
  <c r="N55" i="81"/>
  <c r="L55" i="81"/>
  <c r="B55" i="81"/>
  <c r="Z54" i="81"/>
  <c r="X54" i="81"/>
  <c r="T54" i="81"/>
  <c r="P54" i="81"/>
  <c r="N54" i="81"/>
  <c r="L54" i="81"/>
  <c r="J54" i="81"/>
  <c r="H54" i="81"/>
  <c r="D54" i="81"/>
  <c r="B54" i="81"/>
  <c r="X53" i="81"/>
  <c r="Z53" i="81" s="1"/>
  <c r="L53" i="81"/>
  <c r="N53" i="81" s="1"/>
  <c r="J53" i="81"/>
  <c r="B53" i="81"/>
  <c r="T52" i="81"/>
  <c r="P52" i="81"/>
  <c r="X52" i="81" s="1"/>
  <c r="H52" i="81"/>
  <c r="D52" i="81"/>
  <c r="L52" i="81" s="1"/>
  <c r="B52" i="81"/>
  <c r="X51" i="81"/>
  <c r="Z51" i="81" s="1"/>
  <c r="L51" i="81"/>
  <c r="N51" i="81" s="1"/>
  <c r="B51" i="81"/>
  <c r="Z50" i="81"/>
  <c r="X50" i="81"/>
  <c r="T50" i="81"/>
  <c r="P50" i="81"/>
  <c r="H50" i="81"/>
  <c r="D50" i="81"/>
  <c r="L50" i="81" s="1"/>
  <c r="N50" i="81" s="1"/>
  <c r="B50" i="81"/>
  <c r="Z49" i="81"/>
  <c r="X49" i="81"/>
  <c r="N49" i="81"/>
  <c r="L49" i="81"/>
  <c r="B49" i="81"/>
  <c r="Z48" i="81"/>
  <c r="X48" i="81"/>
  <c r="V48" i="81"/>
  <c r="T48" i="81"/>
  <c r="P48" i="81"/>
  <c r="N48" i="81"/>
  <c r="L48" i="81"/>
  <c r="H48" i="81"/>
  <c r="D48" i="81"/>
  <c r="B48" i="81"/>
  <c r="Z47" i="81"/>
  <c r="X47" i="81"/>
  <c r="N47" i="81"/>
  <c r="L47" i="81"/>
  <c r="B47" i="81"/>
  <c r="V46" i="81"/>
  <c r="T46" i="81"/>
  <c r="Z46" i="81" s="1"/>
  <c r="R46" i="81"/>
  <c r="P46" i="81"/>
  <c r="H46" i="81"/>
  <c r="N46" i="81" s="1"/>
  <c r="D46" i="81"/>
  <c r="L46" i="81" s="1"/>
  <c r="B46" i="81"/>
  <c r="Z45" i="81"/>
  <c r="X45" i="81"/>
  <c r="V45" i="81"/>
  <c r="R45" i="81"/>
  <c r="N45" i="81"/>
  <c r="L45" i="81"/>
  <c r="B45" i="81"/>
  <c r="Z44" i="81"/>
  <c r="X44" i="81"/>
  <c r="N44" i="81"/>
  <c r="L44" i="81"/>
  <c r="J44" i="81"/>
  <c r="B44" i="81"/>
  <c r="Z43" i="81"/>
  <c r="X43" i="81"/>
  <c r="N43" i="81"/>
  <c r="L43" i="81"/>
  <c r="B43" i="81"/>
  <c r="Z42" i="81"/>
  <c r="X42" i="81"/>
  <c r="L42" i="81"/>
  <c r="N42" i="81" s="1"/>
  <c r="B42" i="81"/>
  <c r="Z41" i="81"/>
  <c r="X41" i="81"/>
  <c r="V41" i="81"/>
  <c r="N41" i="81"/>
  <c r="L41" i="81"/>
  <c r="B41" i="81"/>
  <c r="Z40" i="81"/>
  <c r="X40" i="81"/>
  <c r="N40" i="81"/>
  <c r="L40" i="81"/>
  <c r="J40" i="81"/>
  <c r="B40" i="81"/>
  <c r="Z39" i="81"/>
  <c r="X39" i="81"/>
  <c r="N39" i="81"/>
  <c r="L39" i="81"/>
  <c r="B39" i="81"/>
  <c r="Z38" i="81"/>
  <c r="X38" i="81"/>
  <c r="N38" i="81"/>
  <c r="L38" i="81"/>
  <c r="B38" i="81"/>
  <c r="Z37" i="81"/>
  <c r="X37" i="81"/>
  <c r="V37" i="81"/>
  <c r="N37" i="81"/>
  <c r="L37" i="81"/>
  <c r="B37" i="81"/>
  <c r="Z36" i="81"/>
  <c r="X36" i="81"/>
  <c r="L36" i="81"/>
  <c r="N36" i="81" s="1"/>
  <c r="J36" i="81"/>
  <c r="B36" i="81"/>
  <c r="T35" i="81"/>
  <c r="P35" i="81"/>
  <c r="X35" i="81" s="1"/>
  <c r="J35" i="81"/>
  <c r="H35" i="81"/>
  <c r="D35" i="81"/>
  <c r="B35" i="81"/>
  <c r="Z34" i="81"/>
  <c r="X34" i="81"/>
  <c r="V34" i="81"/>
  <c r="N34" i="81"/>
  <c r="L34" i="81"/>
  <c r="J34" i="81"/>
  <c r="B34" i="81"/>
  <c r="Z33" i="81"/>
  <c r="X33" i="81"/>
  <c r="L33" i="81"/>
  <c r="N33" i="81" s="1"/>
  <c r="B33" i="81"/>
  <c r="Z32" i="81"/>
  <c r="X32" i="81"/>
  <c r="V32" i="81"/>
  <c r="N32" i="81"/>
  <c r="L32" i="81"/>
  <c r="B32" i="81"/>
  <c r="Z31" i="81"/>
  <c r="X31" i="81"/>
  <c r="R31" i="81"/>
  <c r="N31" i="81"/>
  <c r="L31" i="81"/>
  <c r="B31" i="81"/>
  <c r="X30" i="81"/>
  <c r="Z30" i="81" s="1"/>
  <c r="V30" i="81"/>
  <c r="N30" i="81"/>
  <c r="L30" i="81"/>
  <c r="J30" i="81"/>
  <c r="B30" i="81"/>
  <c r="Z29" i="81"/>
  <c r="X29" i="81"/>
  <c r="L29" i="81"/>
  <c r="N29" i="81" s="1"/>
  <c r="B29" i="81"/>
  <c r="X28" i="81"/>
  <c r="Z28" i="81" s="1"/>
  <c r="V28" i="81"/>
  <c r="N28" i="81"/>
  <c r="L28" i="81"/>
  <c r="B28" i="81"/>
  <c r="X27" i="81"/>
  <c r="Z27" i="81" s="1"/>
  <c r="R27" i="81"/>
  <c r="L27" i="81"/>
  <c r="N27" i="81" s="1"/>
  <c r="B27" i="81"/>
  <c r="X26" i="81"/>
  <c r="Z26" i="81" s="1"/>
  <c r="V26" i="81"/>
  <c r="N26" i="81"/>
  <c r="L26" i="81"/>
  <c r="J26" i="81"/>
  <c r="B26" i="81"/>
  <c r="T25" i="81"/>
  <c r="P25" i="81"/>
  <c r="X25" i="81" s="1"/>
  <c r="Z25" i="81" s="1"/>
  <c r="H25" i="81"/>
  <c r="D25" i="81"/>
  <c r="L25" i="81" s="1"/>
  <c r="B25" i="81"/>
  <c r="T24" i="81"/>
  <c r="Z24" i="81" s="1"/>
  <c r="R24" i="81"/>
  <c r="P24" i="81"/>
  <c r="X24" i="81" s="1"/>
  <c r="J24" i="81"/>
  <c r="H24" i="81"/>
  <c r="D24" i="81"/>
  <c r="T22" i="81"/>
  <c r="J22" i="81"/>
  <c r="H22" i="81"/>
  <c r="Z20" i="81"/>
  <c r="X20" i="81"/>
  <c r="R20" i="81"/>
  <c r="N20" i="81"/>
  <c r="L20" i="81"/>
  <c r="B20" i="81"/>
  <c r="Z19" i="81"/>
  <c r="X19" i="81"/>
  <c r="V19" i="81"/>
  <c r="N19" i="81"/>
  <c r="L19" i="81"/>
  <c r="J19" i="81"/>
  <c r="B19" i="81"/>
  <c r="Z18" i="81"/>
  <c r="X18" i="81"/>
  <c r="V18" i="81"/>
  <c r="R18" i="81"/>
  <c r="N18" i="81"/>
  <c r="L18" i="81"/>
  <c r="B18" i="81"/>
  <c r="T17" i="81"/>
  <c r="V17" i="81" s="1"/>
  <c r="P17" i="81"/>
  <c r="X17" i="81" s="1"/>
  <c r="Z17" i="81" s="1"/>
  <c r="L17" i="81"/>
  <c r="N17" i="81" s="1"/>
  <c r="J17" i="81"/>
  <c r="H17" i="81"/>
  <c r="D17" i="81"/>
  <c r="Z15" i="81"/>
  <c r="X15" i="81"/>
  <c r="P15" i="81"/>
  <c r="N15" i="81"/>
  <c r="D15" i="81"/>
  <c r="L15" i="81" s="1"/>
  <c r="B15" i="81"/>
  <c r="Z14" i="81"/>
  <c r="X14" i="81"/>
  <c r="P14" i="81"/>
  <c r="D14" i="81"/>
  <c r="L14" i="81" s="1"/>
  <c r="N14" i="81" s="1"/>
  <c r="B14" i="81"/>
  <c r="Z13" i="81"/>
  <c r="X13" i="81"/>
  <c r="P13" i="81"/>
  <c r="N13" i="81"/>
  <c r="D13" i="81"/>
  <c r="B13" i="81"/>
  <c r="T12" i="81"/>
  <c r="V67" i="81" s="1"/>
  <c r="P12" i="81"/>
  <c r="R74" i="81" s="1"/>
  <c r="H12" i="81"/>
  <c r="J78" i="81" s="1"/>
  <c r="D6" i="81"/>
  <c r="D4" i="81"/>
  <c r="Z78" i="80"/>
  <c r="X78" i="80"/>
  <c r="L78" i="80"/>
  <c r="N78" i="80" s="1"/>
  <c r="Z74" i="80"/>
  <c r="T74" i="80"/>
  <c r="P74" i="80"/>
  <c r="X74" i="80" s="1"/>
  <c r="H74" i="80"/>
  <c r="N74" i="80" s="1"/>
  <c r="D74" i="80"/>
  <c r="L74" i="80" s="1"/>
  <c r="Z72" i="80"/>
  <c r="X72" i="80"/>
  <c r="L72" i="80"/>
  <c r="N72" i="80" s="1"/>
  <c r="B72" i="80"/>
  <c r="Z71" i="80"/>
  <c r="T71" i="80"/>
  <c r="X71" i="80" s="1"/>
  <c r="P71" i="80"/>
  <c r="N71" i="80"/>
  <c r="L71" i="80"/>
  <c r="H71" i="80"/>
  <c r="D71" i="80"/>
  <c r="B71" i="80"/>
  <c r="Z70" i="80"/>
  <c r="X70" i="80"/>
  <c r="V70" i="80"/>
  <c r="L70" i="80"/>
  <c r="N70" i="80" s="1"/>
  <c r="B70" i="80"/>
  <c r="V69" i="80"/>
  <c r="T69" i="80"/>
  <c r="P69" i="80"/>
  <c r="H69" i="80"/>
  <c r="D69" i="80"/>
  <c r="B69" i="80"/>
  <c r="X68" i="80"/>
  <c r="Z68" i="80" s="1"/>
  <c r="N68" i="80"/>
  <c r="L68" i="80"/>
  <c r="B68" i="80"/>
  <c r="Z67" i="80"/>
  <c r="X67" i="80"/>
  <c r="N67" i="80"/>
  <c r="L67" i="80"/>
  <c r="J67" i="80"/>
  <c r="B67" i="80"/>
  <c r="Z66" i="80"/>
  <c r="X66" i="80"/>
  <c r="T66" i="80"/>
  <c r="P66" i="80"/>
  <c r="L66" i="80"/>
  <c r="H66" i="80"/>
  <c r="D66" i="80"/>
  <c r="B66" i="80"/>
  <c r="Z65" i="80"/>
  <c r="X65" i="80"/>
  <c r="N65" i="80"/>
  <c r="L65" i="80"/>
  <c r="B65" i="80"/>
  <c r="Z64" i="80"/>
  <c r="X64" i="80"/>
  <c r="V64" i="80"/>
  <c r="N64" i="80"/>
  <c r="L64" i="80"/>
  <c r="B64" i="80"/>
  <c r="T63" i="80"/>
  <c r="P63" i="80"/>
  <c r="N63" i="80"/>
  <c r="L63" i="80"/>
  <c r="J63" i="80"/>
  <c r="H63" i="80"/>
  <c r="D63" i="80"/>
  <c r="B63" i="80"/>
  <c r="Z62" i="80"/>
  <c r="X62" i="80"/>
  <c r="L62" i="80"/>
  <c r="N62" i="80" s="1"/>
  <c r="B62" i="80"/>
  <c r="V61" i="80"/>
  <c r="T61" i="80"/>
  <c r="P61" i="80"/>
  <c r="X61" i="80" s="1"/>
  <c r="L61" i="80"/>
  <c r="H61" i="80"/>
  <c r="D61" i="80"/>
  <c r="B61" i="80"/>
  <c r="Z60" i="80"/>
  <c r="X60" i="80"/>
  <c r="V60" i="80"/>
  <c r="N60" i="80"/>
  <c r="L60" i="80"/>
  <c r="B60" i="80"/>
  <c r="Z59" i="80"/>
  <c r="T59" i="80"/>
  <c r="P59" i="80"/>
  <c r="X59" i="80" s="1"/>
  <c r="N59" i="80"/>
  <c r="L59" i="80"/>
  <c r="H59" i="80"/>
  <c r="D59" i="80"/>
  <c r="B59" i="80"/>
  <c r="Z58" i="80"/>
  <c r="X58" i="80"/>
  <c r="N58" i="80"/>
  <c r="L58" i="80"/>
  <c r="J58" i="80"/>
  <c r="B58" i="80"/>
  <c r="Z57" i="80"/>
  <c r="X57" i="80"/>
  <c r="V57" i="80"/>
  <c r="T57" i="80"/>
  <c r="P57" i="80"/>
  <c r="H57" i="80"/>
  <c r="N57" i="80" s="1"/>
  <c r="D57" i="80"/>
  <c r="L57" i="80" s="1"/>
  <c r="B57" i="80"/>
  <c r="X56" i="80"/>
  <c r="Z56" i="80" s="1"/>
  <c r="L56" i="80"/>
  <c r="N56" i="80" s="1"/>
  <c r="B56" i="80"/>
  <c r="T55" i="80"/>
  <c r="P55" i="80"/>
  <c r="J55" i="80"/>
  <c r="H55" i="80"/>
  <c r="D55" i="80"/>
  <c r="L55" i="80" s="1"/>
  <c r="B55" i="80"/>
  <c r="Z54" i="80"/>
  <c r="X54" i="80"/>
  <c r="N54" i="80"/>
  <c r="L54" i="80"/>
  <c r="B54" i="80"/>
  <c r="Z53" i="80"/>
  <c r="X53" i="80"/>
  <c r="T53" i="80"/>
  <c r="P53" i="80"/>
  <c r="L53" i="80"/>
  <c r="H53" i="80"/>
  <c r="N53" i="80" s="1"/>
  <c r="D53" i="80"/>
  <c r="B53" i="80"/>
  <c r="Z52" i="80"/>
  <c r="X52" i="80"/>
  <c r="N52" i="80"/>
  <c r="L52" i="80"/>
  <c r="B52" i="80"/>
  <c r="X51" i="80"/>
  <c r="T51" i="80"/>
  <c r="P51" i="80"/>
  <c r="N51" i="80"/>
  <c r="L51" i="80"/>
  <c r="H51" i="80"/>
  <c r="D51" i="80"/>
  <c r="B51" i="80"/>
  <c r="Z50" i="80"/>
  <c r="X50" i="80"/>
  <c r="V50" i="80"/>
  <c r="L50" i="80"/>
  <c r="N50" i="80" s="1"/>
  <c r="B50" i="80"/>
  <c r="T49" i="80"/>
  <c r="P49" i="80"/>
  <c r="X49" i="80" s="1"/>
  <c r="L49" i="80"/>
  <c r="J49" i="80"/>
  <c r="H49" i="80"/>
  <c r="D49" i="80"/>
  <c r="B49" i="80"/>
  <c r="Z48" i="80"/>
  <c r="X48" i="80"/>
  <c r="N48" i="80"/>
  <c r="L48" i="80"/>
  <c r="B48" i="80"/>
  <c r="Z47" i="80"/>
  <c r="T47" i="80"/>
  <c r="P47" i="80"/>
  <c r="X47" i="80" s="1"/>
  <c r="N47" i="80"/>
  <c r="H47" i="80"/>
  <c r="D47" i="80"/>
  <c r="L47" i="80" s="1"/>
  <c r="B47" i="80"/>
  <c r="Z46" i="80"/>
  <c r="X46" i="80"/>
  <c r="N46" i="80"/>
  <c r="L46" i="80"/>
  <c r="B46" i="80"/>
  <c r="X45" i="80"/>
  <c r="T45" i="80"/>
  <c r="Z45" i="80" s="1"/>
  <c r="P45" i="80"/>
  <c r="N45" i="80"/>
  <c r="J45" i="80"/>
  <c r="H45" i="80"/>
  <c r="D45" i="80"/>
  <c r="L45" i="80" s="1"/>
  <c r="B45" i="80"/>
  <c r="Z44" i="80"/>
  <c r="X44" i="80"/>
  <c r="V44" i="80"/>
  <c r="N44" i="80"/>
  <c r="L44" i="80"/>
  <c r="B44" i="80"/>
  <c r="Z43" i="80"/>
  <c r="X43" i="80"/>
  <c r="N43" i="80"/>
  <c r="L43" i="80"/>
  <c r="B43" i="80"/>
  <c r="Z42" i="80"/>
  <c r="X42" i="80"/>
  <c r="V42" i="80"/>
  <c r="N42" i="80"/>
  <c r="L42" i="80"/>
  <c r="B42" i="80"/>
  <c r="X41" i="80"/>
  <c r="Z41" i="80" s="1"/>
  <c r="L41" i="80"/>
  <c r="N41" i="80" s="1"/>
  <c r="B41" i="80"/>
  <c r="Z40" i="80"/>
  <c r="X40" i="80"/>
  <c r="N40" i="80"/>
  <c r="L40" i="80"/>
  <c r="B40" i="80"/>
  <c r="Z39" i="80"/>
  <c r="X39" i="80"/>
  <c r="N39" i="80"/>
  <c r="L39" i="80"/>
  <c r="B39" i="80"/>
  <c r="Z38" i="80"/>
  <c r="X38" i="80"/>
  <c r="N38" i="80"/>
  <c r="L38" i="80"/>
  <c r="J38" i="80"/>
  <c r="B38" i="80"/>
  <c r="Z37" i="80"/>
  <c r="X37" i="80"/>
  <c r="N37" i="80"/>
  <c r="L37" i="80"/>
  <c r="B37" i="80"/>
  <c r="Z36" i="80"/>
  <c r="X36" i="80"/>
  <c r="N36" i="80"/>
  <c r="L36" i="80"/>
  <c r="J36" i="80"/>
  <c r="B36" i="80"/>
  <c r="X35" i="80"/>
  <c r="Z35" i="80" s="1"/>
  <c r="N35" i="80"/>
  <c r="L35" i="80"/>
  <c r="B35" i="80"/>
  <c r="V34" i="80"/>
  <c r="T34" i="80"/>
  <c r="P34" i="80"/>
  <c r="X34" i="80" s="1"/>
  <c r="Z34" i="80" s="1"/>
  <c r="J34" i="80"/>
  <c r="H34" i="80"/>
  <c r="D34" i="80"/>
  <c r="L34" i="80" s="1"/>
  <c r="N34" i="80" s="1"/>
  <c r="B34" i="80"/>
  <c r="X33" i="80"/>
  <c r="Z33" i="80" s="1"/>
  <c r="N33" i="80"/>
  <c r="L33" i="80"/>
  <c r="B33" i="80"/>
  <c r="X32" i="80"/>
  <c r="Z32" i="80" s="1"/>
  <c r="N32" i="80"/>
  <c r="L32" i="80"/>
  <c r="B32" i="80"/>
  <c r="Z31" i="80"/>
  <c r="X31" i="80"/>
  <c r="N31" i="80"/>
  <c r="L31" i="80"/>
  <c r="B31" i="80"/>
  <c r="Z30" i="80"/>
  <c r="X30" i="80"/>
  <c r="V30" i="80"/>
  <c r="N30" i="80"/>
  <c r="L30" i="80"/>
  <c r="J30" i="80"/>
  <c r="B30" i="80"/>
  <c r="X29" i="80"/>
  <c r="Z29" i="80" s="1"/>
  <c r="N29" i="80"/>
  <c r="L29" i="80"/>
  <c r="B29" i="80"/>
  <c r="X28" i="80"/>
  <c r="Z28" i="80" s="1"/>
  <c r="V28" i="80"/>
  <c r="N28" i="80"/>
  <c r="L28" i="80"/>
  <c r="B28" i="80"/>
  <c r="Z27" i="80"/>
  <c r="X27" i="80"/>
  <c r="L27" i="80"/>
  <c r="N27" i="80" s="1"/>
  <c r="B27" i="80"/>
  <c r="Z26" i="80"/>
  <c r="X26" i="80"/>
  <c r="V26" i="80"/>
  <c r="N26" i="80"/>
  <c r="L26" i="80"/>
  <c r="B26" i="80"/>
  <c r="X25" i="80"/>
  <c r="Z25" i="80" s="1"/>
  <c r="T25" i="80"/>
  <c r="P25" i="80"/>
  <c r="H25" i="80"/>
  <c r="L25" i="80" s="1"/>
  <c r="N25" i="80" s="1"/>
  <c r="D25" i="80"/>
  <c r="B25" i="80"/>
  <c r="T24" i="80"/>
  <c r="V24" i="80" s="1"/>
  <c r="P24" i="80"/>
  <c r="X24" i="80" s="1"/>
  <c r="J24" i="80"/>
  <c r="H24" i="80"/>
  <c r="N24" i="80" s="1"/>
  <c r="D24" i="80"/>
  <c r="L24" i="80" s="1"/>
  <c r="T22" i="80"/>
  <c r="Z20" i="80"/>
  <c r="X20" i="80"/>
  <c r="N20" i="80"/>
  <c r="L20" i="80"/>
  <c r="J20" i="80"/>
  <c r="B20" i="80"/>
  <c r="Z19" i="80"/>
  <c r="X19" i="80"/>
  <c r="V19" i="80"/>
  <c r="N19" i="80"/>
  <c r="L19" i="80"/>
  <c r="B19" i="80"/>
  <c r="Z18" i="80"/>
  <c r="X18" i="80"/>
  <c r="L18" i="80"/>
  <c r="N18" i="80" s="1"/>
  <c r="B18" i="80"/>
  <c r="T17" i="80"/>
  <c r="P17" i="80"/>
  <c r="X17" i="80" s="1"/>
  <c r="N17" i="80"/>
  <c r="J17" i="80"/>
  <c r="H17" i="80"/>
  <c r="D17" i="80"/>
  <c r="L17" i="80" s="1"/>
  <c r="Z15" i="80"/>
  <c r="P15" i="80"/>
  <c r="X15" i="80" s="1"/>
  <c r="N15" i="80"/>
  <c r="D15" i="80"/>
  <c r="L15" i="80" s="1"/>
  <c r="B15" i="80"/>
  <c r="X14" i="80"/>
  <c r="Z14" i="80" s="1"/>
  <c r="P14" i="80"/>
  <c r="L14" i="80"/>
  <c r="N14" i="80" s="1"/>
  <c r="D14" i="80"/>
  <c r="B14" i="80"/>
  <c r="Z13" i="80"/>
  <c r="X13" i="80"/>
  <c r="P13" i="80"/>
  <c r="N13" i="80"/>
  <c r="D13" i="80"/>
  <c r="B13" i="80"/>
  <c r="T12" i="80"/>
  <c r="V68" i="80" s="1"/>
  <c r="P12" i="80"/>
  <c r="H12" i="80"/>
  <c r="J60" i="80" s="1"/>
  <c r="D6" i="80"/>
  <c r="D4" i="80"/>
  <c r="V68" i="79"/>
  <c r="Z63" i="79"/>
  <c r="X63" i="79"/>
  <c r="N63" i="79"/>
  <c r="L63" i="79"/>
  <c r="F63" i="79"/>
  <c r="V61" i="79"/>
  <c r="J61" i="79"/>
  <c r="V59" i="79"/>
  <c r="P59" i="79"/>
  <c r="X59" i="79" s="1"/>
  <c r="Z59" i="79" s="1"/>
  <c r="L59" i="79"/>
  <c r="N59" i="79" s="1"/>
  <c r="D59" i="79"/>
  <c r="B59" i="79"/>
  <c r="Z58" i="79"/>
  <c r="X58" i="79"/>
  <c r="P58" i="79"/>
  <c r="N58" i="79"/>
  <c r="L58" i="79"/>
  <c r="J58" i="79"/>
  <c r="D58" i="79"/>
  <c r="B58" i="79"/>
  <c r="Z57" i="79"/>
  <c r="X57" i="79"/>
  <c r="P57" i="79"/>
  <c r="P56" i="79" s="1"/>
  <c r="X56" i="79" s="1"/>
  <c r="N57" i="79"/>
  <c r="L57" i="79"/>
  <c r="D57" i="79"/>
  <c r="B57" i="79"/>
  <c r="T56" i="79"/>
  <c r="Z56" i="79" s="1"/>
  <c r="H56" i="79"/>
  <c r="D56" i="79"/>
  <c r="L56" i="79" s="1"/>
  <c r="N56" i="79" s="1"/>
  <c r="Z54" i="79"/>
  <c r="X54" i="79"/>
  <c r="N54" i="79"/>
  <c r="L54" i="79"/>
  <c r="J54" i="79"/>
  <c r="B54" i="79"/>
  <c r="T53" i="79"/>
  <c r="Z53" i="79" s="1"/>
  <c r="P53" i="79"/>
  <c r="N53" i="79"/>
  <c r="J53" i="79"/>
  <c r="H53" i="79"/>
  <c r="D53" i="79"/>
  <c r="L53" i="79" s="1"/>
  <c r="B53" i="79"/>
  <c r="X52" i="79"/>
  <c r="Z52" i="79" s="1"/>
  <c r="N52" i="79"/>
  <c r="L52" i="79"/>
  <c r="B52" i="79"/>
  <c r="Z51" i="79"/>
  <c r="V51" i="79"/>
  <c r="T51" i="79"/>
  <c r="P51" i="79"/>
  <c r="X51" i="79" s="1"/>
  <c r="J51" i="79"/>
  <c r="H51" i="79"/>
  <c r="D51" i="79"/>
  <c r="L51" i="79" s="1"/>
  <c r="N51" i="79" s="1"/>
  <c r="B51" i="79"/>
  <c r="Z50" i="79"/>
  <c r="X50" i="79"/>
  <c r="N50" i="79"/>
  <c r="L50" i="79"/>
  <c r="B50" i="79"/>
  <c r="X49" i="79"/>
  <c r="Z49" i="79" s="1"/>
  <c r="N49" i="79"/>
  <c r="L49" i="79"/>
  <c r="J49" i="79"/>
  <c r="B49" i="79"/>
  <c r="T48" i="79"/>
  <c r="P48" i="79"/>
  <c r="L48" i="79"/>
  <c r="N48" i="79" s="1"/>
  <c r="H48" i="79"/>
  <c r="D48" i="79"/>
  <c r="B48" i="79"/>
  <c r="Z47" i="79"/>
  <c r="X47" i="79"/>
  <c r="L47" i="79"/>
  <c r="N47" i="79" s="1"/>
  <c r="B47" i="79"/>
  <c r="X46" i="79"/>
  <c r="T46" i="79"/>
  <c r="Z46" i="79" s="1"/>
  <c r="P46" i="79"/>
  <c r="J46" i="79"/>
  <c r="H46" i="79"/>
  <c r="D46" i="79"/>
  <c r="L46" i="79" s="1"/>
  <c r="B46" i="79"/>
  <c r="Z45" i="79"/>
  <c r="X45" i="79"/>
  <c r="V45" i="79"/>
  <c r="N45" i="79"/>
  <c r="L45" i="79"/>
  <c r="J45" i="79"/>
  <c r="B45" i="79"/>
  <c r="Z44" i="79"/>
  <c r="X44" i="79"/>
  <c r="V44" i="79"/>
  <c r="N44" i="79"/>
  <c r="L44" i="79"/>
  <c r="B44" i="79"/>
  <c r="Z43" i="79"/>
  <c r="X43" i="79"/>
  <c r="N43" i="79"/>
  <c r="L43" i="79"/>
  <c r="J43" i="79"/>
  <c r="B43" i="79"/>
  <c r="Z42" i="79"/>
  <c r="X42" i="79"/>
  <c r="V42" i="79"/>
  <c r="N42" i="79"/>
  <c r="L42" i="79"/>
  <c r="B42" i="79"/>
  <c r="Z41" i="79"/>
  <c r="X41" i="79"/>
  <c r="V41" i="79"/>
  <c r="N41" i="79"/>
  <c r="L41" i="79"/>
  <c r="J41" i="79"/>
  <c r="B41" i="79"/>
  <c r="Z40" i="79"/>
  <c r="X40" i="79"/>
  <c r="N40" i="79"/>
  <c r="L40" i="79"/>
  <c r="J40" i="79"/>
  <c r="B40" i="79"/>
  <c r="Z39" i="79"/>
  <c r="X39" i="79"/>
  <c r="N39" i="79"/>
  <c r="L39" i="79"/>
  <c r="J39" i="79"/>
  <c r="B39" i="79"/>
  <c r="Z38" i="79"/>
  <c r="X38" i="79"/>
  <c r="N38" i="79"/>
  <c r="L38" i="79"/>
  <c r="J38" i="79"/>
  <c r="B38" i="79"/>
  <c r="Z37" i="79"/>
  <c r="X37" i="79"/>
  <c r="V37" i="79"/>
  <c r="N37" i="79"/>
  <c r="L37" i="79"/>
  <c r="J37" i="79"/>
  <c r="B37" i="79"/>
  <c r="Z36" i="79"/>
  <c r="X36" i="79"/>
  <c r="N36" i="79"/>
  <c r="L36" i="79"/>
  <c r="J36" i="79"/>
  <c r="B36" i="79"/>
  <c r="T35" i="79"/>
  <c r="X35" i="79" s="1"/>
  <c r="Z35" i="79" s="1"/>
  <c r="P35" i="79"/>
  <c r="N35" i="79"/>
  <c r="L35" i="79"/>
  <c r="J35" i="79"/>
  <c r="H35" i="79"/>
  <c r="D35" i="79"/>
  <c r="B35" i="79"/>
  <c r="X34" i="79"/>
  <c r="Z34" i="79" s="1"/>
  <c r="L34" i="79"/>
  <c r="N34" i="79" s="1"/>
  <c r="J34" i="79"/>
  <c r="B34" i="79"/>
  <c r="Z33" i="79"/>
  <c r="X33" i="79"/>
  <c r="V33" i="79"/>
  <c r="L33" i="79"/>
  <c r="N33" i="79" s="1"/>
  <c r="J33" i="79"/>
  <c r="B33" i="79"/>
  <c r="Z32" i="79"/>
  <c r="X32" i="79"/>
  <c r="N32" i="79"/>
  <c r="L32" i="79"/>
  <c r="J32" i="79"/>
  <c r="B32" i="79"/>
  <c r="Z31" i="79"/>
  <c r="X31" i="79"/>
  <c r="V31" i="79"/>
  <c r="N31" i="79"/>
  <c r="L31" i="79"/>
  <c r="J31" i="79"/>
  <c r="B31" i="79"/>
  <c r="X30" i="79"/>
  <c r="Z30" i="79" s="1"/>
  <c r="V30" i="79"/>
  <c r="L30" i="79"/>
  <c r="N30" i="79" s="1"/>
  <c r="J30" i="79"/>
  <c r="F30" i="79"/>
  <c r="B30" i="79"/>
  <c r="Z29" i="79"/>
  <c r="X29" i="79"/>
  <c r="V29" i="79"/>
  <c r="L29" i="79"/>
  <c r="N29" i="79" s="1"/>
  <c r="J29" i="79"/>
  <c r="B29" i="79"/>
  <c r="X28" i="79"/>
  <c r="Z28" i="79" s="1"/>
  <c r="L28" i="79"/>
  <c r="N28" i="79" s="1"/>
  <c r="J28" i="79"/>
  <c r="B28" i="79"/>
  <c r="Z27" i="79"/>
  <c r="X27" i="79"/>
  <c r="V27" i="79"/>
  <c r="N27" i="79"/>
  <c r="L27" i="79"/>
  <c r="J27" i="79"/>
  <c r="B27" i="79"/>
  <c r="V26" i="79"/>
  <c r="T26" i="79"/>
  <c r="P26" i="79"/>
  <c r="X26" i="79" s="1"/>
  <c r="Z26" i="79" s="1"/>
  <c r="L26" i="79"/>
  <c r="J26" i="79"/>
  <c r="H26" i="79"/>
  <c r="D26" i="79"/>
  <c r="B26" i="79"/>
  <c r="X25" i="79"/>
  <c r="Z25" i="79" s="1"/>
  <c r="T25" i="79"/>
  <c r="P25" i="79"/>
  <c r="J25" i="79"/>
  <c r="H25" i="79"/>
  <c r="D25" i="79"/>
  <c r="L25" i="79" s="1"/>
  <c r="N25" i="79" s="1"/>
  <c r="J23" i="79"/>
  <c r="Z21" i="79"/>
  <c r="X21" i="79"/>
  <c r="N21" i="79"/>
  <c r="L21" i="79"/>
  <c r="J21" i="79"/>
  <c r="B21" i="79"/>
  <c r="Z20" i="79"/>
  <c r="X20" i="79"/>
  <c r="N20" i="79"/>
  <c r="L20" i="79"/>
  <c r="B20" i="79"/>
  <c r="Z19" i="79"/>
  <c r="X19" i="79"/>
  <c r="V19" i="79"/>
  <c r="N19" i="79"/>
  <c r="L19" i="79"/>
  <c r="J19" i="79"/>
  <c r="B19" i="79"/>
  <c r="Z18" i="79"/>
  <c r="X18" i="79"/>
  <c r="N18" i="79"/>
  <c r="L18" i="79"/>
  <c r="B18" i="79"/>
  <c r="Z17" i="79"/>
  <c r="X17" i="79"/>
  <c r="T17" i="79"/>
  <c r="P17" i="79"/>
  <c r="N17" i="79"/>
  <c r="J17" i="79"/>
  <c r="H17" i="79"/>
  <c r="D17" i="79"/>
  <c r="L17" i="79" s="1"/>
  <c r="Z15" i="79"/>
  <c r="X15" i="79"/>
  <c r="P15" i="79"/>
  <c r="N15" i="79"/>
  <c r="L15" i="79"/>
  <c r="D15" i="79"/>
  <c r="B15" i="79"/>
  <c r="Z14" i="79"/>
  <c r="X14" i="79"/>
  <c r="P14" i="79"/>
  <c r="N14" i="79"/>
  <c r="D14" i="79"/>
  <c r="L14" i="79" s="1"/>
  <c r="B14" i="79"/>
  <c r="Z13" i="79"/>
  <c r="P13" i="79"/>
  <c r="N13" i="79"/>
  <c r="L13" i="79"/>
  <c r="D13" i="79"/>
  <c r="B13" i="79"/>
  <c r="T12" i="79"/>
  <c r="V63" i="79" s="1"/>
  <c r="N12" i="79"/>
  <c r="H12" i="79"/>
  <c r="D12" i="79"/>
  <c r="D6" i="79"/>
  <c r="D4" i="79"/>
  <c r="Z97" i="77"/>
  <c r="X97" i="77"/>
  <c r="L97" i="77"/>
  <c r="N97" i="77" s="1"/>
  <c r="X93" i="77"/>
  <c r="Z93" i="77" s="1"/>
  <c r="P93" i="77"/>
  <c r="D93" i="77"/>
  <c r="L93" i="77" s="1"/>
  <c r="N93" i="77" s="1"/>
  <c r="B93" i="77"/>
  <c r="Z92" i="77"/>
  <c r="P92" i="77"/>
  <c r="X92" i="77" s="1"/>
  <c r="N92" i="77"/>
  <c r="D92" i="77"/>
  <c r="L92" i="77" s="1"/>
  <c r="B92" i="77"/>
  <c r="Z91" i="77"/>
  <c r="X91" i="77"/>
  <c r="P91" i="77"/>
  <c r="N91" i="77"/>
  <c r="D91" i="77"/>
  <c r="B91" i="77"/>
  <c r="V90" i="77"/>
  <c r="T90" i="77"/>
  <c r="H90" i="77"/>
  <c r="Z88" i="77"/>
  <c r="X88" i="77"/>
  <c r="V88" i="77"/>
  <c r="N88" i="77"/>
  <c r="L88" i="77"/>
  <c r="B88" i="77"/>
  <c r="T87" i="77"/>
  <c r="P87" i="77"/>
  <c r="X87" i="77" s="1"/>
  <c r="L87" i="77"/>
  <c r="H87" i="77"/>
  <c r="N87" i="77" s="1"/>
  <c r="D87" i="77"/>
  <c r="B87" i="77"/>
  <c r="Z86" i="77"/>
  <c r="X86" i="77"/>
  <c r="V86" i="77"/>
  <c r="N86" i="77"/>
  <c r="L86" i="77"/>
  <c r="B86" i="77"/>
  <c r="Z85" i="77"/>
  <c r="X85" i="77"/>
  <c r="L85" i="77"/>
  <c r="N85" i="77" s="1"/>
  <c r="B85" i="77"/>
  <c r="T84" i="77"/>
  <c r="X84" i="77" s="1"/>
  <c r="Z84" i="77" s="1"/>
  <c r="P84" i="77"/>
  <c r="N84" i="77"/>
  <c r="L84" i="77"/>
  <c r="H84" i="77"/>
  <c r="D84" i="77"/>
  <c r="B84" i="77"/>
  <c r="Z83" i="77"/>
  <c r="X83" i="77"/>
  <c r="N83" i="77"/>
  <c r="L83" i="77"/>
  <c r="B83" i="77"/>
  <c r="Z82" i="77"/>
  <c r="X82" i="77"/>
  <c r="N82" i="77"/>
  <c r="L82" i="77"/>
  <c r="B82" i="77"/>
  <c r="X81" i="77"/>
  <c r="T81" i="77"/>
  <c r="P81" i="77"/>
  <c r="H81" i="77"/>
  <c r="D81" i="77"/>
  <c r="L81" i="77" s="1"/>
  <c r="N81" i="77" s="1"/>
  <c r="B81" i="77"/>
  <c r="Z80" i="77"/>
  <c r="X80" i="77"/>
  <c r="V80" i="77"/>
  <c r="N80" i="77"/>
  <c r="L80" i="77"/>
  <c r="B80" i="77"/>
  <c r="X79" i="77"/>
  <c r="T79" i="77"/>
  <c r="P79" i="77"/>
  <c r="H79" i="77"/>
  <c r="D79" i="77"/>
  <c r="B79" i="77"/>
  <c r="Z78" i="77"/>
  <c r="X78" i="77"/>
  <c r="V78" i="77"/>
  <c r="N78" i="77"/>
  <c r="L78" i="77"/>
  <c r="B78" i="77"/>
  <c r="T77" i="77"/>
  <c r="P77" i="77"/>
  <c r="L77" i="77"/>
  <c r="H77" i="77"/>
  <c r="D77" i="77"/>
  <c r="B77" i="77"/>
  <c r="Z76" i="77"/>
  <c r="X76" i="77"/>
  <c r="V76" i="77"/>
  <c r="N76" i="77"/>
  <c r="L76" i="77"/>
  <c r="J76" i="77"/>
  <c r="B76" i="77"/>
  <c r="T75" i="77"/>
  <c r="P75" i="77"/>
  <c r="X75" i="77" s="1"/>
  <c r="Z75" i="77" s="1"/>
  <c r="H75" i="77"/>
  <c r="D75" i="77"/>
  <c r="B75" i="77"/>
  <c r="Z74" i="77"/>
  <c r="X74" i="77"/>
  <c r="N74" i="77"/>
  <c r="L74" i="77"/>
  <c r="J74" i="77"/>
  <c r="B74" i="77"/>
  <c r="T73" i="77"/>
  <c r="Z73" i="77" s="1"/>
  <c r="P73" i="77"/>
  <c r="H73" i="77"/>
  <c r="N73" i="77" s="1"/>
  <c r="D73" i="77"/>
  <c r="B73" i="77"/>
  <c r="Z72" i="77"/>
  <c r="X72" i="77"/>
  <c r="V72" i="77"/>
  <c r="N72" i="77"/>
  <c r="L72" i="77"/>
  <c r="J72" i="77"/>
  <c r="B72" i="77"/>
  <c r="X71" i="77"/>
  <c r="T71" i="77"/>
  <c r="P71" i="77"/>
  <c r="H71" i="77"/>
  <c r="D71" i="77"/>
  <c r="L71" i="77" s="1"/>
  <c r="B71" i="77"/>
  <c r="Z70" i="77"/>
  <c r="X70" i="77"/>
  <c r="V70" i="77"/>
  <c r="N70" i="77"/>
  <c r="L70" i="77"/>
  <c r="B70" i="77"/>
  <c r="Z69" i="77"/>
  <c r="X69" i="77"/>
  <c r="N69" i="77"/>
  <c r="L69" i="77"/>
  <c r="B69" i="77"/>
  <c r="Z68" i="77"/>
  <c r="X68" i="77"/>
  <c r="V68" i="77"/>
  <c r="N68" i="77"/>
  <c r="L68" i="77"/>
  <c r="B68" i="77"/>
  <c r="X67" i="77"/>
  <c r="Z67" i="77" s="1"/>
  <c r="V67" i="77"/>
  <c r="L67" i="77"/>
  <c r="N67" i="77" s="1"/>
  <c r="B67" i="77"/>
  <c r="Z66" i="77"/>
  <c r="X66" i="77"/>
  <c r="V66" i="77"/>
  <c r="N66" i="77"/>
  <c r="L66" i="77"/>
  <c r="B66" i="77"/>
  <c r="Z65" i="77"/>
  <c r="X65" i="77"/>
  <c r="N65" i="77"/>
  <c r="L65" i="77"/>
  <c r="B65" i="77"/>
  <c r="Z64" i="77"/>
  <c r="X64" i="77"/>
  <c r="V64" i="77"/>
  <c r="N64" i="77"/>
  <c r="L64" i="77"/>
  <c r="B64" i="77"/>
  <c r="Z63" i="77"/>
  <c r="X63" i="77"/>
  <c r="V63" i="77"/>
  <c r="N63" i="77"/>
  <c r="L63" i="77"/>
  <c r="B63" i="77"/>
  <c r="Z62" i="77"/>
  <c r="X62" i="77"/>
  <c r="V62" i="77"/>
  <c r="N62" i="77"/>
  <c r="L62" i="77"/>
  <c r="B62" i="77"/>
  <c r="X61" i="77"/>
  <c r="Z61" i="77" s="1"/>
  <c r="L61" i="77"/>
  <c r="N61" i="77" s="1"/>
  <c r="B61" i="77"/>
  <c r="V60" i="77"/>
  <c r="T60" i="77"/>
  <c r="P60" i="77"/>
  <c r="X60" i="77" s="1"/>
  <c r="H60" i="77"/>
  <c r="D60" i="77"/>
  <c r="L60" i="77" s="1"/>
  <c r="N60" i="77" s="1"/>
  <c r="B60" i="77"/>
  <c r="Z59" i="77"/>
  <c r="X59" i="77"/>
  <c r="N59" i="77"/>
  <c r="L59" i="77"/>
  <c r="B59" i="77"/>
  <c r="Z58" i="77"/>
  <c r="X58" i="77"/>
  <c r="N58" i="77"/>
  <c r="L58" i="77"/>
  <c r="J58" i="77"/>
  <c r="B58" i="77"/>
  <c r="X57" i="77"/>
  <c r="Z57" i="77" s="1"/>
  <c r="N57" i="77"/>
  <c r="L57" i="77"/>
  <c r="B57" i="77"/>
  <c r="Z56" i="77"/>
  <c r="X56" i="77"/>
  <c r="V56" i="77"/>
  <c r="N56" i="77"/>
  <c r="L56" i="77"/>
  <c r="B56" i="77"/>
  <c r="Z55" i="77"/>
  <c r="X55" i="77"/>
  <c r="N55" i="77"/>
  <c r="L55" i="77"/>
  <c r="B55" i="77"/>
  <c r="Z54" i="77"/>
  <c r="X54" i="77"/>
  <c r="N54" i="77"/>
  <c r="L54" i="77"/>
  <c r="B54" i="77"/>
  <c r="X53" i="77"/>
  <c r="Z53" i="77" s="1"/>
  <c r="N53" i="77"/>
  <c r="L53" i="77"/>
  <c r="B53" i="77"/>
  <c r="Z52" i="77"/>
  <c r="X52" i="77"/>
  <c r="V52" i="77"/>
  <c r="N52" i="77"/>
  <c r="L52" i="77"/>
  <c r="B52" i="77"/>
  <c r="X51" i="77"/>
  <c r="Z51" i="77" s="1"/>
  <c r="L51" i="77"/>
  <c r="N51" i="77" s="1"/>
  <c r="B51" i="77"/>
  <c r="Z50" i="77"/>
  <c r="X50" i="77"/>
  <c r="N50" i="77"/>
  <c r="L50" i="77"/>
  <c r="J50" i="77"/>
  <c r="B50" i="77"/>
  <c r="T49" i="77"/>
  <c r="P49" i="77"/>
  <c r="L49" i="77"/>
  <c r="H49" i="77"/>
  <c r="D49" i="77"/>
  <c r="B49" i="77"/>
  <c r="V48" i="77"/>
  <c r="T48" i="77"/>
  <c r="X48" i="77" s="1"/>
  <c r="Z48" i="77" s="1"/>
  <c r="P48" i="77"/>
  <c r="N48" i="77"/>
  <c r="L48" i="77"/>
  <c r="J48" i="77"/>
  <c r="H48" i="77"/>
  <c r="D48" i="77"/>
  <c r="V46" i="77"/>
  <c r="T46" i="77"/>
  <c r="T95" i="77" s="1"/>
  <c r="T99" i="77" s="1"/>
  <c r="Z44" i="77"/>
  <c r="X44" i="77"/>
  <c r="V44" i="77"/>
  <c r="N44" i="77"/>
  <c r="L44" i="77"/>
  <c r="B44" i="77"/>
  <c r="Z43" i="77"/>
  <c r="X43" i="77"/>
  <c r="N43" i="77"/>
  <c r="L43" i="77"/>
  <c r="B43" i="77"/>
  <c r="Z42" i="77"/>
  <c r="X42" i="77"/>
  <c r="V42" i="77"/>
  <c r="N42" i="77"/>
  <c r="L42" i="77"/>
  <c r="B42" i="77"/>
  <c r="Z41" i="77"/>
  <c r="X41" i="77"/>
  <c r="N41" i="77"/>
  <c r="L41" i="77"/>
  <c r="B41" i="77"/>
  <c r="Z40" i="77"/>
  <c r="X40" i="77"/>
  <c r="V40" i="77"/>
  <c r="N40" i="77"/>
  <c r="L40" i="77"/>
  <c r="J40" i="77"/>
  <c r="B40" i="77"/>
  <c r="Z39" i="77"/>
  <c r="X39" i="77"/>
  <c r="N39" i="77"/>
  <c r="L39" i="77"/>
  <c r="B39" i="77"/>
  <c r="Z38" i="77"/>
  <c r="X38" i="77"/>
  <c r="V38" i="77"/>
  <c r="N38" i="77"/>
  <c r="L38" i="77"/>
  <c r="B38" i="77"/>
  <c r="Z37" i="77"/>
  <c r="X37" i="77"/>
  <c r="N37" i="77"/>
  <c r="L37" i="77"/>
  <c r="B37" i="77"/>
  <c r="Z36" i="77"/>
  <c r="X36" i="77"/>
  <c r="V36" i="77"/>
  <c r="N36" i="77"/>
  <c r="L36" i="77"/>
  <c r="J36" i="77"/>
  <c r="B36" i="77"/>
  <c r="X35" i="77"/>
  <c r="Z35" i="77" s="1"/>
  <c r="L35" i="77"/>
  <c r="N35" i="77" s="1"/>
  <c r="B35" i="77"/>
  <c r="Z34" i="77"/>
  <c r="X34" i="77"/>
  <c r="V34" i="77"/>
  <c r="T34" i="77"/>
  <c r="P34" i="77"/>
  <c r="H34" i="77"/>
  <c r="L34" i="77" s="1"/>
  <c r="N34" i="77" s="1"/>
  <c r="D34" i="77"/>
  <c r="Z32" i="77"/>
  <c r="P32" i="77"/>
  <c r="X32" i="77" s="1"/>
  <c r="N32" i="77"/>
  <c r="L32" i="77"/>
  <c r="D32" i="77"/>
  <c r="B32" i="77"/>
  <c r="Z31" i="77"/>
  <c r="X31" i="77"/>
  <c r="P31" i="77"/>
  <c r="N31" i="77"/>
  <c r="D31" i="77"/>
  <c r="L31" i="77" s="1"/>
  <c r="B31" i="77"/>
  <c r="Z30" i="77"/>
  <c r="P30" i="77"/>
  <c r="X30" i="77" s="1"/>
  <c r="N30" i="77"/>
  <c r="L30" i="77"/>
  <c r="D30" i="77"/>
  <c r="B30" i="77"/>
  <c r="Z29" i="77"/>
  <c r="X29" i="77"/>
  <c r="P29" i="77"/>
  <c r="N29" i="77"/>
  <c r="D29" i="77"/>
  <c r="L29" i="77" s="1"/>
  <c r="B29" i="77"/>
  <c r="Z28" i="77"/>
  <c r="P28" i="77"/>
  <c r="X28" i="77" s="1"/>
  <c r="N28" i="77"/>
  <c r="L28" i="77"/>
  <c r="D28" i="77"/>
  <c r="B28" i="77"/>
  <c r="Z27" i="77"/>
  <c r="X27" i="77"/>
  <c r="P27" i="77"/>
  <c r="N27" i="77"/>
  <c r="D27" i="77"/>
  <c r="L27" i="77" s="1"/>
  <c r="B27" i="77"/>
  <c r="Z26" i="77"/>
  <c r="P26" i="77"/>
  <c r="X26" i="77" s="1"/>
  <c r="N26" i="77"/>
  <c r="L26" i="77"/>
  <c r="D26" i="77"/>
  <c r="B26" i="77"/>
  <c r="Z25" i="77"/>
  <c r="X25" i="77"/>
  <c r="P25" i="77"/>
  <c r="N25" i="77"/>
  <c r="D25" i="77"/>
  <c r="L25" i="77" s="1"/>
  <c r="B25" i="77"/>
  <c r="Z24" i="77"/>
  <c r="X24" i="77"/>
  <c r="P24" i="77"/>
  <c r="N24" i="77"/>
  <c r="L24" i="77"/>
  <c r="D24" i="77"/>
  <c r="B24" i="77"/>
  <c r="Z23" i="77"/>
  <c r="X23" i="77"/>
  <c r="P23" i="77"/>
  <c r="N23" i="77"/>
  <c r="D23" i="77"/>
  <c r="L23" i="77" s="1"/>
  <c r="B23" i="77"/>
  <c r="Z22" i="77"/>
  <c r="P22" i="77"/>
  <c r="X22" i="77" s="1"/>
  <c r="N22" i="77"/>
  <c r="L22" i="77"/>
  <c r="D22" i="77"/>
  <c r="B22" i="77"/>
  <c r="X21" i="77"/>
  <c r="Z21" i="77" s="1"/>
  <c r="P21" i="77"/>
  <c r="N21" i="77"/>
  <c r="L21" i="77"/>
  <c r="D21" i="77"/>
  <c r="B21" i="77"/>
  <c r="Z20" i="77"/>
  <c r="P20" i="77"/>
  <c r="X20" i="77" s="1"/>
  <c r="N20" i="77"/>
  <c r="L20" i="77"/>
  <c r="D20" i="77"/>
  <c r="B20" i="77"/>
  <c r="Z19" i="77"/>
  <c r="X19" i="77"/>
  <c r="P19" i="77"/>
  <c r="N19" i="77"/>
  <c r="D19" i="77"/>
  <c r="L19" i="77" s="1"/>
  <c r="B19" i="77"/>
  <c r="Z18" i="77"/>
  <c r="P18" i="77"/>
  <c r="X18" i="77" s="1"/>
  <c r="N18" i="77"/>
  <c r="L18" i="77"/>
  <c r="D18" i="77"/>
  <c r="B18" i="77"/>
  <c r="Z17" i="77"/>
  <c r="X17" i="77"/>
  <c r="P17" i="77"/>
  <c r="N17" i="77"/>
  <c r="D17" i="77"/>
  <c r="L17" i="77" s="1"/>
  <c r="B17" i="77"/>
  <c r="Z16" i="77"/>
  <c r="P16" i="77"/>
  <c r="X16" i="77" s="1"/>
  <c r="N16" i="77"/>
  <c r="L16" i="77"/>
  <c r="D16" i="77"/>
  <c r="B16" i="77"/>
  <c r="Z15" i="77"/>
  <c r="X15" i="77"/>
  <c r="P15" i="77"/>
  <c r="N15" i="77"/>
  <c r="D15" i="77"/>
  <c r="L15" i="77" s="1"/>
  <c r="B15" i="77"/>
  <c r="Z14" i="77"/>
  <c r="P14" i="77"/>
  <c r="X14" i="77" s="1"/>
  <c r="N14" i="77"/>
  <c r="L14" i="77"/>
  <c r="D14" i="77"/>
  <c r="B14" i="77"/>
  <c r="X13" i="77"/>
  <c r="Z13" i="77" s="1"/>
  <c r="P13" i="77"/>
  <c r="P12" i="77" s="1"/>
  <c r="R97" i="77" s="1"/>
  <c r="D13" i="77"/>
  <c r="D12" i="77" s="1"/>
  <c r="B13" i="77"/>
  <c r="T12" i="77"/>
  <c r="V81" i="77" s="1"/>
  <c r="H12" i="77"/>
  <c r="J84" i="77" s="1"/>
  <c r="D6" i="77"/>
  <c r="D4" i="77"/>
  <c r="Z85" i="76"/>
  <c r="X85" i="76"/>
  <c r="V85" i="76"/>
  <c r="N85" i="76"/>
  <c r="L85" i="76"/>
  <c r="J85" i="76"/>
  <c r="Z81" i="76"/>
  <c r="P81" i="76"/>
  <c r="X81" i="76" s="1"/>
  <c r="L81" i="76"/>
  <c r="N81" i="76" s="1"/>
  <c r="D81" i="76"/>
  <c r="B81" i="76"/>
  <c r="Z80" i="76"/>
  <c r="X80" i="76"/>
  <c r="P80" i="76"/>
  <c r="N80" i="76"/>
  <c r="L80" i="76"/>
  <c r="J80" i="76"/>
  <c r="D80" i="76"/>
  <c r="D79" i="76" s="1"/>
  <c r="L79" i="76" s="1"/>
  <c r="N79" i="76" s="1"/>
  <c r="B80" i="76"/>
  <c r="V79" i="76"/>
  <c r="T79" i="76"/>
  <c r="J79" i="76"/>
  <c r="H79" i="76"/>
  <c r="Z77" i="76"/>
  <c r="X77" i="76"/>
  <c r="V77" i="76"/>
  <c r="N77" i="76"/>
  <c r="L77" i="76"/>
  <c r="B77" i="76"/>
  <c r="Z76" i="76"/>
  <c r="X76" i="76"/>
  <c r="L76" i="76"/>
  <c r="N76" i="76" s="1"/>
  <c r="B76" i="76"/>
  <c r="T75" i="76"/>
  <c r="X75" i="76" s="1"/>
  <c r="Z75" i="76" s="1"/>
  <c r="P75" i="76"/>
  <c r="N75" i="76"/>
  <c r="L75" i="76"/>
  <c r="J75" i="76"/>
  <c r="H75" i="76"/>
  <c r="D75" i="76"/>
  <c r="B75" i="76"/>
  <c r="X74" i="76"/>
  <c r="Z74" i="76" s="1"/>
  <c r="L74" i="76"/>
  <c r="N74" i="76" s="1"/>
  <c r="B74" i="76"/>
  <c r="Z73" i="76"/>
  <c r="X73" i="76"/>
  <c r="N73" i="76"/>
  <c r="L73" i="76"/>
  <c r="B73" i="76"/>
  <c r="Z72" i="76"/>
  <c r="X72" i="76"/>
  <c r="N72" i="76"/>
  <c r="L72" i="76"/>
  <c r="B72" i="76"/>
  <c r="V71" i="76"/>
  <c r="T71" i="76"/>
  <c r="Z71" i="76" s="1"/>
  <c r="P71" i="76"/>
  <c r="X71" i="76" s="1"/>
  <c r="J71" i="76"/>
  <c r="H71" i="76"/>
  <c r="D71" i="76"/>
  <c r="L71" i="76" s="1"/>
  <c r="N71" i="76" s="1"/>
  <c r="B71" i="76"/>
  <c r="Z70" i="76"/>
  <c r="X70" i="76"/>
  <c r="N70" i="76"/>
  <c r="L70" i="76"/>
  <c r="B70" i="76"/>
  <c r="Z69" i="76"/>
  <c r="X69" i="76"/>
  <c r="N69" i="76"/>
  <c r="L69" i="76"/>
  <c r="J69" i="76"/>
  <c r="B69" i="76"/>
  <c r="T68" i="76"/>
  <c r="P68" i="76"/>
  <c r="H68" i="76"/>
  <c r="D68" i="76"/>
  <c r="B68" i="76"/>
  <c r="Z67" i="76"/>
  <c r="X67" i="76"/>
  <c r="V67" i="76"/>
  <c r="N67" i="76"/>
  <c r="L67" i="76"/>
  <c r="J67" i="76"/>
  <c r="B67" i="76"/>
  <c r="T66" i="76"/>
  <c r="P66" i="76"/>
  <c r="X66" i="76" s="1"/>
  <c r="H66" i="76"/>
  <c r="D66" i="76"/>
  <c r="L66" i="76" s="1"/>
  <c r="B66" i="76"/>
  <c r="Z65" i="76"/>
  <c r="X65" i="76"/>
  <c r="N65" i="76"/>
  <c r="L65" i="76"/>
  <c r="B65" i="76"/>
  <c r="T64" i="76"/>
  <c r="P64" i="76"/>
  <c r="L64" i="76"/>
  <c r="N64" i="76" s="1"/>
  <c r="H64" i="76"/>
  <c r="D64" i="76"/>
  <c r="B64" i="76"/>
  <c r="Z63" i="76"/>
  <c r="X63" i="76"/>
  <c r="V63" i="76"/>
  <c r="N63" i="76"/>
  <c r="L63" i="76"/>
  <c r="J63" i="76"/>
  <c r="B63" i="76"/>
  <c r="T62" i="76"/>
  <c r="P62" i="76"/>
  <c r="H62" i="76"/>
  <c r="D62" i="76"/>
  <c r="B62" i="76"/>
  <c r="Z61" i="76"/>
  <c r="X61" i="76"/>
  <c r="V61" i="76"/>
  <c r="N61" i="76"/>
  <c r="L61" i="76"/>
  <c r="J61" i="76"/>
  <c r="B61" i="76"/>
  <c r="T60" i="76"/>
  <c r="P60" i="76"/>
  <c r="L60" i="76"/>
  <c r="H60" i="76"/>
  <c r="D60" i="76"/>
  <c r="B60" i="76"/>
  <c r="Z59" i="76"/>
  <c r="X59" i="76"/>
  <c r="V59" i="76"/>
  <c r="N59" i="76"/>
  <c r="L59" i="76"/>
  <c r="J59" i="76"/>
  <c r="B59" i="76"/>
  <c r="T58" i="76"/>
  <c r="P58" i="76"/>
  <c r="X58" i="76" s="1"/>
  <c r="H58" i="76"/>
  <c r="D58" i="76"/>
  <c r="L58" i="76" s="1"/>
  <c r="B58" i="76"/>
  <c r="Z57" i="76"/>
  <c r="X57" i="76"/>
  <c r="N57" i="76"/>
  <c r="L57" i="76"/>
  <c r="J57" i="76"/>
  <c r="B57" i="76"/>
  <c r="X56" i="76"/>
  <c r="T56" i="76"/>
  <c r="P56" i="76"/>
  <c r="H56" i="76"/>
  <c r="D56" i="76"/>
  <c r="L56" i="76" s="1"/>
  <c r="B56" i="76"/>
  <c r="Z55" i="76"/>
  <c r="X55" i="76"/>
  <c r="V55" i="76"/>
  <c r="N55" i="76"/>
  <c r="L55" i="76"/>
  <c r="J55" i="76"/>
  <c r="B55" i="76"/>
  <c r="T54" i="76"/>
  <c r="Z54" i="76" s="1"/>
  <c r="P54" i="76"/>
  <c r="X54" i="76" s="1"/>
  <c r="H54" i="76"/>
  <c r="N54" i="76" s="1"/>
  <c r="D54" i="76"/>
  <c r="L54" i="76" s="1"/>
  <c r="B54" i="76"/>
  <c r="Z53" i="76"/>
  <c r="X53" i="76"/>
  <c r="V53" i="76"/>
  <c r="N53" i="76"/>
  <c r="L53" i="76"/>
  <c r="B53" i="76"/>
  <c r="T52" i="76"/>
  <c r="P52" i="76"/>
  <c r="X52" i="76" s="1"/>
  <c r="L52" i="76"/>
  <c r="N52" i="76" s="1"/>
  <c r="J52" i="76"/>
  <c r="H52" i="76"/>
  <c r="D52" i="76"/>
  <c r="B52" i="76"/>
  <c r="Z51" i="76"/>
  <c r="X51" i="76"/>
  <c r="V51" i="76"/>
  <c r="N51" i="76"/>
  <c r="L51" i="76"/>
  <c r="J51" i="76"/>
  <c r="B51" i="76"/>
  <c r="Z50" i="76"/>
  <c r="X50" i="76"/>
  <c r="N50" i="76"/>
  <c r="L50" i="76"/>
  <c r="B50" i="76"/>
  <c r="Z49" i="76"/>
  <c r="X49" i="76"/>
  <c r="N49" i="76"/>
  <c r="L49" i="76"/>
  <c r="J49" i="76"/>
  <c r="B49" i="76"/>
  <c r="X48" i="76"/>
  <c r="Z48" i="76" s="1"/>
  <c r="N48" i="76"/>
  <c r="L48" i="76"/>
  <c r="B48" i="76"/>
  <c r="Z47" i="76"/>
  <c r="X47" i="76"/>
  <c r="V47" i="76"/>
  <c r="N47" i="76"/>
  <c r="L47" i="76"/>
  <c r="J47" i="76"/>
  <c r="B47" i="76"/>
  <c r="Z46" i="76"/>
  <c r="X46" i="76"/>
  <c r="N46" i="76"/>
  <c r="L46" i="76"/>
  <c r="B46" i="76"/>
  <c r="X45" i="76"/>
  <c r="Z45" i="76" s="1"/>
  <c r="N45" i="76"/>
  <c r="L45" i="76"/>
  <c r="J45" i="76"/>
  <c r="B45" i="76"/>
  <c r="Z44" i="76"/>
  <c r="X44" i="76"/>
  <c r="N44" i="76"/>
  <c r="L44" i="76"/>
  <c r="B44" i="76"/>
  <c r="Z43" i="76"/>
  <c r="X43" i="76"/>
  <c r="N43" i="76"/>
  <c r="L43" i="76"/>
  <c r="J43" i="76"/>
  <c r="B43" i="76"/>
  <c r="X42" i="76"/>
  <c r="Z42" i="76" s="1"/>
  <c r="L42" i="76"/>
  <c r="N42" i="76" s="1"/>
  <c r="B42" i="76"/>
  <c r="Z41" i="76"/>
  <c r="X41" i="76"/>
  <c r="T41" i="76"/>
  <c r="P41" i="76"/>
  <c r="J41" i="76"/>
  <c r="H41" i="76"/>
  <c r="D41" i="76"/>
  <c r="L41" i="76" s="1"/>
  <c r="N41" i="76" s="1"/>
  <c r="B41" i="76"/>
  <c r="Z40" i="76"/>
  <c r="X40" i="76"/>
  <c r="L40" i="76"/>
  <c r="N40" i="76" s="1"/>
  <c r="B40" i="76"/>
  <c r="Z39" i="76"/>
  <c r="X39" i="76"/>
  <c r="V39" i="76"/>
  <c r="N39" i="76"/>
  <c r="L39" i="76"/>
  <c r="J39" i="76"/>
  <c r="B39" i="76"/>
  <c r="X38" i="76"/>
  <c r="Z38" i="76" s="1"/>
  <c r="L38" i="76"/>
  <c r="N38" i="76" s="1"/>
  <c r="J38" i="76"/>
  <c r="B38" i="76"/>
  <c r="Z37" i="76"/>
  <c r="X37" i="76"/>
  <c r="V37" i="76"/>
  <c r="N37" i="76"/>
  <c r="L37" i="76"/>
  <c r="J37" i="76"/>
  <c r="B37" i="76"/>
  <c r="Z36" i="76"/>
  <c r="X36" i="76"/>
  <c r="L36" i="76"/>
  <c r="N36" i="76" s="1"/>
  <c r="B36" i="76"/>
  <c r="Z35" i="76"/>
  <c r="X35" i="76"/>
  <c r="V35" i="76"/>
  <c r="N35" i="76"/>
  <c r="L35" i="76"/>
  <c r="J35" i="76"/>
  <c r="B35" i="76"/>
  <c r="X34" i="76"/>
  <c r="Z34" i="76" s="1"/>
  <c r="L34" i="76"/>
  <c r="N34" i="76" s="1"/>
  <c r="J34" i="76"/>
  <c r="B34" i="76"/>
  <c r="Z33" i="76"/>
  <c r="X33" i="76"/>
  <c r="V33" i="76"/>
  <c r="N33" i="76"/>
  <c r="L33" i="76"/>
  <c r="J33" i="76"/>
  <c r="B33" i="76"/>
  <c r="Z32" i="76"/>
  <c r="X32" i="76"/>
  <c r="L32" i="76"/>
  <c r="N32" i="76" s="1"/>
  <c r="B32" i="76"/>
  <c r="T31" i="76"/>
  <c r="P31" i="76"/>
  <c r="N31" i="76"/>
  <c r="L31" i="76"/>
  <c r="J31" i="76"/>
  <c r="H31" i="76"/>
  <c r="D31" i="76"/>
  <c r="B31" i="76"/>
  <c r="V30" i="76"/>
  <c r="T30" i="76"/>
  <c r="P30" i="76"/>
  <c r="X30" i="76" s="1"/>
  <c r="L30" i="76"/>
  <c r="H30" i="76"/>
  <c r="D30" i="76"/>
  <c r="V26" i="76"/>
  <c r="T26" i="76"/>
  <c r="Z26" i="76" s="1"/>
  <c r="P26" i="76"/>
  <c r="X26" i="76" s="1"/>
  <c r="H26" i="76"/>
  <c r="D26" i="76"/>
  <c r="L26" i="76" s="1"/>
  <c r="Z24" i="76"/>
  <c r="P24" i="76"/>
  <c r="X24" i="76" s="1"/>
  <c r="N24" i="76"/>
  <c r="D24" i="76"/>
  <c r="L24" i="76" s="1"/>
  <c r="B24" i="76"/>
  <c r="Z23" i="76"/>
  <c r="P23" i="76"/>
  <c r="X23" i="76" s="1"/>
  <c r="N23" i="76"/>
  <c r="L23" i="76"/>
  <c r="D23" i="76"/>
  <c r="B23" i="76"/>
  <c r="Z22" i="76"/>
  <c r="X22" i="76"/>
  <c r="P22" i="76"/>
  <c r="N22" i="76"/>
  <c r="D22" i="76"/>
  <c r="L22" i="76" s="1"/>
  <c r="B22" i="76"/>
  <c r="Z21" i="76"/>
  <c r="P21" i="76"/>
  <c r="X21" i="76" s="1"/>
  <c r="N21" i="76"/>
  <c r="D21" i="76"/>
  <c r="L21" i="76" s="1"/>
  <c r="B21" i="76"/>
  <c r="Z20" i="76"/>
  <c r="X20" i="76"/>
  <c r="P20" i="76"/>
  <c r="N20" i="76"/>
  <c r="D20" i="76"/>
  <c r="L20" i="76" s="1"/>
  <c r="B20" i="76"/>
  <c r="Z19" i="76"/>
  <c r="P19" i="76"/>
  <c r="X19" i="76" s="1"/>
  <c r="N19" i="76"/>
  <c r="L19" i="76"/>
  <c r="D19" i="76"/>
  <c r="B19" i="76"/>
  <c r="X18" i="76"/>
  <c r="Z18" i="76" s="1"/>
  <c r="P18" i="76"/>
  <c r="D18" i="76"/>
  <c r="L18" i="76" s="1"/>
  <c r="N18" i="76" s="1"/>
  <c r="B18" i="76"/>
  <c r="Z17" i="76"/>
  <c r="X17" i="76"/>
  <c r="P17" i="76"/>
  <c r="N17" i="76"/>
  <c r="L17" i="76"/>
  <c r="D17" i="76"/>
  <c r="B17" i="76"/>
  <c r="Z16" i="76"/>
  <c r="X16" i="76"/>
  <c r="P16" i="76"/>
  <c r="N16" i="76"/>
  <c r="D16" i="76"/>
  <c r="L16" i="76" s="1"/>
  <c r="B16" i="76"/>
  <c r="Z15" i="76"/>
  <c r="P15" i="76"/>
  <c r="X15" i="76" s="1"/>
  <c r="N15" i="76"/>
  <c r="L15" i="76"/>
  <c r="D15" i="76"/>
  <c r="B15" i="76"/>
  <c r="Z14" i="76"/>
  <c r="X14" i="76"/>
  <c r="P14" i="76"/>
  <c r="N14" i="76"/>
  <c r="L14" i="76"/>
  <c r="D14" i="76"/>
  <c r="B14" i="76"/>
  <c r="P13" i="76"/>
  <c r="L13" i="76"/>
  <c r="N13" i="76" s="1"/>
  <c r="D13" i="76"/>
  <c r="B13" i="76"/>
  <c r="T12" i="76"/>
  <c r="H12" i="76"/>
  <c r="J76" i="76" s="1"/>
  <c r="D6" i="76"/>
  <c r="D4" i="76"/>
  <c r="X112" i="75"/>
  <c r="Z112" i="75" s="1"/>
  <c r="N112" i="75"/>
  <c r="L112" i="75"/>
  <c r="X108" i="75"/>
  <c r="Z108" i="75" s="1"/>
  <c r="P108" i="75"/>
  <c r="J108" i="75"/>
  <c r="D108" i="75"/>
  <c r="L108" i="75" s="1"/>
  <c r="N108" i="75" s="1"/>
  <c r="B108" i="75"/>
  <c r="P107" i="75"/>
  <c r="D107" i="75"/>
  <c r="B107" i="75"/>
  <c r="X106" i="75"/>
  <c r="Z106" i="75" s="1"/>
  <c r="P106" i="75"/>
  <c r="N106" i="75"/>
  <c r="D106" i="75"/>
  <c r="L106" i="75" s="1"/>
  <c r="B106" i="75"/>
  <c r="T105" i="75"/>
  <c r="J105" i="75"/>
  <c r="H105" i="75"/>
  <c r="Z103" i="75"/>
  <c r="X103" i="75"/>
  <c r="N103" i="75"/>
  <c r="L103" i="75"/>
  <c r="B103" i="75"/>
  <c r="V102" i="75"/>
  <c r="T102" i="75"/>
  <c r="P102" i="75"/>
  <c r="X102" i="75" s="1"/>
  <c r="H102" i="75"/>
  <c r="D102" i="75"/>
  <c r="B102" i="75"/>
  <c r="Z101" i="75"/>
  <c r="X101" i="75"/>
  <c r="N101" i="75"/>
  <c r="L101" i="75"/>
  <c r="J101" i="75"/>
  <c r="B101" i="75"/>
  <c r="X100" i="75"/>
  <c r="T100" i="75"/>
  <c r="P100" i="75"/>
  <c r="L100" i="75"/>
  <c r="H100" i="75"/>
  <c r="D100" i="75"/>
  <c r="B100" i="75"/>
  <c r="Z99" i="75"/>
  <c r="X99" i="75"/>
  <c r="N99" i="75"/>
  <c r="L99" i="75"/>
  <c r="B99" i="75"/>
  <c r="T98" i="75"/>
  <c r="P98" i="75"/>
  <c r="X98" i="75" s="1"/>
  <c r="H98" i="75"/>
  <c r="D98" i="75"/>
  <c r="L98" i="75" s="1"/>
  <c r="N98" i="75" s="1"/>
  <c r="B98" i="75"/>
  <c r="Z97" i="75"/>
  <c r="X97" i="75"/>
  <c r="N97" i="75"/>
  <c r="L97" i="75"/>
  <c r="J97" i="75"/>
  <c r="B97" i="75"/>
  <c r="X96" i="75"/>
  <c r="Z96" i="75" s="1"/>
  <c r="L96" i="75"/>
  <c r="N96" i="75" s="1"/>
  <c r="B96" i="75"/>
  <c r="Z95" i="75"/>
  <c r="X95" i="75"/>
  <c r="N95" i="75"/>
  <c r="L95" i="75"/>
  <c r="J95" i="75"/>
  <c r="B95" i="75"/>
  <c r="X94" i="75"/>
  <c r="Z94" i="75" s="1"/>
  <c r="L94" i="75"/>
  <c r="N94" i="75" s="1"/>
  <c r="B94" i="75"/>
  <c r="T93" i="75"/>
  <c r="P93" i="75"/>
  <c r="X93" i="75" s="1"/>
  <c r="N93" i="75"/>
  <c r="J93" i="75"/>
  <c r="H93" i="75"/>
  <c r="D93" i="75"/>
  <c r="L93" i="75" s="1"/>
  <c r="B93" i="75"/>
  <c r="X92" i="75"/>
  <c r="Z92" i="75" s="1"/>
  <c r="L92" i="75"/>
  <c r="N92" i="75" s="1"/>
  <c r="B92" i="75"/>
  <c r="Z91" i="75"/>
  <c r="X91" i="75"/>
  <c r="L91" i="75"/>
  <c r="N91" i="75" s="1"/>
  <c r="B91" i="75"/>
  <c r="T90" i="75"/>
  <c r="P90" i="75"/>
  <c r="L90" i="75"/>
  <c r="H90" i="75"/>
  <c r="D90" i="75"/>
  <c r="B90" i="75"/>
  <c r="Z89" i="75"/>
  <c r="X89" i="75"/>
  <c r="N89" i="75"/>
  <c r="L89" i="75"/>
  <c r="B89" i="75"/>
  <c r="Z88" i="75"/>
  <c r="X88" i="75"/>
  <c r="N88" i="75"/>
  <c r="L88" i="75"/>
  <c r="B88" i="75"/>
  <c r="X87" i="75"/>
  <c r="Z87" i="75" s="1"/>
  <c r="N87" i="75"/>
  <c r="L87" i="75"/>
  <c r="B87" i="75"/>
  <c r="T86" i="75"/>
  <c r="P86" i="75"/>
  <c r="X86" i="75" s="1"/>
  <c r="H86" i="75"/>
  <c r="D86" i="75"/>
  <c r="L86" i="75" s="1"/>
  <c r="N86" i="75" s="1"/>
  <c r="B86" i="75"/>
  <c r="Z85" i="75"/>
  <c r="X85" i="75"/>
  <c r="L85" i="75"/>
  <c r="N85" i="75" s="1"/>
  <c r="J85" i="75"/>
  <c r="B85" i="75"/>
  <c r="T84" i="75"/>
  <c r="X84" i="75" s="1"/>
  <c r="P84" i="75"/>
  <c r="H84" i="75"/>
  <c r="D84" i="75"/>
  <c r="L84" i="75" s="1"/>
  <c r="N84" i="75" s="1"/>
  <c r="B84" i="75"/>
  <c r="Z83" i="75"/>
  <c r="X83" i="75"/>
  <c r="L83" i="75"/>
  <c r="N83" i="75" s="1"/>
  <c r="B83" i="75"/>
  <c r="T82" i="75"/>
  <c r="P82" i="75"/>
  <c r="X82" i="75" s="1"/>
  <c r="H82" i="75"/>
  <c r="D82" i="75"/>
  <c r="B82" i="75"/>
  <c r="X81" i="75"/>
  <c r="Z81" i="75" s="1"/>
  <c r="N81" i="75"/>
  <c r="L81" i="75"/>
  <c r="J81" i="75"/>
  <c r="B81" i="75"/>
  <c r="T80" i="75"/>
  <c r="X80" i="75" s="1"/>
  <c r="P80" i="75"/>
  <c r="H80" i="75"/>
  <c r="D80" i="75"/>
  <c r="L80" i="75" s="1"/>
  <c r="N80" i="75" s="1"/>
  <c r="B80" i="75"/>
  <c r="Z79" i="75"/>
  <c r="X79" i="75"/>
  <c r="N79" i="75"/>
  <c r="L79" i="75"/>
  <c r="B79" i="75"/>
  <c r="T78" i="75"/>
  <c r="P78" i="75"/>
  <c r="N78" i="75"/>
  <c r="L78" i="75"/>
  <c r="J78" i="75"/>
  <c r="H78" i="75"/>
  <c r="D78" i="75"/>
  <c r="B78" i="75"/>
  <c r="Z77" i="75"/>
  <c r="X77" i="75"/>
  <c r="N77" i="75"/>
  <c r="L77" i="75"/>
  <c r="B77" i="75"/>
  <c r="X76" i="75"/>
  <c r="T76" i="75"/>
  <c r="P76" i="75"/>
  <c r="J76" i="75"/>
  <c r="H76" i="75"/>
  <c r="D76" i="75"/>
  <c r="L76" i="75" s="1"/>
  <c r="B76" i="75"/>
  <c r="Z75" i="75"/>
  <c r="X75" i="75"/>
  <c r="N75" i="75"/>
  <c r="L75" i="75"/>
  <c r="J75" i="75"/>
  <c r="B75" i="75"/>
  <c r="X74" i="75"/>
  <c r="T74" i="75"/>
  <c r="Z74" i="75" s="1"/>
  <c r="P74" i="75"/>
  <c r="H74" i="75"/>
  <c r="D74" i="75"/>
  <c r="L74" i="75" s="1"/>
  <c r="N74" i="75" s="1"/>
  <c r="B74" i="75"/>
  <c r="X73" i="75"/>
  <c r="Z73" i="75" s="1"/>
  <c r="L73" i="75"/>
  <c r="N73" i="75" s="1"/>
  <c r="B73" i="75"/>
  <c r="X72" i="75"/>
  <c r="Z72" i="75" s="1"/>
  <c r="V72" i="75"/>
  <c r="T72" i="75"/>
  <c r="P72" i="75"/>
  <c r="N72" i="75"/>
  <c r="H72" i="75"/>
  <c r="D72" i="75"/>
  <c r="L72" i="75" s="1"/>
  <c r="B72" i="75"/>
  <c r="X71" i="75"/>
  <c r="Z71" i="75" s="1"/>
  <c r="L71" i="75"/>
  <c r="N71" i="75" s="1"/>
  <c r="B71" i="75"/>
  <c r="T70" i="75"/>
  <c r="P70" i="75"/>
  <c r="N70" i="75"/>
  <c r="J70" i="75"/>
  <c r="H70" i="75"/>
  <c r="D70" i="75"/>
  <c r="L70" i="75" s="1"/>
  <c r="B70" i="75"/>
  <c r="Z69" i="75"/>
  <c r="X69" i="75"/>
  <c r="V69" i="75"/>
  <c r="N69" i="75"/>
  <c r="L69" i="75"/>
  <c r="B69" i="75"/>
  <c r="Z68" i="75"/>
  <c r="X68" i="75"/>
  <c r="N68" i="75"/>
  <c r="L68" i="75"/>
  <c r="J68" i="75"/>
  <c r="B68" i="75"/>
  <c r="Z67" i="75"/>
  <c r="X67" i="75"/>
  <c r="N67" i="75"/>
  <c r="L67" i="75"/>
  <c r="B67" i="75"/>
  <c r="Z66" i="75"/>
  <c r="X66" i="75"/>
  <c r="N66" i="75"/>
  <c r="L66" i="75"/>
  <c r="B66" i="75"/>
  <c r="Z65" i="75"/>
  <c r="X65" i="75"/>
  <c r="V65" i="75"/>
  <c r="N65" i="75"/>
  <c r="L65" i="75"/>
  <c r="B65" i="75"/>
  <c r="Z64" i="75"/>
  <c r="X64" i="75"/>
  <c r="N64" i="75"/>
  <c r="L64" i="75"/>
  <c r="J64" i="75"/>
  <c r="B64" i="75"/>
  <c r="X63" i="75"/>
  <c r="Z63" i="75" s="1"/>
  <c r="N63" i="75"/>
  <c r="L63" i="75"/>
  <c r="B63" i="75"/>
  <c r="Z62" i="75"/>
  <c r="X62" i="75"/>
  <c r="N62" i="75"/>
  <c r="L62" i="75"/>
  <c r="B62" i="75"/>
  <c r="X61" i="75"/>
  <c r="Z61" i="75" s="1"/>
  <c r="V61" i="75"/>
  <c r="R61" i="75"/>
  <c r="L61" i="75"/>
  <c r="N61" i="75" s="1"/>
  <c r="B61" i="75"/>
  <c r="Z60" i="75"/>
  <c r="X60" i="75"/>
  <c r="N60" i="75"/>
  <c r="L60" i="75"/>
  <c r="J60" i="75"/>
  <c r="B60" i="75"/>
  <c r="X59" i="75"/>
  <c r="Z59" i="75" s="1"/>
  <c r="T59" i="75"/>
  <c r="P59" i="75"/>
  <c r="J59" i="75"/>
  <c r="H59" i="75"/>
  <c r="D59" i="75"/>
  <c r="L59" i="75" s="1"/>
  <c r="B59" i="75"/>
  <c r="Z58" i="75"/>
  <c r="X58" i="75"/>
  <c r="N58" i="75"/>
  <c r="L58" i="75"/>
  <c r="J58" i="75"/>
  <c r="B58" i="75"/>
  <c r="X57" i="75"/>
  <c r="Z57" i="75" s="1"/>
  <c r="R57" i="75"/>
  <c r="L57" i="75"/>
  <c r="N57" i="75" s="1"/>
  <c r="B57" i="75"/>
  <c r="X56" i="75"/>
  <c r="Z56" i="75" s="1"/>
  <c r="N56" i="75"/>
  <c r="L56" i="75"/>
  <c r="J56" i="75"/>
  <c r="B56" i="75"/>
  <c r="Z55" i="75"/>
  <c r="X55" i="75"/>
  <c r="N55" i="75"/>
  <c r="L55" i="75"/>
  <c r="B55" i="75"/>
  <c r="Z54" i="75"/>
  <c r="X54" i="75"/>
  <c r="N54" i="75"/>
  <c r="L54" i="75"/>
  <c r="J54" i="75"/>
  <c r="B54" i="75"/>
  <c r="X53" i="75"/>
  <c r="Z53" i="75" s="1"/>
  <c r="R53" i="75"/>
  <c r="L53" i="75"/>
  <c r="N53" i="75" s="1"/>
  <c r="B53" i="75"/>
  <c r="X52" i="75"/>
  <c r="Z52" i="75" s="1"/>
  <c r="N52" i="75"/>
  <c r="L52" i="75"/>
  <c r="J52" i="75"/>
  <c r="B52" i="75"/>
  <c r="Z51" i="75"/>
  <c r="X51" i="75"/>
  <c r="N51" i="75"/>
  <c r="L51" i="75"/>
  <c r="F51" i="75"/>
  <c r="B51" i="75"/>
  <c r="Z50" i="75"/>
  <c r="X50" i="75"/>
  <c r="N50" i="75"/>
  <c r="L50" i="75"/>
  <c r="J50" i="75"/>
  <c r="B50" i="75"/>
  <c r="X49" i="75"/>
  <c r="T49" i="75"/>
  <c r="P49" i="75"/>
  <c r="H49" i="75"/>
  <c r="N49" i="75" s="1"/>
  <c r="D49" i="75"/>
  <c r="L49" i="75" s="1"/>
  <c r="B49" i="75"/>
  <c r="Z48" i="75"/>
  <c r="T48" i="75"/>
  <c r="P48" i="75"/>
  <c r="X48" i="75" s="1"/>
  <c r="H48" i="75"/>
  <c r="F48" i="75"/>
  <c r="D48" i="75"/>
  <c r="H46" i="75"/>
  <c r="Z44" i="75"/>
  <c r="X44" i="75"/>
  <c r="N44" i="75"/>
  <c r="L44" i="75"/>
  <c r="B44" i="75"/>
  <c r="Z43" i="75"/>
  <c r="X43" i="75"/>
  <c r="R43" i="75"/>
  <c r="N43" i="75"/>
  <c r="L43" i="75"/>
  <c r="B43" i="75"/>
  <c r="Z42" i="75"/>
  <c r="X42" i="75"/>
  <c r="N42" i="75"/>
  <c r="L42" i="75"/>
  <c r="J42" i="75"/>
  <c r="B42" i="75"/>
  <c r="Z41" i="75"/>
  <c r="X41" i="75"/>
  <c r="N41" i="75"/>
  <c r="L41" i="75"/>
  <c r="J41" i="75"/>
  <c r="B41" i="75"/>
  <c r="Z40" i="75"/>
  <c r="X40" i="75"/>
  <c r="N40" i="75"/>
  <c r="L40" i="75"/>
  <c r="B40" i="75"/>
  <c r="Z39" i="75"/>
  <c r="X39" i="75"/>
  <c r="N39" i="75"/>
  <c r="L39" i="75"/>
  <c r="B39" i="75"/>
  <c r="Z38" i="75"/>
  <c r="X38" i="75"/>
  <c r="N38" i="75"/>
  <c r="L38" i="75"/>
  <c r="J38" i="75"/>
  <c r="B38" i="75"/>
  <c r="Z37" i="75"/>
  <c r="X37" i="75"/>
  <c r="N37" i="75"/>
  <c r="L37" i="75"/>
  <c r="J37" i="75"/>
  <c r="B37" i="75"/>
  <c r="Z36" i="75"/>
  <c r="X36" i="75"/>
  <c r="V36" i="75"/>
  <c r="N36" i="75"/>
  <c r="L36" i="75"/>
  <c r="B36" i="75"/>
  <c r="Z35" i="75"/>
  <c r="X35" i="75"/>
  <c r="N35" i="75"/>
  <c r="L35" i="75"/>
  <c r="B35" i="75"/>
  <c r="Z34" i="75"/>
  <c r="X34" i="75"/>
  <c r="N34" i="75"/>
  <c r="L34" i="75"/>
  <c r="J34" i="75"/>
  <c r="B34" i="75"/>
  <c r="Z33" i="75"/>
  <c r="X33" i="75"/>
  <c r="N33" i="75"/>
  <c r="L33" i="75"/>
  <c r="J33" i="75"/>
  <c r="B33" i="75"/>
  <c r="Z32" i="75"/>
  <c r="X32" i="75"/>
  <c r="V32" i="75"/>
  <c r="N32" i="75"/>
  <c r="L32" i="75"/>
  <c r="B32" i="75"/>
  <c r="Z31" i="75"/>
  <c r="X31" i="75"/>
  <c r="L31" i="75"/>
  <c r="N31" i="75" s="1"/>
  <c r="B31" i="75"/>
  <c r="T30" i="75"/>
  <c r="P30" i="75"/>
  <c r="N30" i="75"/>
  <c r="J30" i="75"/>
  <c r="H30" i="75"/>
  <c r="D30" i="75"/>
  <c r="L30" i="75" s="1"/>
  <c r="Z28" i="75"/>
  <c r="P28" i="75"/>
  <c r="X28" i="75" s="1"/>
  <c r="N28" i="75"/>
  <c r="L28" i="75"/>
  <c r="D28" i="75"/>
  <c r="B28" i="75"/>
  <c r="Z27" i="75"/>
  <c r="X27" i="75"/>
  <c r="P27" i="75"/>
  <c r="N27" i="75"/>
  <c r="L27" i="75"/>
  <c r="D27" i="75"/>
  <c r="B27" i="75"/>
  <c r="Z26" i="75"/>
  <c r="X26" i="75"/>
  <c r="P26" i="75"/>
  <c r="N26" i="75"/>
  <c r="L26" i="75"/>
  <c r="D26" i="75"/>
  <c r="B26" i="75"/>
  <c r="Z25" i="75"/>
  <c r="P25" i="75"/>
  <c r="X25" i="75" s="1"/>
  <c r="N25" i="75"/>
  <c r="D25" i="75"/>
  <c r="L25" i="75" s="1"/>
  <c r="B25" i="75"/>
  <c r="Z24" i="75"/>
  <c r="P24" i="75"/>
  <c r="X24" i="75" s="1"/>
  <c r="N24" i="75"/>
  <c r="L24" i="75"/>
  <c r="D24" i="75"/>
  <c r="B24" i="75"/>
  <c r="Z23" i="75"/>
  <c r="X23" i="75"/>
  <c r="P23" i="75"/>
  <c r="N23" i="75"/>
  <c r="D23" i="75"/>
  <c r="L23" i="75" s="1"/>
  <c r="B23" i="75"/>
  <c r="Z22" i="75"/>
  <c r="P22" i="75"/>
  <c r="X22" i="75" s="1"/>
  <c r="N22" i="75"/>
  <c r="D22" i="75"/>
  <c r="L22" i="75" s="1"/>
  <c r="B22" i="75"/>
  <c r="Z21" i="75"/>
  <c r="P21" i="75"/>
  <c r="X21" i="75" s="1"/>
  <c r="N21" i="75"/>
  <c r="D21" i="75"/>
  <c r="L21" i="75" s="1"/>
  <c r="B21" i="75"/>
  <c r="Z20" i="75"/>
  <c r="P20" i="75"/>
  <c r="X20" i="75" s="1"/>
  <c r="N20" i="75"/>
  <c r="L20" i="75"/>
  <c r="D20" i="75"/>
  <c r="B20" i="75"/>
  <c r="Z19" i="75"/>
  <c r="X19" i="75"/>
  <c r="P19" i="75"/>
  <c r="N19" i="75"/>
  <c r="D19" i="75"/>
  <c r="L19" i="75" s="1"/>
  <c r="B19" i="75"/>
  <c r="Z18" i="75"/>
  <c r="X18" i="75"/>
  <c r="P18" i="75"/>
  <c r="N18" i="75"/>
  <c r="D18" i="75"/>
  <c r="L18" i="75" s="1"/>
  <c r="B18" i="75"/>
  <c r="Z17" i="75"/>
  <c r="X17" i="75"/>
  <c r="P17" i="75"/>
  <c r="N17" i="75"/>
  <c r="D17" i="75"/>
  <c r="L17" i="75" s="1"/>
  <c r="B17" i="75"/>
  <c r="Z16" i="75"/>
  <c r="P16" i="75"/>
  <c r="X16" i="75" s="1"/>
  <c r="N16" i="75"/>
  <c r="L16" i="75"/>
  <c r="D16" i="75"/>
  <c r="B16" i="75"/>
  <c r="Z15" i="75"/>
  <c r="X15" i="75"/>
  <c r="P15" i="75"/>
  <c r="N15" i="75"/>
  <c r="L15" i="75"/>
  <c r="D15" i="75"/>
  <c r="B15" i="75"/>
  <c r="Z14" i="75"/>
  <c r="X14" i="75"/>
  <c r="P14" i="75"/>
  <c r="N14" i="75"/>
  <c r="L14" i="75"/>
  <c r="D14" i="75"/>
  <c r="B14" i="75"/>
  <c r="P13" i="75"/>
  <c r="P12" i="75" s="1"/>
  <c r="R108" i="75" s="1"/>
  <c r="D13" i="75"/>
  <c r="D12" i="75" s="1"/>
  <c r="F75" i="75" s="1"/>
  <c r="B13" i="75"/>
  <c r="T12" i="75"/>
  <c r="V56" i="75" s="1"/>
  <c r="H12" i="75"/>
  <c r="J91" i="75" s="1"/>
  <c r="D6" i="75"/>
  <c r="D4" i="75"/>
  <c r="X81" i="74"/>
  <c r="Z81" i="74" s="1"/>
  <c r="V81" i="74"/>
  <c r="N81" i="74"/>
  <c r="L81" i="74"/>
  <c r="J81" i="74"/>
  <c r="J79" i="74"/>
  <c r="Z77" i="74"/>
  <c r="T77" i="74"/>
  <c r="P77" i="74"/>
  <c r="X77" i="74" s="1"/>
  <c r="N77" i="74"/>
  <c r="J77" i="74"/>
  <c r="H77" i="74"/>
  <c r="D77" i="74"/>
  <c r="L77" i="74" s="1"/>
  <c r="X75" i="74"/>
  <c r="Z75" i="74" s="1"/>
  <c r="L75" i="74"/>
  <c r="N75" i="74" s="1"/>
  <c r="J75" i="74"/>
  <c r="B75" i="74"/>
  <c r="X74" i="74"/>
  <c r="Z74" i="74" s="1"/>
  <c r="T74" i="74"/>
  <c r="P74" i="74"/>
  <c r="H74" i="74"/>
  <c r="D74" i="74"/>
  <c r="B74" i="74"/>
  <c r="Z73" i="74"/>
  <c r="X73" i="74"/>
  <c r="V73" i="74"/>
  <c r="N73" i="74"/>
  <c r="L73" i="74"/>
  <c r="J73" i="74"/>
  <c r="B73" i="74"/>
  <c r="T72" i="74"/>
  <c r="P72" i="74"/>
  <c r="H72" i="74"/>
  <c r="D72" i="74"/>
  <c r="L72" i="74" s="1"/>
  <c r="B72" i="74"/>
  <c r="Z71" i="74"/>
  <c r="X71" i="74"/>
  <c r="V71" i="74"/>
  <c r="L71" i="74"/>
  <c r="N71" i="74" s="1"/>
  <c r="B71" i="74"/>
  <c r="X70" i="74"/>
  <c r="Z70" i="74" s="1"/>
  <c r="T70" i="74"/>
  <c r="P70" i="74"/>
  <c r="J70" i="74"/>
  <c r="H70" i="74"/>
  <c r="N70" i="74" s="1"/>
  <c r="D70" i="74"/>
  <c r="L70" i="74" s="1"/>
  <c r="B70" i="74"/>
  <c r="Z69" i="74"/>
  <c r="X69" i="74"/>
  <c r="V69" i="74"/>
  <c r="N69" i="74"/>
  <c r="L69" i="74"/>
  <c r="B69" i="74"/>
  <c r="T68" i="74"/>
  <c r="P68" i="74"/>
  <c r="X68" i="74" s="1"/>
  <c r="L68" i="74"/>
  <c r="N68" i="74" s="1"/>
  <c r="H68" i="74"/>
  <c r="D68" i="74"/>
  <c r="B68" i="74"/>
  <c r="Z67" i="74"/>
  <c r="X67" i="74"/>
  <c r="V67" i="74"/>
  <c r="N67" i="74"/>
  <c r="L67" i="74"/>
  <c r="J67" i="74"/>
  <c r="B67" i="74"/>
  <c r="Z66" i="74"/>
  <c r="X66" i="74"/>
  <c r="N66" i="74"/>
  <c r="L66" i="74"/>
  <c r="B66" i="74"/>
  <c r="Z65" i="74"/>
  <c r="X65" i="74"/>
  <c r="V65" i="74"/>
  <c r="N65" i="74"/>
  <c r="L65" i="74"/>
  <c r="J65" i="74"/>
  <c r="B65" i="74"/>
  <c r="X64" i="74"/>
  <c r="Z64" i="74" s="1"/>
  <c r="V64" i="74"/>
  <c r="L64" i="74"/>
  <c r="N64" i="74" s="1"/>
  <c r="J64" i="74"/>
  <c r="B64" i="74"/>
  <c r="Z63" i="74"/>
  <c r="X63" i="74"/>
  <c r="V63" i="74"/>
  <c r="N63" i="74"/>
  <c r="L63" i="74"/>
  <c r="J63" i="74"/>
  <c r="B63" i="74"/>
  <c r="Z62" i="74"/>
  <c r="X62" i="74"/>
  <c r="N62" i="74"/>
  <c r="L62" i="74"/>
  <c r="B62" i="74"/>
  <c r="Z61" i="74"/>
  <c r="X61" i="74"/>
  <c r="V61" i="74"/>
  <c r="N61" i="74"/>
  <c r="L61" i="74"/>
  <c r="J61" i="74"/>
  <c r="B61" i="74"/>
  <c r="Z60" i="74"/>
  <c r="X60" i="74"/>
  <c r="V60" i="74"/>
  <c r="N60" i="74"/>
  <c r="L60" i="74"/>
  <c r="J60" i="74"/>
  <c r="B60" i="74"/>
  <c r="Z59" i="74"/>
  <c r="X59" i="74"/>
  <c r="V59" i="74"/>
  <c r="N59" i="74"/>
  <c r="L59" i="74"/>
  <c r="J59" i="74"/>
  <c r="B59" i="74"/>
  <c r="Z58" i="74"/>
  <c r="X58" i="74"/>
  <c r="V58" i="74"/>
  <c r="L58" i="74"/>
  <c r="N58" i="74" s="1"/>
  <c r="B58" i="74"/>
  <c r="Z57" i="74"/>
  <c r="T57" i="74"/>
  <c r="V57" i="74" s="1"/>
  <c r="P57" i="74"/>
  <c r="X57" i="74" s="1"/>
  <c r="L57" i="74"/>
  <c r="N57" i="74" s="1"/>
  <c r="J57" i="74"/>
  <c r="H57" i="74"/>
  <c r="D57" i="74"/>
  <c r="B57" i="74"/>
  <c r="X56" i="74"/>
  <c r="Z56" i="74" s="1"/>
  <c r="V56" i="74"/>
  <c r="L56" i="74"/>
  <c r="N56" i="74" s="1"/>
  <c r="J56" i="74"/>
  <c r="B56" i="74"/>
  <c r="Z55" i="74"/>
  <c r="X55" i="74"/>
  <c r="V55" i="74"/>
  <c r="L55" i="74"/>
  <c r="N55" i="74" s="1"/>
  <c r="B55" i="74"/>
  <c r="Z54" i="74"/>
  <c r="X54" i="74"/>
  <c r="N54" i="74"/>
  <c r="L54" i="74"/>
  <c r="B54" i="74"/>
  <c r="X53" i="74"/>
  <c r="Z53" i="74" s="1"/>
  <c r="V53" i="74"/>
  <c r="N53" i="74"/>
  <c r="L53" i="74"/>
  <c r="J53" i="74"/>
  <c r="B53" i="74"/>
  <c r="X52" i="74"/>
  <c r="Z52" i="74" s="1"/>
  <c r="V52" i="74"/>
  <c r="L52" i="74"/>
  <c r="N52" i="74" s="1"/>
  <c r="J52" i="74"/>
  <c r="B52" i="74"/>
  <c r="Z51" i="74"/>
  <c r="X51" i="74"/>
  <c r="V51" i="74"/>
  <c r="L51" i="74"/>
  <c r="N51" i="74" s="1"/>
  <c r="B51" i="74"/>
  <c r="X50" i="74"/>
  <c r="Z50" i="74" s="1"/>
  <c r="L50" i="74"/>
  <c r="N50" i="74" s="1"/>
  <c r="B50" i="74"/>
  <c r="X49" i="74"/>
  <c r="Z49" i="74" s="1"/>
  <c r="V49" i="74"/>
  <c r="N49" i="74"/>
  <c r="L49" i="74"/>
  <c r="J49" i="74"/>
  <c r="B49" i="74"/>
  <c r="V48" i="74"/>
  <c r="T48" i="74"/>
  <c r="P48" i="74"/>
  <c r="X48" i="74" s="1"/>
  <c r="H48" i="74"/>
  <c r="D48" i="74"/>
  <c r="B48" i="74"/>
  <c r="T47" i="74"/>
  <c r="V47" i="74" s="1"/>
  <c r="P47" i="74"/>
  <c r="X47" i="74" s="1"/>
  <c r="Z47" i="74" s="1"/>
  <c r="J47" i="74"/>
  <c r="H47" i="74"/>
  <c r="D47" i="74"/>
  <c r="L47" i="74" s="1"/>
  <c r="N47" i="74" s="1"/>
  <c r="J45" i="74"/>
  <c r="H45" i="74"/>
  <c r="H79" i="74" s="1"/>
  <c r="H83" i="74" s="1"/>
  <c r="H86" i="74" s="1"/>
  <c r="Z43" i="74"/>
  <c r="X43" i="74"/>
  <c r="V43" i="74"/>
  <c r="N43" i="74"/>
  <c r="L43" i="74"/>
  <c r="J43" i="74"/>
  <c r="B43" i="74"/>
  <c r="Z42" i="74"/>
  <c r="X42" i="74"/>
  <c r="N42" i="74"/>
  <c r="L42" i="74"/>
  <c r="B42" i="74"/>
  <c r="Z41" i="74"/>
  <c r="X41" i="74"/>
  <c r="V41" i="74"/>
  <c r="N41" i="74"/>
  <c r="L41" i="74"/>
  <c r="J41" i="74"/>
  <c r="B41" i="74"/>
  <c r="Z40" i="74"/>
  <c r="X40" i="74"/>
  <c r="V40" i="74"/>
  <c r="N40" i="74"/>
  <c r="L40" i="74"/>
  <c r="J40" i="74"/>
  <c r="B40" i="74"/>
  <c r="Z39" i="74"/>
  <c r="X39" i="74"/>
  <c r="V39" i="74"/>
  <c r="N39" i="74"/>
  <c r="L39" i="74"/>
  <c r="J39" i="74"/>
  <c r="B39" i="74"/>
  <c r="Z38" i="74"/>
  <c r="X38" i="74"/>
  <c r="N38" i="74"/>
  <c r="L38" i="74"/>
  <c r="B38" i="74"/>
  <c r="Z37" i="74"/>
  <c r="X37" i="74"/>
  <c r="V37" i="74"/>
  <c r="N37" i="74"/>
  <c r="L37" i="74"/>
  <c r="J37" i="74"/>
  <c r="B37" i="74"/>
  <c r="Z36" i="74"/>
  <c r="X36" i="74"/>
  <c r="V36" i="74"/>
  <c r="N36" i="74"/>
  <c r="L36" i="74"/>
  <c r="J36" i="74"/>
  <c r="B36" i="74"/>
  <c r="Z35" i="74"/>
  <c r="X35" i="74"/>
  <c r="V35" i="74"/>
  <c r="N35" i="74"/>
  <c r="L35" i="74"/>
  <c r="J35" i="74"/>
  <c r="B35" i="74"/>
  <c r="Z34" i="74"/>
  <c r="X34" i="74"/>
  <c r="N34" i="74"/>
  <c r="L34" i="74"/>
  <c r="B34" i="74"/>
  <c r="Z33" i="74"/>
  <c r="X33" i="74"/>
  <c r="V33" i="74"/>
  <c r="N33" i="74"/>
  <c r="L33" i="74"/>
  <c r="J33" i="74"/>
  <c r="B33" i="74"/>
  <c r="X32" i="74"/>
  <c r="V32" i="74"/>
  <c r="T32" i="74"/>
  <c r="P32" i="74"/>
  <c r="L32" i="74"/>
  <c r="N32" i="74" s="1"/>
  <c r="H32" i="74"/>
  <c r="D32" i="74"/>
  <c r="Z30" i="74"/>
  <c r="P30" i="74"/>
  <c r="X30" i="74" s="1"/>
  <c r="N30" i="74"/>
  <c r="D30" i="74"/>
  <c r="L30" i="74" s="1"/>
  <c r="B30" i="74"/>
  <c r="Z29" i="74"/>
  <c r="P29" i="74"/>
  <c r="X29" i="74" s="1"/>
  <c r="N29" i="74"/>
  <c r="L29" i="74"/>
  <c r="D29" i="74"/>
  <c r="B29" i="74"/>
  <c r="Z28" i="74"/>
  <c r="X28" i="74"/>
  <c r="P28" i="74"/>
  <c r="N28" i="74"/>
  <c r="D28" i="74"/>
  <c r="L28" i="74" s="1"/>
  <c r="B28" i="74"/>
  <c r="Z27" i="74"/>
  <c r="X27" i="74"/>
  <c r="P27" i="74"/>
  <c r="N27" i="74"/>
  <c r="D27" i="74"/>
  <c r="L27" i="74" s="1"/>
  <c r="B27" i="74"/>
  <c r="Z26" i="74"/>
  <c r="X26" i="74"/>
  <c r="P26" i="74"/>
  <c r="N26" i="74"/>
  <c r="D26" i="74"/>
  <c r="L26" i="74" s="1"/>
  <c r="B26" i="74"/>
  <c r="Z25" i="74"/>
  <c r="P25" i="74"/>
  <c r="X25" i="74" s="1"/>
  <c r="N25" i="74"/>
  <c r="L25" i="74"/>
  <c r="D25" i="74"/>
  <c r="B25" i="74"/>
  <c r="Z24" i="74"/>
  <c r="X24" i="74"/>
  <c r="P24" i="74"/>
  <c r="N24" i="74"/>
  <c r="L24" i="74"/>
  <c r="D24" i="74"/>
  <c r="B24" i="74"/>
  <c r="Z23" i="74"/>
  <c r="X23" i="74"/>
  <c r="P23" i="74"/>
  <c r="N23" i="74"/>
  <c r="L23" i="74"/>
  <c r="D23" i="74"/>
  <c r="B23" i="74"/>
  <c r="Z22" i="74"/>
  <c r="P22" i="74"/>
  <c r="X22" i="74" s="1"/>
  <c r="N22" i="74"/>
  <c r="D22" i="74"/>
  <c r="L22" i="74" s="1"/>
  <c r="B22" i="74"/>
  <c r="Z21" i="74"/>
  <c r="P21" i="74"/>
  <c r="X21" i="74" s="1"/>
  <c r="N21" i="74"/>
  <c r="L21" i="74"/>
  <c r="D21" i="74"/>
  <c r="B21" i="74"/>
  <c r="Z20" i="74"/>
  <c r="X20" i="74"/>
  <c r="P20" i="74"/>
  <c r="N20" i="74"/>
  <c r="L20" i="74"/>
  <c r="D20" i="74"/>
  <c r="B20" i="74"/>
  <c r="Z19" i="74"/>
  <c r="P19" i="74"/>
  <c r="X19" i="74" s="1"/>
  <c r="N19" i="74"/>
  <c r="D19" i="74"/>
  <c r="L19" i="74" s="1"/>
  <c r="B19" i="74"/>
  <c r="Z18" i="74"/>
  <c r="X18" i="74"/>
  <c r="P18" i="74"/>
  <c r="N18" i="74"/>
  <c r="D18" i="74"/>
  <c r="L18" i="74" s="1"/>
  <c r="B18" i="74"/>
  <c r="Z17" i="74"/>
  <c r="P17" i="74"/>
  <c r="X17" i="74" s="1"/>
  <c r="N17" i="74"/>
  <c r="L17" i="74"/>
  <c r="D17" i="74"/>
  <c r="B17" i="74"/>
  <c r="Z16" i="74"/>
  <c r="X16" i="74"/>
  <c r="P16" i="74"/>
  <c r="N16" i="74"/>
  <c r="D16" i="74"/>
  <c r="L16" i="74" s="1"/>
  <c r="B16" i="74"/>
  <c r="Z15" i="74"/>
  <c r="X15" i="74"/>
  <c r="P15" i="74"/>
  <c r="N15" i="74"/>
  <c r="D15" i="74"/>
  <c r="L15" i="74" s="1"/>
  <c r="B15" i="74"/>
  <c r="Z14" i="74"/>
  <c r="X14" i="74"/>
  <c r="P14" i="74"/>
  <c r="N14" i="74"/>
  <c r="D14" i="74"/>
  <c r="L14" i="74" s="1"/>
  <c r="B14" i="74"/>
  <c r="P13" i="74"/>
  <c r="L13" i="74"/>
  <c r="N13" i="74" s="1"/>
  <c r="D13" i="74"/>
  <c r="B13" i="74"/>
  <c r="T12" i="74"/>
  <c r="V74" i="74" s="1"/>
  <c r="H12" i="74"/>
  <c r="J68" i="74" s="1"/>
  <c r="D6" i="74"/>
  <c r="D4" i="74"/>
  <c r="X78" i="73"/>
  <c r="Z78" i="73" s="1"/>
  <c r="L78" i="73"/>
  <c r="N78" i="73" s="1"/>
  <c r="J78" i="73"/>
  <c r="X74" i="73"/>
  <c r="V74" i="73"/>
  <c r="T74" i="73"/>
  <c r="Z74" i="73" s="1"/>
  <c r="P74" i="73"/>
  <c r="N74" i="73"/>
  <c r="L74" i="73"/>
  <c r="H74" i="73"/>
  <c r="D74" i="73"/>
  <c r="X72" i="73"/>
  <c r="Z72" i="73" s="1"/>
  <c r="V72" i="73"/>
  <c r="L72" i="73"/>
  <c r="N72" i="73" s="1"/>
  <c r="J72" i="73"/>
  <c r="B72" i="73"/>
  <c r="X71" i="73"/>
  <c r="Z71" i="73" s="1"/>
  <c r="T71" i="73"/>
  <c r="P71" i="73"/>
  <c r="J71" i="73"/>
  <c r="H71" i="73"/>
  <c r="D71" i="73"/>
  <c r="L71" i="73" s="1"/>
  <c r="N71" i="73" s="1"/>
  <c r="B71" i="73"/>
  <c r="Z70" i="73"/>
  <c r="X70" i="73"/>
  <c r="L70" i="73"/>
  <c r="N70" i="73" s="1"/>
  <c r="B70" i="73"/>
  <c r="Z69" i="73"/>
  <c r="X69" i="73"/>
  <c r="N69" i="73"/>
  <c r="L69" i="73"/>
  <c r="J69" i="73"/>
  <c r="B69" i="73"/>
  <c r="Z68" i="73"/>
  <c r="X68" i="73"/>
  <c r="N68" i="73"/>
  <c r="L68" i="73"/>
  <c r="J68" i="73"/>
  <c r="B68" i="73"/>
  <c r="Z67" i="73"/>
  <c r="X67" i="73"/>
  <c r="T67" i="73"/>
  <c r="P67" i="73"/>
  <c r="N67" i="73"/>
  <c r="H67" i="73"/>
  <c r="J67" i="73" s="1"/>
  <c r="D67" i="73"/>
  <c r="L67" i="73" s="1"/>
  <c r="B67" i="73"/>
  <c r="Z66" i="73"/>
  <c r="X66" i="73"/>
  <c r="R66" i="73"/>
  <c r="N66" i="73"/>
  <c r="L66" i="73"/>
  <c r="B66" i="73"/>
  <c r="T65" i="73"/>
  <c r="P65" i="73"/>
  <c r="N65" i="73"/>
  <c r="J65" i="73"/>
  <c r="H65" i="73"/>
  <c r="D65" i="73"/>
  <c r="L65" i="73" s="1"/>
  <c r="B65" i="73"/>
  <c r="X64" i="73"/>
  <c r="Z64" i="73" s="1"/>
  <c r="L64" i="73"/>
  <c r="N64" i="73" s="1"/>
  <c r="J64" i="73"/>
  <c r="B64" i="73"/>
  <c r="T63" i="73"/>
  <c r="R63" i="73"/>
  <c r="P63" i="73"/>
  <c r="X63" i="73" s="1"/>
  <c r="Z63" i="73" s="1"/>
  <c r="N63" i="73"/>
  <c r="J63" i="73"/>
  <c r="H63" i="73"/>
  <c r="D63" i="73"/>
  <c r="L63" i="73" s="1"/>
  <c r="B63" i="73"/>
  <c r="Z62" i="73"/>
  <c r="X62" i="73"/>
  <c r="L62" i="73"/>
  <c r="N62" i="73" s="1"/>
  <c r="B62" i="73"/>
  <c r="Z61" i="73"/>
  <c r="T61" i="73"/>
  <c r="P61" i="73"/>
  <c r="X61" i="73" s="1"/>
  <c r="N61" i="73"/>
  <c r="L61" i="73"/>
  <c r="J61" i="73"/>
  <c r="H61" i="73"/>
  <c r="D61" i="73"/>
  <c r="B61" i="73"/>
  <c r="Z60" i="73"/>
  <c r="X60" i="73"/>
  <c r="V60" i="73"/>
  <c r="N60" i="73"/>
  <c r="L60" i="73"/>
  <c r="J60" i="73"/>
  <c r="B60" i="73"/>
  <c r="Z59" i="73"/>
  <c r="T59" i="73"/>
  <c r="P59" i="73"/>
  <c r="X59" i="73" s="1"/>
  <c r="H59" i="73"/>
  <c r="D59" i="73"/>
  <c r="B59" i="73"/>
  <c r="Z58" i="73"/>
  <c r="X58" i="73"/>
  <c r="N58" i="73"/>
  <c r="L58" i="73"/>
  <c r="J58" i="73"/>
  <c r="B58" i="73"/>
  <c r="Z57" i="73"/>
  <c r="V57" i="73"/>
  <c r="T57" i="73"/>
  <c r="P57" i="73"/>
  <c r="X57" i="73" s="1"/>
  <c r="N57" i="73"/>
  <c r="J57" i="73"/>
  <c r="H57" i="73"/>
  <c r="D57" i="73"/>
  <c r="L57" i="73" s="1"/>
  <c r="B57" i="73"/>
  <c r="Z56" i="73"/>
  <c r="X56" i="73"/>
  <c r="N56" i="73"/>
  <c r="L56" i="73"/>
  <c r="J56" i="73"/>
  <c r="B56" i="73"/>
  <c r="Z55" i="73"/>
  <c r="X55" i="73"/>
  <c r="T55" i="73"/>
  <c r="P55" i="73"/>
  <c r="H55" i="73"/>
  <c r="D55" i="73"/>
  <c r="B55" i="73"/>
  <c r="Z54" i="73"/>
  <c r="X54" i="73"/>
  <c r="L54" i="73"/>
  <c r="N54" i="73" s="1"/>
  <c r="B54" i="73"/>
  <c r="T53" i="73"/>
  <c r="R53" i="73"/>
  <c r="P53" i="73"/>
  <c r="N53" i="73"/>
  <c r="J53" i="73"/>
  <c r="H53" i="73"/>
  <c r="D53" i="73"/>
  <c r="L53" i="73" s="1"/>
  <c r="B53" i="73"/>
  <c r="Z52" i="73"/>
  <c r="X52" i="73"/>
  <c r="N52" i="73"/>
  <c r="L52" i="73"/>
  <c r="J52" i="73"/>
  <c r="B52" i="73"/>
  <c r="Z51" i="73"/>
  <c r="X51" i="73"/>
  <c r="T51" i="73"/>
  <c r="P51" i="73"/>
  <c r="N51" i="73"/>
  <c r="J51" i="73"/>
  <c r="H51" i="73"/>
  <c r="D51" i="73"/>
  <c r="L51" i="73" s="1"/>
  <c r="B51" i="73"/>
  <c r="Z50" i="73"/>
  <c r="X50" i="73"/>
  <c r="N50" i="73"/>
  <c r="L50" i="73"/>
  <c r="B50" i="73"/>
  <c r="T49" i="73"/>
  <c r="Z49" i="73" s="1"/>
  <c r="P49" i="73"/>
  <c r="X49" i="73" s="1"/>
  <c r="N49" i="73"/>
  <c r="L49" i="73"/>
  <c r="J49" i="73"/>
  <c r="H49" i="73"/>
  <c r="D49" i="73"/>
  <c r="B49" i="73"/>
  <c r="Z48" i="73"/>
  <c r="X48" i="73"/>
  <c r="N48" i="73"/>
  <c r="L48" i="73"/>
  <c r="J48" i="73"/>
  <c r="B48" i="73"/>
  <c r="Z47" i="73"/>
  <c r="X47" i="73"/>
  <c r="N47" i="73"/>
  <c r="L47" i="73"/>
  <c r="J47" i="73"/>
  <c r="B47" i="73"/>
  <c r="Z46" i="73"/>
  <c r="X46" i="73"/>
  <c r="R46" i="73"/>
  <c r="N46" i="73"/>
  <c r="L46" i="73"/>
  <c r="B46" i="73"/>
  <c r="Z45" i="73"/>
  <c r="X45" i="73"/>
  <c r="N45" i="73"/>
  <c r="L45" i="73"/>
  <c r="J45" i="73"/>
  <c r="B45" i="73"/>
  <c r="Z44" i="73"/>
  <c r="X44" i="73"/>
  <c r="N44" i="73"/>
  <c r="L44" i="73"/>
  <c r="J44" i="73"/>
  <c r="B44" i="73"/>
  <c r="Z43" i="73"/>
  <c r="X43" i="73"/>
  <c r="V43" i="73"/>
  <c r="N43" i="73"/>
  <c r="L43" i="73"/>
  <c r="J43" i="73"/>
  <c r="B43" i="73"/>
  <c r="X42" i="73"/>
  <c r="Z42" i="73" s="1"/>
  <c r="L42" i="73"/>
  <c r="N42" i="73" s="1"/>
  <c r="B42" i="73"/>
  <c r="Z41" i="73"/>
  <c r="X41" i="73"/>
  <c r="V41" i="73"/>
  <c r="R41" i="73"/>
  <c r="N41" i="73"/>
  <c r="L41" i="73"/>
  <c r="J41" i="73"/>
  <c r="B41" i="73"/>
  <c r="Z40" i="73"/>
  <c r="X40" i="73"/>
  <c r="N40" i="73"/>
  <c r="L40" i="73"/>
  <c r="J40" i="73"/>
  <c r="B40" i="73"/>
  <c r="X39" i="73"/>
  <c r="Z39" i="73" s="1"/>
  <c r="L39" i="73"/>
  <c r="N39" i="73" s="1"/>
  <c r="J39" i="73"/>
  <c r="B39" i="73"/>
  <c r="T38" i="73"/>
  <c r="P38" i="73"/>
  <c r="X38" i="73" s="1"/>
  <c r="Z38" i="73" s="1"/>
  <c r="J38" i="73"/>
  <c r="H38" i="73"/>
  <c r="D38" i="73"/>
  <c r="L38" i="73" s="1"/>
  <c r="B38" i="73"/>
  <c r="Z37" i="73"/>
  <c r="X37" i="73"/>
  <c r="N37" i="73"/>
  <c r="L37" i="73"/>
  <c r="J37" i="73"/>
  <c r="B37" i="73"/>
  <c r="X36" i="73"/>
  <c r="Z36" i="73" s="1"/>
  <c r="V36" i="73"/>
  <c r="L36" i="73"/>
  <c r="N36" i="73" s="1"/>
  <c r="J36" i="73"/>
  <c r="B36" i="73"/>
  <c r="X35" i="73"/>
  <c r="Z35" i="73" s="1"/>
  <c r="L35" i="73"/>
  <c r="N35" i="73" s="1"/>
  <c r="J35" i="73"/>
  <c r="B35" i="73"/>
  <c r="Z34" i="73"/>
  <c r="X34" i="73"/>
  <c r="N34" i="73"/>
  <c r="L34" i="73"/>
  <c r="J34" i="73"/>
  <c r="B34" i="73"/>
  <c r="Z33" i="73"/>
  <c r="X33" i="73"/>
  <c r="R33" i="73"/>
  <c r="N33" i="73"/>
  <c r="L33" i="73"/>
  <c r="J33" i="73"/>
  <c r="B33" i="73"/>
  <c r="X32" i="73"/>
  <c r="Z32" i="73" s="1"/>
  <c r="L32" i="73"/>
  <c r="N32" i="73" s="1"/>
  <c r="J32" i="73"/>
  <c r="B32" i="73"/>
  <c r="X31" i="73"/>
  <c r="Z31" i="73" s="1"/>
  <c r="N31" i="73"/>
  <c r="L31" i="73"/>
  <c r="J31" i="73"/>
  <c r="B31" i="73"/>
  <c r="Z30" i="73"/>
  <c r="X30" i="73"/>
  <c r="N30" i="73"/>
  <c r="L30" i="73"/>
  <c r="J30" i="73"/>
  <c r="B30" i="73"/>
  <c r="Z29" i="73"/>
  <c r="X29" i="73"/>
  <c r="V29" i="73"/>
  <c r="N29" i="73"/>
  <c r="L29" i="73"/>
  <c r="J29" i="73"/>
  <c r="B29" i="73"/>
  <c r="T28" i="73"/>
  <c r="P28" i="73"/>
  <c r="X28" i="73" s="1"/>
  <c r="L28" i="73"/>
  <c r="N28" i="73" s="1"/>
  <c r="H28" i="73"/>
  <c r="D28" i="73"/>
  <c r="B28" i="73"/>
  <c r="T27" i="73"/>
  <c r="P27" i="73"/>
  <c r="X27" i="73" s="1"/>
  <c r="Z27" i="73" s="1"/>
  <c r="H27" i="73"/>
  <c r="J27" i="73" s="1"/>
  <c r="D27" i="73"/>
  <c r="H25" i="73"/>
  <c r="Z23" i="73"/>
  <c r="X23" i="73"/>
  <c r="V23" i="73"/>
  <c r="N23" i="73"/>
  <c r="L23" i="73"/>
  <c r="J23" i="73"/>
  <c r="B23" i="73"/>
  <c r="Z22" i="73"/>
  <c r="X22" i="73"/>
  <c r="N22" i="73"/>
  <c r="L22" i="73"/>
  <c r="B22" i="73"/>
  <c r="Z21" i="73"/>
  <c r="X21" i="73"/>
  <c r="L21" i="73"/>
  <c r="N21" i="73" s="1"/>
  <c r="J21" i="73"/>
  <c r="B21" i="73"/>
  <c r="V20" i="73"/>
  <c r="T20" i="73"/>
  <c r="P20" i="73"/>
  <c r="N20" i="73"/>
  <c r="H20" i="73"/>
  <c r="J20" i="73" s="1"/>
  <c r="D20" i="73"/>
  <c r="L20" i="73" s="1"/>
  <c r="Z18" i="73"/>
  <c r="P18" i="73"/>
  <c r="X18" i="73" s="1"/>
  <c r="N18" i="73"/>
  <c r="D18" i="73"/>
  <c r="L18" i="73" s="1"/>
  <c r="B18" i="73"/>
  <c r="Z17" i="73"/>
  <c r="X17" i="73"/>
  <c r="P17" i="73"/>
  <c r="N17" i="73"/>
  <c r="L17" i="73"/>
  <c r="D17" i="73"/>
  <c r="B17" i="73"/>
  <c r="Z16" i="73"/>
  <c r="X16" i="73"/>
  <c r="P16" i="73"/>
  <c r="N16" i="73"/>
  <c r="L16" i="73"/>
  <c r="D16" i="73"/>
  <c r="B16" i="73"/>
  <c r="P15" i="73"/>
  <c r="X15" i="73" s="1"/>
  <c r="Z15" i="73" s="1"/>
  <c r="D15" i="73"/>
  <c r="L15" i="73" s="1"/>
  <c r="N15" i="73" s="1"/>
  <c r="B15" i="73"/>
  <c r="Z14" i="73"/>
  <c r="P14" i="73"/>
  <c r="X14" i="73" s="1"/>
  <c r="N14" i="73"/>
  <c r="D14" i="73"/>
  <c r="B14" i="73"/>
  <c r="Z13" i="73"/>
  <c r="P13" i="73"/>
  <c r="X13" i="73" s="1"/>
  <c r="N13" i="73"/>
  <c r="L13" i="73"/>
  <c r="D13" i="73"/>
  <c r="B13" i="73"/>
  <c r="T12" i="73"/>
  <c r="P12" i="73"/>
  <c r="H12" i="73"/>
  <c r="D6" i="73"/>
  <c r="D4" i="73"/>
  <c r="R29" i="72"/>
  <c r="F29" i="72"/>
  <c r="F26" i="72"/>
  <c r="Z24" i="72"/>
  <c r="X24" i="72"/>
  <c r="N24" i="72"/>
  <c r="L24" i="72"/>
  <c r="F24" i="72"/>
  <c r="F22" i="72"/>
  <c r="X20" i="72"/>
  <c r="V20" i="72"/>
  <c r="T20" i="72"/>
  <c r="Z20" i="72" s="1"/>
  <c r="P20" i="72"/>
  <c r="N20" i="72"/>
  <c r="H20" i="72"/>
  <c r="F20" i="72"/>
  <c r="D20" i="72"/>
  <c r="T18" i="72"/>
  <c r="Z18" i="72" s="1"/>
  <c r="P18" i="72"/>
  <c r="N18" i="72"/>
  <c r="H18" i="72"/>
  <c r="F18" i="72"/>
  <c r="D18" i="72"/>
  <c r="P16" i="72"/>
  <c r="N16" i="72"/>
  <c r="J16" i="72"/>
  <c r="H16" i="72"/>
  <c r="H22" i="72" s="1"/>
  <c r="F16" i="72"/>
  <c r="T14" i="72"/>
  <c r="Z14" i="72" s="1"/>
  <c r="P14" i="72"/>
  <c r="X14" i="72" s="1"/>
  <c r="H14" i="72"/>
  <c r="N14" i="72" s="1"/>
  <c r="F14" i="72"/>
  <c r="D14" i="72"/>
  <c r="X12" i="72"/>
  <c r="T12" i="72"/>
  <c r="V24" i="72" s="1"/>
  <c r="P12" i="72"/>
  <c r="H12" i="72"/>
  <c r="J20" i="72" s="1"/>
  <c r="D12" i="72"/>
  <c r="D6" i="72"/>
  <c r="D4" i="72"/>
  <c r="X109" i="71"/>
  <c r="Z109" i="71" s="1"/>
  <c r="L109" i="71"/>
  <c r="N109" i="71" s="1"/>
  <c r="Z105" i="71"/>
  <c r="P105" i="71"/>
  <c r="X105" i="71" s="1"/>
  <c r="D105" i="71"/>
  <c r="L105" i="71" s="1"/>
  <c r="N105" i="71" s="1"/>
  <c r="B105" i="71"/>
  <c r="Z104" i="71"/>
  <c r="P104" i="71"/>
  <c r="X104" i="71" s="1"/>
  <c r="N104" i="71"/>
  <c r="D104" i="71"/>
  <c r="L104" i="71" s="1"/>
  <c r="B104" i="71"/>
  <c r="X103" i="71"/>
  <c r="V103" i="71"/>
  <c r="T103" i="71"/>
  <c r="Z103" i="71" s="1"/>
  <c r="P103" i="71"/>
  <c r="H103" i="71"/>
  <c r="X101" i="71"/>
  <c r="Z101" i="71" s="1"/>
  <c r="V101" i="71"/>
  <c r="N101" i="71"/>
  <c r="L101" i="71"/>
  <c r="B101" i="71"/>
  <c r="T100" i="71"/>
  <c r="P100" i="71"/>
  <c r="X100" i="71" s="1"/>
  <c r="Z100" i="71" s="1"/>
  <c r="L100" i="71"/>
  <c r="N100" i="71" s="1"/>
  <c r="H100" i="71"/>
  <c r="D100" i="71"/>
  <c r="B100" i="71"/>
  <c r="Z99" i="71"/>
  <c r="X99" i="71"/>
  <c r="L99" i="71"/>
  <c r="N99" i="71" s="1"/>
  <c r="J99" i="71"/>
  <c r="B99" i="71"/>
  <c r="T98" i="71"/>
  <c r="P98" i="71"/>
  <c r="H98" i="71"/>
  <c r="D98" i="71"/>
  <c r="L98" i="71" s="1"/>
  <c r="B98" i="71"/>
  <c r="X97" i="71"/>
  <c r="Z97" i="71" s="1"/>
  <c r="L97" i="71"/>
  <c r="N97" i="71" s="1"/>
  <c r="B97" i="71"/>
  <c r="X96" i="71"/>
  <c r="Z96" i="71" s="1"/>
  <c r="V96" i="71"/>
  <c r="N96" i="71"/>
  <c r="L96" i="71"/>
  <c r="B96" i="71"/>
  <c r="T95" i="71"/>
  <c r="P95" i="71"/>
  <c r="X95" i="71" s="1"/>
  <c r="Z95" i="71" s="1"/>
  <c r="J95" i="71"/>
  <c r="H95" i="71"/>
  <c r="D95" i="71"/>
  <c r="L95" i="71" s="1"/>
  <c r="B95" i="71"/>
  <c r="X94" i="71"/>
  <c r="Z94" i="71" s="1"/>
  <c r="N94" i="71"/>
  <c r="L94" i="71"/>
  <c r="B94" i="71"/>
  <c r="X93" i="71"/>
  <c r="Z93" i="71" s="1"/>
  <c r="V93" i="71"/>
  <c r="L93" i="71"/>
  <c r="N93" i="71" s="1"/>
  <c r="B93" i="71"/>
  <c r="X92" i="71"/>
  <c r="Z92" i="71" s="1"/>
  <c r="V92" i="71"/>
  <c r="L92" i="71"/>
  <c r="N92" i="71" s="1"/>
  <c r="B92" i="71"/>
  <c r="T91" i="71"/>
  <c r="X91" i="71" s="1"/>
  <c r="Z91" i="71" s="1"/>
  <c r="P91" i="71"/>
  <c r="H91" i="71"/>
  <c r="D91" i="71"/>
  <c r="L91" i="71" s="1"/>
  <c r="B91" i="71"/>
  <c r="Z90" i="71"/>
  <c r="X90" i="71"/>
  <c r="N90" i="71"/>
  <c r="L90" i="71"/>
  <c r="B90" i="71"/>
  <c r="Z89" i="71"/>
  <c r="X89" i="71"/>
  <c r="T89" i="71"/>
  <c r="P89" i="71"/>
  <c r="H89" i="71"/>
  <c r="D89" i="71"/>
  <c r="L89" i="71" s="1"/>
  <c r="N89" i="71" s="1"/>
  <c r="B89" i="71"/>
  <c r="X88" i="71"/>
  <c r="Z88" i="71" s="1"/>
  <c r="V88" i="71"/>
  <c r="L88" i="71"/>
  <c r="N88" i="71" s="1"/>
  <c r="B88" i="71"/>
  <c r="Z87" i="71"/>
  <c r="X87" i="71"/>
  <c r="N87" i="71"/>
  <c r="L87" i="71"/>
  <c r="B87" i="71"/>
  <c r="T86" i="71"/>
  <c r="P86" i="71"/>
  <c r="H86" i="71"/>
  <c r="D86" i="71"/>
  <c r="L86" i="71" s="1"/>
  <c r="N86" i="71" s="1"/>
  <c r="B86" i="71"/>
  <c r="X85" i="71"/>
  <c r="Z85" i="71" s="1"/>
  <c r="L85" i="71"/>
  <c r="N85" i="71" s="1"/>
  <c r="B85" i="71"/>
  <c r="X84" i="71"/>
  <c r="Z84" i="71" s="1"/>
  <c r="V84" i="71"/>
  <c r="T84" i="71"/>
  <c r="P84" i="71"/>
  <c r="N84" i="71"/>
  <c r="L84" i="71"/>
  <c r="H84" i="71"/>
  <c r="D84" i="71"/>
  <c r="B84" i="71"/>
  <c r="Z83" i="71"/>
  <c r="X83" i="71"/>
  <c r="N83" i="71"/>
  <c r="L83" i="71"/>
  <c r="B83" i="71"/>
  <c r="T82" i="71"/>
  <c r="X82" i="71" s="1"/>
  <c r="P82" i="71"/>
  <c r="N82" i="71"/>
  <c r="L82" i="71"/>
  <c r="H82" i="71"/>
  <c r="D82" i="71"/>
  <c r="B82" i="71"/>
  <c r="X81" i="71"/>
  <c r="Z81" i="71" s="1"/>
  <c r="L81" i="71"/>
  <c r="N81" i="71" s="1"/>
  <c r="B81" i="71"/>
  <c r="X80" i="71"/>
  <c r="Z80" i="71" s="1"/>
  <c r="T80" i="71"/>
  <c r="P80" i="71"/>
  <c r="H80" i="71"/>
  <c r="D80" i="71"/>
  <c r="L80" i="71" s="1"/>
  <c r="B80" i="71"/>
  <c r="X79" i="71"/>
  <c r="Z79" i="71" s="1"/>
  <c r="L79" i="71"/>
  <c r="N79" i="71" s="1"/>
  <c r="B79" i="71"/>
  <c r="T78" i="71"/>
  <c r="P78" i="71"/>
  <c r="L78" i="71"/>
  <c r="N78" i="71" s="1"/>
  <c r="H78" i="71"/>
  <c r="D78" i="71"/>
  <c r="B78" i="71"/>
  <c r="X77" i="71"/>
  <c r="Z77" i="71" s="1"/>
  <c r="V77" i="71"/>
  <c r="L77" i="71"/>
  <c r="N77" i="71" s="1"/>
  <c r="B77" i="71"/>
  <c r="T76" i="71"/>
  <c r="P76" i="71"/>
  <c r="X76" i="71" s="1"/>
  <c r="N76" i="71"/>
  <c r="J76" i="71"/>
  <c r="H76" i="71"/>
  <c r="L76" i="71" s="1"/>
  <c r="D76" i="71"/>
  <c r="B76" i="71"/>
  <c r="Z75" i="71"/>
  <c r="X75" i="71"/>
  <c r="L75" i="71"/>
  <c r="N75" i="71" s="1"/>
  <c r="B75" i="71"/>
  <c r="T74" i="71"/>
  <c r="P74" i="71"/>
  <c r="H74" i="71"/>
  <c r="D74" i="71"/>
  <c r="L74" i="71" s="1"/>
  <c r="N74" i="71" s="1"/>
  <c r="B74" i="71"/>
  <c r="X73" i="71"/>
  <c r="Z73" i="71" s="1"/>
  <c r="L73" i="71"/>
  <c r="N73" i="71" s="1"/>
  <c r="B73" i="71"/>
  <c r="Z72" i="71"/>
  <c r="X72" i="71"/>
  <c r="V72" i="71"/>
  <c r="T72" i="71"/>
  <c r="P72" i="71"/>
  <c r="N72" i="71"/>
  <c r="L72" i="71"/>
  <c r="H72" i="71"/>
  <c r="D72" i="71"/>
  <c r="B72" i="71"/>
  <c r="Z71" i="71"/>
  <c r="X71" i="71"/>
  <c r="N71" i="71"/>
  <c r="L71" i="71"/>
  <c r="B71" i="71"/>
  <c r="Z70" i="71"/>
  <c r="X70" i="71"/>
  <c r="N70" i="71"/>
  <c r="L70" i="71"/>
  <c r="J70" i="71"/>
  <c r="B70" i="71"/>
  <c r="Z69" i="71"/>
  <c r="X69" i="71"/>
  <c r="N69" i="71"/>
  <c r="L69" i="71"/>
  <c r="J69" i="71"/>
  <c r="B69" i="71"/>
  <c r="Z68" i="71"/>
  <c r="X68" i="71"/>
  <c r="L68" i="71"/>
  <c r="N68" i="71" s="1"/>
  <c r="B68" i="71"/>
  <c r="Z67" i="71"/>
  <c r="X67" i="71"/>
  <c r="N67" i="71"/>
  <c r="L67" i="71"/>
  <c r="B67" i="71"/>
  <c r="Z66" i="71"/>
  <c r="X66" i="71"/>
  <c r="N66" i="71"/>
  <c r="L66" i="71"/>
  <c r="J66" i="71"/>
  <c r="B66" i="71"/>
  <c r="X65" i="71"/>
  <c r="Z65" i="71" s="1"/>
  <c r="L65" i="71"/>
  <c r="N65" i="71" s="1"/>
  <c r="B65" i="71"/>
  <c r="Z64" i="71"/>
  <c r="X64" i="71"/>
  <c r="V64" i="71"/>
  <c r="N64" i="71"/>
  <c r="L64" i="71"/>
  <c r="B64" i="71"/>
  <c r="Z63" i="71"/>
  <c r="X63" i="71"/>
  <c r="L63" i="71"/>
  <c r="N63" i="71" s="1"/>
  <c r="J63" i="71"/>
  <c r="B63" i="71"/>
  <c r="Z62" i="71"/>
  <c r="X62" i="71"/>
  <c r="N62" i="71"/>
  <c r="L62" i="71"/>
  <c r="B62" i="71"/>
  <c r="Z61" i="71"/>
  <c r="X61" i="71"/>
  <c r="V61" i="71"/>
  <c r="T61" i="71"/>
  <c r="P61" i="71"/>
  <c r="H61" i="71"/>
  <c r="L61" i="71" s="1"/>
  <c r="N61" i="71" s="1"/>
  <c r="D61" i="71"/>
  <c r="B61" i="71"/>
  <c r="Z60" i="71"/>
  <c r="X60" i="71"/>
  <c r="V60" i="71"/>
  <c r="N60" i="71"/>
  <c r="L60" i="71"/>
  <c r="B60" i="71"/>
  <c r="X59" i="71"/>
  <c r="Z59" i="71" s="1"/>
  <c r="L59" i="71"/>
  <c r="N59" i="71" s="1"/>
  <c r="B59" i="71"/>
  <c r="Z58" i="71"/>
  <c r="X58" i="71"/>
  <c r="L58" i="71"/>
  <c r="N58" i="71" s="1"/>
  <c r="B58" i="71"/>
  <c r="Z57" i="71"/>
  <c r="X57" i="71"/>
  <c r="V57" i="71"/>
  <c r="N57" i="71"/>
  <c r="L57" i="71"/>
  <c r="B57" i="71"/>
  <c r="Z56" i="71"/>
  <c r="X56" i="71"/>
  <c r="N56" i="71"/>
  <c r="L56" i="71"/>
  <c r="J56" i="71"/>
  <c r="B56" i="71"/>
  <c r="X55" i="71"/>
  <c r="Z55" i="71" s="1"/>
  <c r="V55" i="71"/>
  <c r="N55" i="71"/>
  <c r="L55" i="71"/>
  <c r="B55" i="71"/>
  <c r="Z54" i="71"/>
  <c r="X54" i="71"/>
  <c r="V54" i="71"/>
  <c r="L54" i="71"/>
  <c r="N54" i="71" s="1"/>
  <c r="B54" i="71"/>
  <c r="X53" i="71"/>
  <c r="Z53" i="71" s="1"/>
  <c r="L53" i="71"/>
  <c r="N53" i="71" s="1"/>
  <c r="J53" i="71"/>
  <c r="B53" i="71"/>
  <c r="X52" i="71"/>
  <c r="Z52" i="71" s="1"/>
  <c r="V52" i="71"/>
  <c r="L52" i="71"/>
  <c r="N52" i="71" s="1"/>
  <c r="B52" i="71"/>
  <c r="X51" i="71"/>
  <c r="Z51" i="71" s="1"/>
  <c r="V51" i="71"/>
  <c r="N51" i="71"/>
  <c r="L51" i="71"/>
  <c r="B51" i="71"/>
  <c r="T50" i="71"/>
  <c r="P50" i="71"/>
  <c r="X50" i="71" s="1"/>
  <c r="Z50" i="71" s="1"/>
  <c r="L50" i="71"/>
  <c r="N50" i="71" s="1"/>
  <c r="H50" i="71"/>
  <c r="D50" i="71"/>
  <c r="B50" i="71"/>
  <c r="T49" i="71"/>
  <c r="P49" i="71"/>
  <c r="X49" i="71" s="1"/>
  <c r="L49" i="71"/>
  <c r="N49" i="71" s="1"/>
  <c r="H49" i="71"/>
  <c r="D49" i="71"/>
  <c r="H47" i="71"/>
  <c r="Z45" i="71"/>
  <c r="X45" i="71"/>
  <c r="N45" i="71"/>
  <c r="L45" i="71"/>
  <c r="B45" i="71"/>
  <c r="Z44" i="71"/>
  <c r="X44" i="71"/>
  <c r="V44" i="71"/>
  <c r="N44" i="71"/>
  <c r="L44" i="71"/>
  <c r="B44" i="71"/>
  <c r="Z43" i="71"/>
  <c r="X43" i="71"/>
  <c r="V43" i="71"/>
  <c r="N43" i="71"/>
  <c r="L43" i="71"/>
  <c r="J43" i="71"/>
  <c r="B43" i="71"/>
  <c r="Z42" i="71"/>
  <c r="X42" i="71"/>
  <c r="N42" i="71"/>
  <c r="L42" i="71"/>
  <c r="J42" i="71"/>
  <c r="B42" i="71"/>
  <c r="Z41" i="71"/>
  <c r="X41" i="71"/>
  <c r="N41" i="71"/>
  <c r="L41" i="71"/>
  <c r="B41" i="71"/>
  <c r="Z40" i="71"/>
  <c r="X40" i="71"/>
  <c r="V40" i="71"/>
  <c r="N40" i="71"/>
  <c r="L40" i="71"/>
  <c r="B40" i="71"/>
  <c r="Z39" i="71"/>
  <c r="X39" i="71"/>
  <c r="V39" i="71"/>
  <c r="N39" i="71"/>
  <c r="L39" i="71"/>
  <c r="J39" i="71"/>
  <c r="B39" i="71"/>
  <c r="Z38" i="71"/>
  <c r="X38" i="71"/>
  <c r="N38" i="71"/>
  <c r="L38" i="71"/>
  <c r="J38" i="71"/>
  <c r="B38" i="71"/>
  <c r="Z37" i="71"/>
  <c r="X37" i="71"/>
  <c r="N37" i="71"/>
  <c r="L37" i="71"/>
  <c r="B37" i="71"/>
  <c r="Z36" i="71"/>
  <c r="X36" i="71"/>
  <c r="V36" i="71"/>
  <c r="N36" i="71"/>
  <c r="L36" i="71"/>
  <c r="B36" i="71"/>
  <c r="Z35" i="71"/>
  <c r="X35" i="71"/>
  <c r="V35" i="71"/>
  <c r="N35" i="71"/>
  <c r="L35" i="71"/>
  <c r="J35" i="71"/>
  <c r="B35" i="71"/>
  <c r="Z34" i="71"/>
  <c r="X34" i="71"/>
  <c r="N34" i="71"/>
  <c r="L34" i="71"/>
  <c r="J34" i="71"/>
  <c r="B34" i="71"/>
  <c r="Z33" i="71"/>
  <c r="X33" i="71"/>
  <c r="L33" i="71"/>
  <c r="N33" i="71" s="1"/>
  <c r="B33" i="71"/>
  <c r="V32" i="71"/>
  <c r="T32" i="71"/>
  <c r="X32" i="71" s="1"/>
  <c r="Z32" i="71" s="1"/>
  <c r="P32" i="71"/>
  <c r="H32" i="71"/>
  <c r="D32" i="71"/>
  <c r="L32" i="71" s="1"/>
  <c r="N32" i="71" s="1"/>
  <c r="Z30" i="71"/>
  <c r="X30" i="71"/>
  <c r="P30" i="71"/>
  <c r="N30" i="71"/>
  <c r="D30" i="71"/>
  <c r="L30" i="71" s="1"/>
  <c r="B30" i="71"/>
  <c r="Z29" i="71"/>
  <c r="X29" i="71"/>
  <c r="P29" i="71"/>
  <c r="N29" i="71"/>
  <c r="D29" i="71"/>
  <c r="L29" i="71" s="1"/>
  <c r="B29" i="71"/>
  <c r="Z28" i="71"/>
  <c r="X28" i="71"/>
  <c r="P28" i="71"/>
  <c r="N28" i="71"/>
  <c r="L28" i="71"/>
  <c r="D28" i="71"/>
  <c r="B28" i="71"/>
  <c r="Z27" i="71"/>
  <c r="P27" i="71"/>
  <c r="X27" i="71" s="1"/>
  <c r="N27" i="71"/>
  <c r="D27" i="71"/>
  <c r="L27" i="71" s="1"/>
  <c r="B27" i="71"/>
  <c r="Z26" i="71"/>
  <c r="P26" i="71"/>
  <c r="X26" i="71" s="1"/>
  <c r="N26" i="71"/>
  <c r="L26" i="71"/>
  <c r="D26" i="71"/>
  <c r="B26" i="71"/>
  <c r="Z25" i="71"/>
  <c r="P25" i="71"/>
  <c r="X25" i="71" s="1"/>
  <c r="N25" i="71"/>
  <c r="L25" i="71"/>
  <c r="D25" i="71"/>
  <c r="B25" i="71"/>
  <c r="Z24" i="71"/>
  <c r="P24" i="71"/>
  <c r="X24" i="71" s="1"/>
  <c r="N24" i="71"/>
  <c r="D24" i="71"/>
  <c r="L24" i="71" s="1"/>
  <c r="B24" i="71"/>
  <c r="Z23" i="71"/>
  <c r="P23" i="71"/>
  <c r="X23" i="71" s="1"/>
  <c r="N23" i="71"/>
  <c r="D23" i="71"/>
  <c r="L23" i="71" s="1"/>
  <c r="B23" i="71"/>
  <c r="Z22" i="71"/>
  <c r="P22" i="71"/>
  <c r="X22" i="71" s="1"/>
  <c r="N22" i="71"/>
  <c r="D22" i="71"/>
  <c r="L22" i="71" s="1"/>
  <c r="B22" i="71"/>
  <c r="Z21" i="71"/>
  <c r="P21" i="71"/>
  <c r="X21" i="71" s="1"/>
  <c r="N21" i="71"/>
  <c r="D21" i="71"/>
  <c r="L21" i="71" s="1"/>
  <c r="B21" i="71"/>
  <c r="P20" i="71"/>
  <c r="X20" i="71" s="1"/>
  <c r="Z20" i="71" s="1"/>
  <c r="N20" i="71"/>
  <c r="D20" i="71"/>
  <c r="L20" i="71" s="1"/>
  <c r="B20" i="71"/>
  <c r="Z19" i="71"/>
  <c r="X19" i="71"/>
  <c r="P19" i="71"/>
  <c r="N19" i="71"/>
  <c r="D19" i="71"/>
  <c r="L19" i="71" s="1"/>
  <c r="B19" i="71"/>
  <c r="Z18" i="71"/>
  <c r="P18" i="71"/>
  <c r="X18" i="71" s="1"/>
  <c r="N18" i="71"/>
  <c r="D18" i="71"/>
  <c r="L18" i="71" s="1"/>
  <c r="B18" i="71"/>
  <c r="Z17" i="71"/>
  <c r="X17" i="71"/>
  <c r="P17" i="71"/>
  <c r="N17" i="71"/>
  <c r="D17" i="71"/>
  <c r="L17" i="71" s="1"/>
  <c r="B17" i="71"/>
  <c r="Z16" i="71"/>
  <c r="X16" i="71"/>
  <c r="P16" i="71"/>
  <c r="N16" i="71"/>
  <c r="L16" i="71"/>
  <c r="D16" i="71"/>
  <c r="B16" i="71"/>
  <c r="Z15" i="71"/>
  <c r="P15" i="71"/>
  <c r="X15" i="71" s="1"/>
  <c r="N15" i="71"/>
  <c r="L15" i="71"/>
  <c r="D15" i="71"/>
  <c r="B15" i="71"/>
  <c r="Z14" i="71"/>
  <c r="P14" i="71"/>
  <c r="X14" i="71" s="1"/>
  <c r="N14" i="71"/>
  <c r="L14" i="71"/>
  <c r="D14" i="71"/>
  <c r="B14" i="71"/>
  <c r="Z13" i="71"/>
  <c r="X13" i="71"/>
  <c r="P13" i="71"/>
  <c r="N13" i="71"/>
  <c r="L13" i="71"/>
  <c r="D13" i="71"/>
  <c r="B13" i="71"/>
  <c r="T12" i="71"/>
  <c r="V100" i="71" s="1"/>
  <c r="H12" i="71"/>
  <c r="J105" i="71" s="1"/>
  <c r="D6" i="71"/>
  <c r="D4" i="71"/>
  <c r="X72" i="70"/>
  <c r="Z72" i="70" s="1"/>
  <c r="V72" i="70"/>
  <c r="N72" i="70"/>
  <c r="L72" i="70"/>
  <c r="T68" i="70"/>
  <c r="P68" i="70"/>
  <c r="N68" i="70"/>
  <c r="H68" i="70"/>
  <c r="D68" i="70"/>
  <c r="L68" i="70" s="1"/>
  <c r="X66" i="70"/>
  <c r="Z66" i="70" s="1"/>
  <c r="V66" i="70"/>
  <c r="L66" i="70"/>
  <c r="N66" i="70" s="1"/>
  <c r="B66" i="70"/>
  <c r="T65" i="70"/>
  <c r="P65" i="70"/>
  <c r="H65" i="70"/>
  <c r="D65" i="70"/>
  <c r="L65" i="70" s="1"/>
  <c r="N65" i="70" s="1"/>
  <c r="B65" i="70"/>
  <c r="X64" i="70"/>
  <c r="Z64" i="70" s="1"/>
  <c r="V64" i="70"/>
  <c r="L64" i="70"/>
  <c r="N64" i="70" s="1"/>
  <c r="B64" i="70"/>
  <c r="Z63" i="70"/>
  <c r="X63" i="70"/>
  <c r="N63" i="70"/>
  <c r="L63" i="70"/>
  <c r="B63" i="70"/>
  <c r="V62" i="70"/>
  <c r="T62" i="70"/>
  <c r="P62" i="70"/>
  <c r="J62" i="70"/>
  <c r="H62" i="70"/>
  <c r="F62" i="70"/>
  <c r="D62" i="70"/>
  <c r="B62" i="70"/>
  <c r="X61" i="70"/>
  <c r="Z61" i="70" s="1"/>
  <c r="N61" i="70"/>
  <c r="L61" i="70"/>
  <c r="F61" i="70"/>
  <c r="B61" i="70"/>
  <c r="Z60" i="70"/>
  <c r="X60" i="70"/>
  <c r="T60" i="70"/>
  <c r="P60" i="70"/>
  <c r="H60" i="70"/>
  <c r="N60" i="70" s="1"/>
  <c r="D60" i="70"/>
  <c r="L60" i="70" s="1"/>
  <c r="B60" i="70"/>
  <c r="Z59" i="70"/>
  <c r="X59" i="70"/>
  <c r="L59" i="70"/>
  <c r="N59" i="70" s="1"/>
  <c r="B59" i="70"/>
  <c r="Z58" i="70"/>
  <c r="X58" i="70"/>
  <c r="V58" i="70"/>
  <c r="T58" i="70"/>
  <c r="P58" i="70"/>
  <c r="H58" i="70"/>
  <c r="D58" i="70"/>
  <c r="L58" i="70" s="1"/>
  <c r="N58" i="70" s="1"/>
  <c r="B58" i="70"/>
  <c r="Z57" i="70"/>
  <c r="X57" i="70"/>
  <c r="V57" i="70"/>
  <c r="L57" i="70"/>
  <c r="N57" i="70" s="1"/>
  <c r="B57" i="70"/>
  <c r="T56" i="70"/>
  <c r="P56" i="70"/>
  <c r="X56" i="70" s="1"/>
  <c r="H56" i="70"/>
  <c r="D56" i="70"/>
  <c r="B56" i="70"/>
  <c r="Z55" i="70"/>
  <c r="X55" i="70"/>
  <c r="V55" i="70"/>
  <c r="N55" i="70"/>
  <c r="L55" i="70"/>
  <c r="B55" i="70"/>
  <c r="T54" i="70"/>
  <c r="Z54" i="70" s="1"/>
  <c r="P54" i="70"/>
  <c r="X54" i="70" s="1"/>
  <c r="N54" i="70"/>
  <c r="L54" i="70"/>
  <c r="H54" i="70"/>
  <c r="D54" i="70"/>
  <c r="B54" i="70"/>
  <c r="Z53" i="70"/>
  <c r="X53" i="70"/>
  <c r="V53" i="70"/>
  <c r="N53" i="70"/>
  <c r="L53" i="70"/>
  <c r="B53" i="70"/>
  <c r="Z52" i="70"/>
  <c r="T52" i="70"/>
  <c r="P52" i="70"/>
  <c r="X52" i="70" s="1"/>
  <c r="N52" i="70"/>
  <c r="L52" i="70"/>
  <c r="J52" i="70"/>
  <c r="H52" i="70"/>
  <c r="D52" i="70"/>
  <c r="B52" i="70"/>
  <c r="X51" i="70"/>
  <c r="Z51" i="70" s="1"/>
  <c r="L51" i="70"/>
  <c r="N51" i="70" s="1"/>
  <c r="B51" i="70"/>
  <c r="V50" i="70"/>
  <c r="T50" i="70"/>
  <c r="P50" i="70"/>
  <c r="J50" i="70"/>
  <c r="H50" i="70"/>
  <c r="F50" i="70"/>
  <c r="D50" i="70"/>
  <c r="B50" i="70"/>
  <c r="Z49" i="70"/>
  <c r="X49" i="70"/>
  <c r="N49" i="70"/>
  <c r="L49" i="70"/>
  <c r="B49" i="70"/>
  <c r="Z48" i="70"/>
  <c r="X48" i="70"/>
  <c r="T48" i="70"/>
  <c r="P48" i="70"/>
  <c r="H48" i="70"/>
  <c r="N48" i="70" s="1"/>
  <c r="F48" i="70"/>
  <c r="D48" i="70"/>
  <c r="L48" i="70" s="1"/>
  <c r="B48" i="70"/>
  <c r="Z47" i="70"/>
  <c r="X47" i="70"/>
  <c r="N47" i="70"/>
  <c r="L47" i="70"/>
  <c r="B47" i="70"/>
  <c r="Z46" i="70"/>
  <c r="X46" i="70"/>
  <c r="V46" i="70"/>
  <c r="T46" i="70"/>
  <c r="P46" i="70"/>
  <c r="N46" i="70"/>
  <c r="H46" i="70"/>
  <c r="D46" i="70"/>
  <c r="L46" i="70" s="1"/>
  <c r="B46" i="70"/>
  <c r="Z45" i="70"/>
  <c r="X45" i="70"/>
  <c r="V45" i="70"/>
  <c r="N45" i="70"/>
  <c r="L45" i="70"/>
  <c r="B45" i="70"/>
  <c r="Z44" i="70"/>
  <c r="X44" i="70"/>
  <c r="V44" i="70"/>
  <c r="N44" i="70"/>
  <c r="L44" i="70"/>
  <c r="B44" i="70"/>
  <c r="Z43" i="70"/>
  <c r="X43" i="70"/>
  <c r="N43" i="70"/>
  <c r="L43" i="70"/>
  <c r="J43" i="70"/>
  <c r="B43" i="70"/>
  <c r="X42" i="70"/>
  <c r="Z42" i="70" s="1"/>
  <c r="V42" i="70"/>
  <c r="N42" i="70"/>
  <c r="L42" i="70"/>
  <c r="B42" i="70"/>
  <c r="Z41" i="70"/>
  <c r="X41" i="70"/>
  <c r="V41" i="70"/>
  <c r="N41" i="70"/>
  <c r="L41" i="70"/>
  <c r="B41" i="70"/>
  <c r="Z40" i="70"/>
  <c r="X40" i="70"/>
  <c r="V40" i="70"/>
  <c r="N40" i="70"/>
  <c r="L40" i="70"/>
  <c r="B40" i="70"/>
  <c r="Z39" i="70"/>
  <c r="X39" i="70"/>
  <c r="N39" i="70"/>
  <c r="L39" i="70"/>
  <c r="F39" i="70"/>
  <c r="B39" i="70"/>
  <c r="Z38" i="70"/>
  <c r="X38" i="70"/>
  <c r="V38" i="70"/>
  <c r="N38" i="70"/>
  <c r="L38" i="70"/>
  <c r="B38" i="70"/>
  <c r="Z37" i="70"/>
  <c r="X37" i="70"/>
  <c r="V37" i="70"/>
  <c r="N37" i="70"/>
  <c r="L37" i="70"/>
  <c r="B37" i="70"/>
  <c r="X36" i="70"/>
  <c r="Z36" i="70" s="1"/>
  <c r="V36" i="70"/>
  <c r="L36" i="70"/>
  <c r="N36" i="70" s="1"/>
  <c r="B36" i="70"/>
  <c r="T35" i="70"/>
  <c r="P35" i="70"/>
  <c r="X35" i="70" s="1"/>
  <c r="Z35" i="70" s="1"/>
  <c r="L35" i="70"/>
  <c r="N35" i="70" s="1"/>
  <c r="H35" i="70"/>
  <c r="D35" i="70"/>
  <c r="B35" i="70"/>
  <c r="Z34" i="70"/>
  <c r="X34" i="70"/>
  <c r="N34" i="70"/>
  <c r="L34" i="70"/>
  <c r="J34" i="70"/>
  <c r="B34" i="70"/>
  <c r="X33" i="70"/>
  <c r="Z33" i="70" s="1"/>
  <c r="N33" i="70"/>
  <c r="L33" i="70"/>
  <c r="B33" i="70"/>
  <c r="X32" i="70"/>
  <c r="Z32" i="70" s="1"/>
  <c r="N32" i="70"/>
  <c r="L32" i="70"/>
  <c r="B32" i="70"/>
  <c r="Z31" i="70"/>
  <c r="X31" i="70"/>
  <c r="V31" i="70"/>
  <c r="N31" i="70"/>
  <c r="L31" i="70"/>
  <c r="F31" i="70"/>
  <c r="B31" i="70"/>
  <c r="Z30" i="70"/>
  <c r="X30" i="70"/>
  <c r="L30" i="70"/>
  <c r="N30" i="70" s="1"/>
  <c r="B30" i="70"/>
  <c r="X29" i="70"/>
  <c r="Z29" i="70" s="1"/>
  <c r="N29" i="70"/>
  <c r="L29" i="70"/>
  <c r="F29" i="70"/>
  <c r="B29" i="70"/>
  <c r="Z28" i="70"/>
  <c r="X28" i="70"/>
  <c r="N28" i="70"/>
  <c r="L28" i="70"/>
  <c r="B28" i="70"/>
  <c r="X27" i="70"/>
  <c r="Z27" i="70" s="1"/>
  <c r="V27" i="70"/>
  <c r="N27" i="70"/>
  <c r="L27" i="70"/>
  <c r="B27" i="70"/>
  <c r="Z26" i="70"/>
  <c r="X26" i="70"/>
  <c r="N26" i="70"/>
  <c r="L26" i="70"/>
  <c r="B26" i="70"/>
  <c r="X25" i="70"/>
  <c r="T25" i="70"/>
  <c r="Z25" i="70" s="1"/>
  <c r="P25" i="70"/>
  <c r="N25" i="70"/>
  <c r="L25" i="70"/>
  <c r="J25" i="70"/>
  <c r="H25" i="70"/>
  <c r="D25" i="70"/>
  <c r="B25" i="70"/>
  <c r="T24" i="70"/>
  <c r="P24" i="70"/>
  <c r="X24" i="70" s="1"/>
  <c r="Z24" i="70" s="1"/>
  <c r="N24" i="70"/>
  <c r="L24" i="70"/>
  <c r="J24" i="70"/>
  <c r="H24" i="70"/>
  <c r="D24" i="70"/>
  <c r="Z20" i="70"/>
  <c r="X20" i="70"/>
  <c r="N20" i="70"/>
  <c r="L20" i="70"/>
  <c r="F20" i="70"/>
  <c r="B20" i="70"/>
  <c r="Z19" i="70"/>
  <c r="X19" i="70"/>
  <c r="N19" i="70"/>
  <c r="L19" i="70"/>
  <c r="B19" i="70"/>
  <c r="Z18" i="70"/>
  <c r="X18" i="70"/>
  <c r="V18" i="70"/>
  <c r="L18" i="70"/>
  <c r="N18" i="70" s="1"/>
  <c r="B18" i="70"/>
  <c r="T17" i="70"/>
  <c r="P17" i="70"/>
  <c r="X17" i="70" s="1"/>
  <c r="H17" i="70"/>
  <c r="D17" i="70"/>
  <c r="Z15" i="70"/>
  <c r="P15" i="70"/>
  <c r="X15" i="70" s="1"/>
  <c r="N15" i="70"/>
  <c r="D15" i="70"/>
  <c r="L15" i="70" s="1"/>
  <c r="B15" i="70"/>
  <c r="P14" i="70"/>
  <c r="X14" i="70" s="1"/>
  <c r="Z14" i="70" s="1"/>
  <c r="L14" i="70"/>
  <c r="N14" i="70" s="1"/>
  <c r="D14" i="70"/>
  <c r="B14" i="70"/>
  <c r="Z13" i="70"/>
  <c r="P13" i="70"/>
  <c r="N13" i="70"/>
  <c r="L13" i="70"/>
  <c r="D13" i="70"/>
  <c r="B13" i="70"/>
  <c r="T12" i="70"/>
  <c r="V60" i="70" s="1"/>
  <c r="H12" i="70"/>
  <c r="J29" i="70" s="1"/>
  <c r="D12" i="70"/>
  <c r="F27" i="70" s="1"/>
  <c r="D6" i="70"/>
  <c r="D4" i="70"/>
  <c r="X99" i="69"/>
  <c r="Z99" i="69" s="1"/>
  <c r="N99" i="69"/>
  <c r="L99" i="69"/>
  <c r="T95" i="69"/>
  <c r="Z95" i="69" s="1"/>
  <c r="P95" i="69"/>
  <c r="N95" i="69"/>
  <c r="H95" i="69"/>
  <c r="D95" i="69"/>
  <c r="L95" i="69" s="1"/>
  <c r="X93" i="69"/>
  <c r="Z93" i="69" s="1"/>
  <c r="L93" i="69"/>
  <c r="N93" i="69" s="1"/>
  <c r="J93" i="69"/>
  <c r="B93" i="69"/>
  <c r="V92" i="69"/>
  <c r="T92" i="69"/>
  <c r="P92" i="69"/>
  <c r="X92" i="69" s="1"/>
  <c r="H92" i="69"/>
  <c r="D92" i="69"/>
  <c r="L92" i="69" s="1"/>
  <c r="N92" i="69" s="1"/>
  <c r="B92" i="69"/>
  <c r="X91" i="69"/>
  <c r="Z91" i="69" s="1"/>
  <c r="L91" i="69"/>
  <c r="N91" i="69" s="1"/>
  <c r="B91" i="69"/>
  <c r="T90" i="69"/>
  <c r="P90" i="69"/>
  <c r="X90" i="69" s="1"/>
  <c r="Z90" i="69" s="1"/>
  <c r="L90" i="69"/>
  <c r="N90" i="69" s="1"/>
  <c r="H90" i="69"/>
  <c r="D90" i="69"/>
  <c r="B90" i="69"/>
  <c r="Z89" i="69"/>
  <c r="X89" i="69"/>
  <c r="N89" i="69"/>
  <c r="L89" i="69"/>
  <c r="B89" i="69"/>
  <c r="X88" i="69"/>
  <c r="T88" i="69"/>
  <c r="Z88" i="69" s="1"/>
  <c r="P88" i="69"/>
  <c r="N88" i="69"/>
  <c r="L88" i="69"/>
  <c r="J88" i="69"/>
  <c r="H88" i="69"/>
  <c r="D88" i="69"/>
  <c r="B88" i="69"/>
  <c r="Z87" i="69"/>
  <c r="X87" i="69"/>
  <c r="L87" i="69"/>
  <c r="N87" i="69" s="1"/>
  <c r="J87" i="69"/>
  <c r="B87" i="69"/>
  <c r="Z86" i="69"/>
  <c r="X86" i="69"/>
  <c r="L86" i="69"/>
  <c r="N86" i="69" s="1"/>
  <c r="B86" i="69"/>
  <c r="V85" i="69"/>
  <c r="T85" i="69"/>
  <c r="X85" i="69" s="1"/>
  <c r="Z85" i="69" s="1"/>
  <c r="P85" i="69"/>
  <c r="N85" i="69"/>
  <c r="H85" i="69"/>
  <c r="D85" i="69"/>
  <c r="L85" i="69" s="1"/>
  <c r="B85" i="69"/>
  <c r="X84" i="69"/>
  <c r="Z84" i="69" s="1"/>
  <c r="L84" i="69"/>
  <c r="N84" i="69" s="1"/>
  <c r="B84" i="69"/>
  <c r="T83" i="69"/>
  <c r="P83" i="69"/>
  <c r="X83" i="69" s="1"/>
  <c r="L83" i="69"/>
  <c r="J83" i="69"/>
  <c r="H83" i="69"/>
  <c r="N83" i="69" s="1"/>
  <c r="D83" i="69"/>
  <c r="B83" i="69"/>
  <c r="Z82" i="69"/>
  <c r="X82" i="69"/>
  <c r="V82" i="69"/>
  <c r="N82" i="69"/>
  <c r="L82" i="69"/>
  <c r="B82" i="69"/>
  <c r="T81" i="69"/>
  <c r="P81" i="69"/>
  <c r="L81" i="69"/>
  <c r="N81" i="69" s="1"/>
  <c r="H81" i="69"/>
  <c r="D81" i="69"/>
  <c r="B81" i="69"/>
  <c r="Z80" i="69"/>
  <c r="X80" i="69"/>
  <c r="L80" i="69"/>
  <c r="N80" i="69" s="1"/>
  <c r="B80" i="69"/>
  <c r="T79" i="69"/>
  <c r="P79" i="69"/>
  <c r="X79" i="69" s="1"/>
  <c r="Z79" i="69" s="1"/>
  <c r="N79" i="69"/>
  <c r="L79" i="69"/>
  <c r="J79" i="69"/>
  <c r="H79" i="69"/>
  <c r="D79" i="69"/>
  <c r="B79" i="69"/>
  <c r="X78" i="69"/>
  <c r="Z78" i="69" s="1"/>
  <c r="L78" i="69"/>
  <c r="N78" i="69" s="1"/>
  <c r="B78" i="69"/>
  <c r="X77" i="69"/>
  <c r="T77" i="69"/>
  <c r="Z77" i="69" s="1"/>
  <c r="P77" i="69"/>
  <c r="L77" i="69"/>
  <c r="H77" i="69"/>
  <c r="D77" i="69"/>
  <c r="B77" i="69"/>
  <c r="X76" i="69"/>
  <c r="Z76" i="69" s="1"/>
  <c r="N76" i="69"/>
  <c r="L76" i="69"/>
  <c r="B76" i="69"/>
  <c r="Z75" i="69"/>
  <c r="X75" i="69"/>
  <c r="T75" i="69"/>
  <c r="P75" i="69"/>
  <c r="H75" i="69"/>
  <c r="D75" i="69"/>
  <c r="L75" i="69" s="1"/>
  <c r="B75" i="69"/>
  <c r="Z74" i="69"/>
  <c r="X74" i="69"/>
  <c r="N74" i="69"/>
  <c r="L74" i="69"/>
  <c r="B74" i="69"/>
  <c r="T73" i="69"/>
  <c r="Z73" i="69" s="1"/>
  <c r="P73" i="69"/>
  <c r="N73" i="69"/>
  <c r="H73" i="69"/>
  <c r="D73" i="69"/>
  <c r="L73" i="69" s="1"/>
  <c r="B73" i="69"/>
  <c r="Z72" i="69"/>
  <c r="X72" i="69"/>
  <c r="L72" i="69"/>
  <c r="N72" i="69" s="1"/>
  <c r="B72" i="69"/>
  <c r="V71" i="69"/>
  <c r="T71" i="69"/>
  <c r="P71" i="69"/>
  <c r="L71" i="69"/>
  <c r="H71" i="69"/>
  <c r="N71" i="69" s="1"/>
  <c r="D71" i="69"/>
  <c r="B71" i="69"/>
  <c r="Z70" i="69"/>
  <c r="X70" i="69"/>
  <c r="N70" i="69"/>
  <c r="L70" i="69"/>
  <c r="B70" i="69"/>
  <c r="Z69" i="69"/>
  <c r="X69" i="69"/>
  <c r="N69" i="69"/>
  <c r="L69" i="69"/>
  <c r="B69" i="69"/>
  <c r="X68" i="69"/>
  <c r="Z68" i="69" s="1"/>
  <c r="N68" i="69"/>
  <c r="L68" i="69"/>
  <c r="J68" i="69"/>
  <c r="B68" i="69"/>
  <c r="Z67" i="69"/>
  <c r="X67" i="69"/>
  <c r="N67" i="69"/>
  <c r="L67" i="69"/>
  <c r="B67" i="69"/>
  <c r="Z66" i="69"/>
  <c r="X66" i="69"/>
  <c r="V66" i="69"/>
  <c r="N66" i="69"/>
  <c r="L66" i="69"/>
  <c r="B66" i="69"/>
  <c r="Z65" i="69"/>
  <c r="X65" i="69"/>
  <c r="N65" i="69"/>
  <c r="L65" i="69"/>
  <c r="B65" i="69"/>
  <c r="Z64" i="69"/>
  <c r="X64" i="69"/>
  <c r="N64" i="69"/>
  <c r="L64" i="69"/>
  <c r="B64" i="69"/>
  <c r="Z63" i="69"/>
  <c r="X63" i="69"/>
  <c r="N63" i="69"/>
  <c r="L63" i="69"/>
  <c r="B63" i="69"/>
  <c r="Z62" i="69"/>
  <c r="X62" i="69"/>
  <c r="V62" i="69"/>
  <c r="N62" i="69"/>
  <c r="L62" i="69"/>
  <c r="B62" i="69"/>
  <c r="Z61" i="69"/>
  <c r="X61" i="69"/>
  <c r="L61" i="69"/>
  <c r="N61" i="69" s="1"/>
  <c r="B61" i="69"/>
  <c r="X60" i="69"/>
  <c r="T60" i="69"/>
  <c r="P60" i="69"/>
  <c r="H60" i="69"/>
  <c r="D60" i="69"/>
  <c r="B60" i="69"/>
  <c r="Z59" i="69"/>
  <c r="X59" i="69"/>
  <c r="N59" i="69"/>
  <c r="L59" i="69"/>
  <c r="B59" i="69"/>
  <c r="Z58" i="69"/>
  <c r="X58" i="69"/>
  <c r="L58" i="69"/>
  <c r="N58" i="69" s="1"/>
  <c r="B58" i="69"/>
  <c r="Z57" i="69"/>
  <c r="X57" i="69"/>
  <c r="L57" i="69"/>
  <c r="N57" i="69" s="1"/>
  <c r="B57" i="69"/>
  <c r="Z56" i="69"/>
  <c r="X56" i="69"/>
  <c r="N56" i="69"/>
  <c r="L56" i="69"/>
  <c r="B56" i="69"/>
  <c r="Z55" i="69"/>
  <c r="X55" i="69"/>
  <c r="L55" i="69"/>
  <c r="N55" i="69" s="1"/>
  <c r="B55" i="69"/>
  <c r="Z54" i="69"/>
  <c r="X54" i="69"/>
  <c r="L54" i="69"/>
  <c r="N54" i="69" s="1"/>
  <c r="B54" i="69"/>
  <c r="Z53" i="69"/>
  <c r="X53" i="69"/>
  <c r="L53" i="69"/>
  <c r="N53" i="69" s="1"/>
  <c r="B53" i="69"/>
  <c r="Z52" i="69"/>
  <c r="X52" i="69"/>
  <c r="L52" i="69"/>
  <c r="N52" i="69" s="1"/>
  <c r="B52" i="69"/>
  <c r="Z51" i="69"/>
  <c r="X51" i="69"/>
  <c r="L51" i="69"/>
  <c r="N51" i="69" s="1"/>
  <c r="J51" i="69"/>
  <c r="B51" i="69"/>
  <c r="T50" i="69"/>
  <c r="P50" i="69"/>
  <c r="H50" i="69"/>
  <c r="D50" i="69"/>
  <c r="L50" i="69" s="1"/>
  <c r="B50" i="69"/>
  <c r="T49" i="69"/>
  <c r="P49" i="69"/>
  <c r="H49" i="69"/>
  <c r="D49" i="69"/>
  <c r="Z45" i="69"/>
  <c r="X45" i="69"/>
  <c r="N45" i="69"/>
  <c r="L45" i="69"/>
  <c r="B45" i="69"/>
  <c r="Z44" i="69"/>
  <c r="X44" i="69"/>
  <c r="V44" i="69"/>
  <c r="N44" i="69"/>
  <c r="L44" i="69"/>
  <c r="B44" i="69"/>
  <c r="Z43" i="69"/>
  <c r="X43" i="69"/>
  <c r="N43" i="69"/>
  <c r="L43" i="69"/>
  <c r="B43" i="69"/>
  <c r="Z42" i="69"/>
  <c r="X42" i="69"/>
  <c r="N42" i="69"/>
  <c r="L42" i="69"/>
  <c r="J42" i="69"/>
  <c r="B42" i="69"/>
  <c r="Z41" i="69"/>
  <c r="X41" i="69"/>
  <c r="N41" i="69"/>
  <c r="L41" i="69"/>
  <c r="B41" i="69"/>
  <c r="Z40" i="69"/>
  <c r="X40" i="69"/>
  <c r="V40" i="69"/>
  <c r="N40" i="69"/>
  <c r="L40" i="69"/>
  <c r="B40" i="69"/>
  <c r="Z39" i="69"/>
  <c r="X39" i="69"/>
  <c r="N39" i="69"/>
  <c r="L39" i="69"/>
  <c r="B39" i="69"/>
  <c r="Z38" i="69"/>
  <c r="X38" i="69"/>
  <c r="N38" i="69"/>
  <c r="L38" i="69"/>
  <c r="B38" i="69"/>
  <c r="Z37" i="69"/>
  <c r="X37" i="69"/>
  <c r="N37" i="69"/>
  <c r="L37" i="69"/>
  <c r="B37" i="69"/>
  <c r="Z36" i="69"/>
  <c r="X36" i="69"/>
  <c r="L36" i="69"/>
  <c r="N36" i="69" s="1"/>
  <c r="B36" i="69"/>
  <c r="T35" i="69"/>
  <c r="P35" i="69"/>
  <c r="X35" i="69" s="1"/>
  <c r="H35" i="69"/>
  <c r="N35" i="69" s="1"/>
  <c r="D35" i="69"/>
  <c r="L35" i="69" s="1"/>
  <c r="Z33" i="69"/>
  <c r="X33" i="69"/>
  <c r="P33" i="69"/>
  <c r="N33" i="69"/>
  <c r="D33" i="69"/>
  <c r="L33" i="69" s="1"/>
  <c r="B33" i="69"/>
  <c r="Z32" i="69"/>
  <c r="X32" i="69"/>
  <c r="P32" i="69"/>
  <c r="N32" i="69"/>
  <c r="L32" i="69"/>
  <c r="D32" i="69"/>
  <c r="B32" i="69"/>
  <c r="Z31" i="69"/>
  <c r="X31" i="69"/>
  <c r="P31" i="69"/>
  <c r="N31" i="69"/>
  <c r="D31" i="69"/>
  <c r="L31" i="69" s="1"/>
  <c r="B31" i="69"/>
  <c r="Z30" i="69"/>
  <c r="X30" i="69"/>
  <c r="P30" i="69"/>
  <c r="N30" i="69"/>
  <c r="D30" i="69"/>
  <c r="L30" i="69" s="1"/>
  <c r="B30" i="69"/>
  <c r="Z29" i="69"/>
  <c r="X29" i="69"/>
  <c r="P29" i="69"/>
  <c r="N29" i="69"/>
  <c r="L29" i="69"/>
  <c r="D29" i="69"/>
  <c r="B29" i="69"/>
  <c r="Z28" i="69"/>
  <c r="P28" i="69"/>
  <c r="X28" i="69" s="1"/>
  <c r="N28" i="69"/>
  <c r="L28" i="69"/>
  <c r="D28" i="69"/>
  <c r="B28" i="69"/>
  <c r="P27" i="69"/>
  <c r="X27" i="69" s="1"/>
  <c r="Z27" i="69" s="1"/>
  <c r="L27" i="69"/>
  <c r="N27" i="69" s="1"/>
  <c r="D27" i="69"/>
  <c r="B27" i="69"/>
  <c r="Z26" i="69"/>
  <c r="X26" i="69"/>
  <c r="P26" i="69"/>
  <c r="N26" i="69"/>
  <c r="L26" i="69"/>
  <c r="D26" i="69"/>
  <c r="B26" i="69"/>
  <c r="Z25" i="69"/>
  <c r="P25" i="69"/>
  <c r="X25" i="69" s="1"/>
  <c r="N25" i="69"/>
  <c r="D25" i="69"/>
  <c r="L25" i="69" s="1"/>
  <c r="B25" i="69"/>
  <c r="Z24" i="69"/>
  <c r="X24" i="69"/>
  <c r="P24" i="69"/>
  <c r="N24" i="69"/>
  <c r="D24" i="69"/>
  <c r="L24" i="69" s="1"/>
  <c r="B24" i="69"/>
  <c r="Z23" i="69"/>
  <c r="X23" i="69"/>
  <c r="P23" i="69"/>
  <c r="N23" i="69"/>
  <c r="D23" i="69"/>
  <c r="L23" i="69" s="1"/>
  <c r="B23" i="69"/>
  <c r="Z22" i="69"/>
  <c r="P22" i="69"/>
  <c r="X22" i="69" s="1"/>
  <c r="N22" i="69"/>
  <c r="D22" i="69"/>
  <c r="L22" i="69" s="1"/>
  <c r="B22" i="69"/>
  <c r="Z21" i="69"/>
  <c r="X21" i="69"/>
  <c r="P21" i="69"/>
  <c r="N21" i="69"/>
  <c r="D21" i="69"/>
  <c r="L21" i="69" s="1"/>
  <c r="B21" i="69"/>
  <c r="Z20" i="69"/>
  <c r="X20" i="69"/>
  <c r="P20" i="69"/>
  <c r="N20" i="69"/>
  <c r="L20" i="69"/>
  <c r="D20" i="69"/>
  <c r="B20" i="69"/>
  <c r="Z19" i="69"/>
  <c r="X19" i="69"/>
  <c r="P19" i="69"/>
  <c r="N19" i="69"/>
  <c r="D19" i="69"/>
  <c r="L19" i="69" s="1"/>
  <c r="B19" i="69"/>
  <c r="Z18" i="69"/>
  <c r="X18" i="69"/>
  <c r="P18" i="69"/>
  <c r="N18" i="69"/>
  <c r="D18" i="69"/>
  <c r="L18" i="69" s="1"/>
  <c r="B18" i="69"/>
  <c r="Z17" i="69"/>
  <c r="X17" i="69"/>
  <c r="P17" i="69"/>
  <c r="N17" i="69"/>
  <c r="L17" i="69"/>
  <c r="D17" i="69"/>
  <c r="B17" i="69"/>
  <c r="Z16" i="69"/>
  <c r="P16" i="69"/>
  <c r="X16" i="69" s="1"/>
  <c r="N16" i="69"/>
  <c r="L16" i="69"/>
  <c r="D16" i="69"/>
  <c r="B16" i="69"/>
  <c r="Z15" i="69"/>
  <c r="P15" i="69"/>
  <c r="X15" i="69" s="1"/>
  <c r="N15" i="69"/>
  <c r="L15" i="69"/>
  <c r="D15" i="69"/>
  <c r="B15" i="69"/>
  <c r="Z14" i="69"/>
  <c r="X14" i="69"/>
  <c r="P14" i="69"/>
  <c r="N14" i="69"/>
  <c r="L14" i="69"/>
  <c r="D14" i="69"/>
  <c r="B14" i="69"/>
  <c r="P13" i="69"/>
  <c r="D13" i="69"/>
  <c r="B13" i="69"/>
  <c r="T12" i="69"/>
  <c r="H12" i="69"/>
  <c r="J90" i="69" s="1"/>
  <c r="D6" i="69"/>
  <c r="D4" i="69"/>
  <c r="V65" i="68"/>
  <c r="J65" i="68"/>
  <c r="V62" i="68"/>
  <c r="J62" i="68"/>
  <c r="Z60" i="68"/>
  <c r="X60" i="68"/>
  <c r="N60" i="68"/>
  <c r="L60" i="68"/>
  <c r="F60" i="68"/>
  <c r="Z56" i="68"/>
  <c r="X56" i="68"/>
  <c r="T56" i="68"/>
  <c r="P56" i="68"/>
  <c r="N56" i="68"/>
  <c r="J56" i="68"/>
  <c r="H56" i="68"/>
  <c r="D56" i="68"/>
  <c r="L56" i="68" s="1"/>
  <c r="X54" i="68"/>
  <c r="Z54" i="68" s="1"/>
  <c r="L54" i="68"/>
  <c r="N54" i="68" s="1"/>
  <c r="J54" i="68"/>
  <c r="F54" i="68"/>
  <c r="B54" i="68"/>
  <c r="V53" i="68"/>
  <c r="T53" i="68"/>
  <c r="P53" i="68"/>
  <c r="H53" i="68"/>
  <c r="D53" i="68"/>
  <c r="L53" i="68" s="1"/>
  <c r="B53" i="68"/>
  <c r="X52" i="68"/>
  <c r="Z52" i="68" s="1"/>
  <c r="N52" i="68"/>
  <c r="L52" i="68"/>
  <c r="B52" i="68"/>
  <c r="Z51" i="68"/>
  <c r="X51" i="68"/>
  <c r="N51" i="68"/>
  <c r="L51" i="68"/>
  <c r="J51" i="68"/>
  <c r="B51" i="68"/>
  <c r="X50" i="68"/>
  <c r="T50" i="68"/>
  <c r="Z50" i="68" s="1"/>
  <c r="P50" i="68"/>
  <c r="J50" i="68"/>
  <c r="H50" i="68"/>
  <c r="F50" i="68"/>
  <c r="D50" i="68"/>
  <c r="B50" i="68"/>
  <c r="X49" i="68"/>
  <c r="Z49" i="68" s="1"/>
  <c r="L49" i="68"/>
  <c r="N49" i="68" s="1"/>
  <c r="J49" i="68"/>
  <c r="B49" i="68"/>
  <c r="V48" i="68"/>
  <c r="T48" i="68"/>
  <c r="P48" i="68"/>
  <c r="N48" i="68"/>
  <c r="H48" i="68"/>
  <c r="D48" i="68"/>
  <c r="L48" i="68" s="1"/>
  <c r="B48" i="68"/>
  <c r="X47" i="68"/>
  <c r="Z47" i="68" s="1"/>
  <c r="V47" i="68"/>
  <c r="N47" i="68"/>
  <c r="L47" i="68"/>
  <c r="B47" i="68"/>
  <c r="X46" i="68"/>
  <c r="Z46" i="68" s="1"/>
  <c r="T46" i="68"/>
  <c r="P46" i="68"/>
  <c r="L46" i="68"/>
  <c r="N46" i="68" s="1"/>
  <c r="J46" i="68"/>
  <c r="H46" i="68"/>
  <c r="D46" i="68"/>
  <c r="B46" i="68"/>
  <c r="X45" i="68"/>
  <c r="Z45" i="68" s="1"/>
  <c r="N45" i="68"/>
  <c r="L45" i="68"/>
  <c r="J45" i="68"/>
  <c r="B45" i="68"/>
  <c r="X44" i="68"/>
  <c r="V44" i="68"/>
  <c r="T44" i="68"/>
  <c r="P44" i="68"/>
  <c r="J44" i="68"/>
  <c r="H44" i="68"/>
  <c r="L44" i="68" s="1"/>
  <c r="N44" i="68" s="1"/>
  <c r="D44" i="68"/>
  <c r="B44" i="68"/>
  <c r="X43" i="68"/>
  <c r="Z43" i="68" s="1"/>
  <c r="L43" i="68"/>
  <c r="N43" i="68" s="1"/>
  <c r="J43" i="68"/>
  <c r="B43" i="68"/>
  <c r="T42" i="68"/>
  <c r="Z42" i="68" s="1"/>
  <c r="P42" i="68"/>
  <c r="X42" i="68" s="1"/>
  <c r="J42" i="68"/>
  <c r="H42" i="68"/>
  <c r="N42" i="68" s="1"/>
  <c r="D42" i="68"/>
  <c r="L42" i="68" s="1"/>
  <c r="B42" i="68"/>
  <c r="Z41" i="68"/>
  <c r="X41" i="68"/>
  <c r="N41" i="68"/>
  <c r="L41" i="68"/>
  <c r="J41" i="68"/>
  <c r="B41" i="68"/>
  <c r="X40" i="68"/>
  <c r="T40" i="68"/>
  <c r="Z40" i="68" s="1"/>
  <c r="P40" i="68"/>
  <c r="J40" i="68"/>
  <c r="H40" i="68"/>
  <c r="N40" i="68" s="1"/>
  <c r="D40" i="68"/>
  <c r="B40" i="68"/>
  <c r="Z39" i="68"/>
  <c r="X39" i="68"/>
  <c r="N39" i="68"/>
  <c r="L39" i="68"/>
  <c r="J39" i="68"/>
  <c r="B39" i="68"/>
  <c r="Z38" i="68"/>
  <c r="X38" i="68"/>
  <c r="N38" i="68"/>
  <c r="L38" i="68"/>
  <c r="B38" i="68"/>
  <c r="Z37" i="68"/>
  <c r="X37" i="68"/>
  <c r="V37" i="68"/>
  <c r="N37" i="68"/>
  <c r="L37" i="68"/>
  <c r="J37" i="68"/>
  <c r="B37" i="68"/>
  <c r="X36" i="68"/>
  <c r="Z36" i="68" s="1"/>
  <c r="L36" i="68"/>
  <c r="N36" i="68" s="1"/>
  <c r="J36" i="68"/>
  <c r="F36" i="68"/>
  <c r="B36" i="68"/>
  <c r="Z35" i="68"/>
  <c r="X35" i="68"/>
  <c r="N35" i="68"/>
  <c r="L35" i="68"/>
  <c r="J35" i="68"/>
  <c r="B35" i="68"/>
  <c r="Z34" i="68"/>
  <c r="X34" i="68"/>
  <c r="N34" i="68"/>
  <c r="L34" i="68"/>
  <c r="B34" i="68"/>
  <c r="Z33" i="68"/>
  <c r="X33" i="68"/>
  <c r="V33" i="68"/>
  <c r="N33" i="68"/>
  <c r="L33" i="68"/>
  <c r="J33" i="68"/>
  <c r="B33" i="68"/>
  <c r="Z32" i="68"/>
  <c r="X32" i="68"/>
  <c r="N32" i="68"/>
  <c r="L32" i="68"/>
  <c r="J32" i="68"/>
  <c r="F32" i="68"/>
  <c r="B32" i="68"/>
  <c r="Z31" i="68"/>
  <c r="X31" i="68"/>
  <c r="N31" i="68"/>
  <c r="L31" i="68"/>
  <c r="J31" i="68"/>
  <c r="B31" i="68"/>
  <c r="X30" i="68"/>
  <c r="Z30" i="68" s="1"/>
  <c r="L30" i="68"/>
  <c r="N30" i="68" s="1"/>
  <c r="B30" i="68"/>
  <c r="Z29" i="68"/>
  <c r="X29" i="68"/>
  <c r="V29" i="68"/>
  <c r="T29" i="68"/>
  <c r="P29" i="68"/>
  <c r="J29" i="68"/>
  <c r="H29" i="68"/>
  <c r="D29" i="68"/>
  <c r="L29" i="68" s="1"/>
  <c r="N29" i="68" s="1"/>
  <c r="B29" i="68"/>
  <c r="Z28" i="68"/>
  <c r="X28" i="68"/>
  <c r="N28" i="68"/>
  <c r="L28" i="68"/>
  <c r="B28" i="68"/>
  <c r="Z27" i="68"/>
  <c r="X27" i="68"/>
  <c r="V27" i="68"/>
  <c r="N27" i="68"/>
  <c r="L27" i="68"/>
  <c r="J27" i="68"/>
  <c r="B27" i="68"/>
  <c r="X26" i="68"/>
  <c r="Z26" i="68" s="1"/>
  <c r="L26" i="68"/>
  <c r="N26" i="68" s="1"/>
  <c r="J26" i="68"/>
  <c r="F26" i="68"/>
  <c r="B26" i="68"/>
  <c r="Z25" i="68"/>
  <c r="X25" i="68"/>
  <c r="V25" i="68"/>
  <c r="N25" i="68"/>
  <c r="L25" i="68"/>
  <c r="J25" i="68"/>
  <c r="B25" i="68"/>
  <c r="X24" i="68"/>
  <c r="Z24" i="68" s="1"/>
  <c r="L24" i="68"/>
  <c r="N24" i="68" s="1"/>
  <c r="B24" i="68"/>
  <c r="Z23" i="68"/>
  <c r="X23" i="68"/>
  <c r="V23" i="68"/>
  <c r="N23" i="68"/>
  <c r="L23" i="68"/>
  <c r="J23" i="68"/>
  <c r="B23" i="68"/>
  <c r="X22" i="68"/>
  <c r="Z22" i="68" s="1"/>
  <c r="L22" i="68"/>
  <c r="N22" i="68" s="1"/>
  <c r="J22" i="68"/>
  <c r="F22" i="68"/>
  <c r="B22" i="68"/>
  <c r="Z21" i="68"/>
  <c r="X21" i="68"/>
  <c r="V21" i="68"/>
  <c r="N21" i="68"/>
  <c r="L21" i="68"/>
  <c r="J21" i="68"/>
  <c r="B21" i="68"/>
  <c r="X20" i="68"/>
  <c r="Z20" i="68" s="1"/>
  <c r="L20" i="68"/>
  <c r="N20" i="68" s="1"/>
  <c r="B20" i="68"/>
  <c r="V19" i="68"/>
  <c r="T19" i="68"/>
  <c r="X19" i="68" s="1"/>
  <c r="Z19" i="68" s="1"/>
  <c r="P19" i="68"/>
  <c r="N19" i="68"/>
  <c r="J19" i="68"/>
  <c r="H19" i="68"/>
  <c r="D19" i="68"/>
  <c r="L19" i="68" s="1"/>
  <c r="B19" i="68"/>
  <c r="T18" i="68"/>
  <c r="P18" i="68"/>
  <c r="X18" i="68" s="1"/>
  <c r="L18" i="68"/>
  <c r="H18" i="68"/>
  <c r="D18" i="68"/>
  <c r="T14" i="68"/>
  <c r="Z14" i="68" s="1"/>
  <c r="P14" i="68"/>
  <c r="X14" i="68" s="1"/>
  <c r="L14" i="68"/>
  <c r="H14" i="68"/>
  <c r="H16" i="68" s="1"/>
  <c r="D14" i="68"/>
  <c r="T12" i="68"/>
  <c r="V52" i="68" s="1"/>
  <c r="P12" i="68"/>
  <c r="N12" i="68"/>
  <c r="L12" i="68"/>
  <c r="H12" i="68"/>
  <c r="D12" i="68"/>
  <c r="D6" i="68"/>
  <c r="D4" i="68"/>
  <c r="Z104" i="64"/>
  <c r="X104" i="64"/>
  <c r="N104" i="64"/>
  <c r="L104" i="64"/>
  <c r="X100" i="64"/>
  <c r="Z100" i="64" s="1"/>
  <c r="P100" i="64"/>
  <c r="J100" i="64"/>
  <c r="D100" i="64"/>
  <c r="L100" i="64" s="1"/>
  <c r="N100" i="64" s="1"/>
  <c r="B100" i="64"/>
  <c r="P99" i="64"/>
  <c r="L99" i="64"/>
  <c r="N99" i="64" s="1"/>
  <c r="F99" i="64"/>
  <c r="D99" i="64"/>
  <c r="B99" i="64"/>
  <c r="X98" i="64"/>
  <c r="Z98" i="64" s="1"/>
  <c r="P98" i="64"/>
  <c r="J98" i="64"/>
  <c r="D98" i="64"/>
  <c r="B98" i="64"/>
  <c r="T97" i="64"/>
  <c r="J97" i="64"/>
  <c r="H97" i="64"/>
  <c r="Z95" i="64"/>
  <c r="X95" i="64"/>
  <c r="N95" i="64"/>
  <c r="L95" i="64"/>
  <c r="J95" i="64"/>
  <c r="B95" i="64"/>
  <c r="X94" i="64"/>
  <c r="T94" i="64"/>
  <c r="P94" i="64"/>
  <c r="H94" i="64"/>
  <c r="D94" i="64"/>
  <c r="L94" i="64" s="1"/>
  <c r="B94" i="64"/>
  <c r="Z93" i="64"/>
  <c r="X93" i="64"/>
  <c r="N93" i="64"/>
  <c r="L93" i="64"/>
  <c r="J93" i="64"/>
  <c r="B93" i="64"/>
  <c r="Z92" i="64"/>
  <c r="X92" i="64"/>
  <c r="R92" i="64"/>
  <c r="N92" i="64"/>
  <c r="L92" i="64"/>
  <c r="B92" i="64"/>
  <c r="Z91" i="64"/>
  <c r="X91" i="64"/>
  <c r="V91" i="64"/>
  <c r="T91" i="64"/>
  <c r="P91" i="64"/>
  <c r="N91" i="64"/>
  <c r="J91" i="64"/>
  <c r="H91" i="64"/>
  <c r="D91" i="64"/>
  <c r="L91" i="64" s="1"/>
  <c r="B91" i="64"/>
  <c r="X90" i="64"/>
  <c r="Z90" i="64" s="1"/>
  <c r="L90" i="64"/>
  <c r="N90" i="64" s="1"/>
  <c r="B90" i="64"/>
  <c r="T89" i="64"/>
  <c r="Z89" i="64" s="1"/>
  <c r="P89" i="64"/>
  <c r="X89" i="64" s="1"/>
  <c r="N89" i="64"/>
  <c r="L89" i="64"/>
  <c r="J89" i="64"/>
  <c r="H89" i="64"/>
  <c r="F89" i="64"/>
  <c r="D89" i="64"/>
  <c r="B89" i="64"/>
  <c r="X88" i="64"/>
  <c r="Z88" i="64" s="1"/>
  <c r="L88" i="64"/>
  <c r="N88" i="64" s="1"/>
  <c r="B88" i="64"/>
  <c r="T87" i="64"/>
  <c r="P87" i="64"/>
  <c r="X87" i="64" s="1"/>
  <c r="Z87" i="64" s="1"/>
  <c r="N87" i="64"/>
  <c r="J87" i="64"/>
  <c r="H87" i="64"/>
  <c r="L87" i="64" s="1"/>
  <c r="D87" i="64"/>
  <c r="B87" i="64"/>
  <c r="X86" i="64"/>
  <c r="Z86" i="64" s="1"/>
  <c r="L86" i="64"/>
  <c r="N86" i="64" s="1"/>
  <c r="B86" i="64"/>
  <c r="Z85" i="64"/>
  <c r="X85" i="64"/>
  <c r="N85" i="64"/>
  <c r="L85" i="64"/>
  <c r="J85" i="64"/>
  <c r="B85" i="64"/>
  <c r="Z84" i="64"/>
  <c r="X84" i="64"/>
  <c r="N84" i="64"/>
  <c r="L84" i="64"/>
  <c r="B84" i="64"/>
  <c r="Z83" i="64"/>
  <c r="X83" i="64"/>
  <c r="N83" i="64"/>
  <c r="L83" i="64"/>
  <c r="J83" i="64"/>
  <c r="B83" i="64"/>
  <c r="Z82" i="64"/>
  <c r="X82" i="64"/>
  <c r="N82" i="64"/>
  <c r="L82" i="64"/>
  <c r="B82" i="64"/>
  <c r="T81" i="64"/>
  <c r="P81" i="64"/>
  <c r="X81" i="64" s="1"/>
  <c r="Z81" i="64" s="1"/>
  <c r="J81" i="64"/>
  <c r="H81" i="64"/>
  <c r="D81" i="64"/>
  <c r="L81" i="64" s="1"/>
  <c r="N81" i="64" s="1"/>
  <c r="B81" i="64"/>
  <c r="Z80" i="64"/>
  <c r="X80" i="64"/>
  <c r="N80" i="64"/>
  <c r="L80" i="64"/>
  <c r="B80" i="64"/>
  <c r="Z79" i="64"/>
  <c r="X79" i="64"/>
  <c r="N79" i="64"/>
  <c r="L79" i="64"/>
  <c r="B79" i="64"/>
  <c r="T78" i="64"/>
  <c r="P78" i="64"/>
  <c r="H78" i="64"/>
  <c r="D78" i="64"/>
  <c r="L78" i="64" s="1"/>
  <c r="B78" i="64"/>
  <c r="Z77" i="64"/>
  <c r="X77" i="64"/>
  <c r="V77" i="64"/>
  <c r="N77" i="64"/>
  <c r="L77" i="64"/>
  <c r="J77" i="64"/>
  <c r="B77" i="64"/>
  <c r="Z76" i="64"/>
  <c r="X76" i="64"/>
  <c r="N76" i="64"/>
  <c r="L76" i="64"/>
  <c r="J76" i="64"/>
  <c r="F76" i="64"/>
  <c r="B76" i="64"/>
  <c r="Z75" i="64"/>
  <c r="X75" i="64"/>
  <c r="N75" i="64"/>
  <c r="L75" i="64"/>
  <c r="J75" i="64"/>
  <c r="B75" i="64"/>
  <c r="Z74" i="64"/>
  <c r="X74" i="64"/>
  <c r="T74" i="64"/>
  <c r="P74" i="64"/>
  <c r="L74" i="64"/>
  <c r="J74" i="64"/>
  <c r="H74" i="64"/>
  <c r="D74" i="64"/>
  <c r="B74" i="64"/>
  <c r="Z73" i="64"/>
  <c r="X73" i="64"/>
  <c r="V73" i="64"/>
  <c r="N73" i="64"/>
  <c r="L73" i="64"/>
  <c r="J73" i="64"/>
  <c r="B73" i="64"/>
  <c r="Z72" i="64"/>
  <c r="X72" i="64"/>
  <c r="N72" i="64"/>
  <c r="L72" i="64"/>
  <c r="B72" i="64"/>
  <c r="Z71" i="64"/>
  <c r="X71" i="64"/>
  <c r="L71" i="64"/>
  <c r="N71" i="64" s="1"/>
  <c r="J71" i="64"/>
  <c r="B71" i="64"/>
  <c r="T70" i="64"/>
  <c r="P70" i="64"/>
  <c r="X70" i="64" s="1"/>
  <c r="J70" i="64"/>
  <c r="H70" i="64"/>
  <c r="D70" i="64"/>
  <c r="L70" i="64" s="1"/>
  <c r="B70" i="64"/>
  <c r="Z69" i="64"/>
  <c r="X69" i="64"/>
  <c r="N69" i="64"/>
  <c r="L69" i="64"/>
  <c r="J69" i="64"/>
  <c r="F69" i="64"/>
  <c r="B69" i="64"/>
  <c r="T68" i="64"/>
  <c r="P68" i="64"/>
  <c r="X68" i="64" s="1"/>
  <c r="J68" i="64"/>
  <c r="H68" i="64"/>
  <c r="D68" i="64"/>
  <c r="L68" i="64" s="1"/>
  <c r="B68" i="64"/>
  <c r="Z67" i="64"/>
  <c r="X67" i="64"/>
  <c r="N67" i="64"/>
  <c r="L67" i="64"/>
  <c r="J67" i="64"/>
  <c r="B67" i="64"/>
  <c r="Z66" i="64"/>
  <c r="X66" i="64"/>
  <c r="T66" i="64"/>
  <c r="P66" i="64"/>
  <c r="J66" i="64"/>
  <c r="H66" i="64"/>
  <c r="D66" i="64"/>
  <c r="L66" i="64" s="1"/>
  <c r="B66" i="64"/>
  <c r="Z65" i="64"/>
  <c r="X65" i="64"/>
  <c r="V65" i="64"/>
  <c r="N65" i="64"/>
  <c r="L65" i="64"/>
  <c r="J65" i="64"/>
  <c r="B65" i="64"/>
  <c r="V64" i="64"/>
  <c r="T64" i="64"/>
  <c r="Z64" i="64" s="1"/>
  <c r="P64" i="64"/>
  <c r="X64" i="64" s="1"/>
  <c r="H64" i="64"/>
  <c r="N64" i="64" s="1"/>
  <c r="D64" i="64"/>
  <c r="B64" i="64"/>
  <c r="X63" i="64"/>
  <c r="Z63" i="64" s="1"/>
  <c r="N63" i="64"/>
  <c r="L63" i="64"/>
  <c r="J63" i="64"/>
  <c r="B63" i="64"/>
  <c r="T62" i="64"/>
  <c r="P62" i="64"/>
  <c r="H62" i="64"/>
  <c r="D62" i="64"/>
  <c r="L62" i="64" s="1"/>
  <c r="B62" i="64"/>
  <c r="Z61" i="64"/>
  <c r="X61" i="64"/>
  <c r="V61" i="64"/>
  <c r="N61" i="64"/>
  <c r="L61" i="64"/>
  <c r="J61" i="64"/>
  <c r="B61" i="64"/>
  <c r="T60" i="64"/>
  <c r="P60" i="64"/>
  <c r="X60" i="64" s="1"/>
  <c r="H60" i="64"/>
  <c r="D60" i="64"/>
  <c r="L60" i="64" s="1"/>
  <c r="B60" i="64"/>
  <c r="Z59" i="64"/>
  <c r="X59" i="64"/>
  <c r="L59" i="64"/>
  <c r="N59" i="64" s="1"/>
  <c r="J59" i="64"/>
  <c r="B59" i="64"/>
  <c r="T58" i="64"/>
  <c r="P58" i="64"/>
  <c r="X58" i="64" s="1"/>
  <c r="J58" i="64"/>
  <c r="H58" i="64"/>
  <c r="D58" i="64"/>
  <c r="L58" i="64" s="1"/>
  <c r="B58" i="64"/>
  <c r="Z57" i="64"/>
  <c r="X57" i="64"/>
  <c r="V57" i="64"/>
  <c r="N57" i="64"/>
  <c r="L57" i="64"/>
  <c r="J57" i="64"/>
  <c r="B57" i="64"/>
  <c r="X56" i="64"/>
  <c r="T56" i="64"/>
  <c r="P56" i="64"/>
  <c r="J56" i="64"/>
  <c r="H56" i="64"/>
  <c r="D56" i="64"/>
  <c r="L56" i="64" s="1"/>
  <c r="B56" i="64"/>
  <c r="Z55" i="64"/>
  <c r="X55" i="64"/>
  <c r="V55" i="64"/>
  <c r="N55" i="64"/>
  <c r="L55" i="64"/>
  <c r="J55" i="64"/>
  <c r="B55" i="64"/>
  <c r="X54" i="64"/>
  <c r="Z54" i="64" s="1"/>
  <c r="L54" i="64"/>
  <c r="N54" i="64" s="1"/>
  <c r="B54" i="64"/>
  <c r="V53" i="64"/>
  <c r="T53" i="64"/>
  <c r="P53" i="64"/>
  <c r="J53" i="64"/>
  <c r="H53" i="64"/>
  <c r="D53" i="64"/>
  <c r="L53" i="64" s="1"/>
  <c r="N53" i="64" s="1"/>
  <c r="B53" i="64"/>
  <c r="Z52" i="64"/>
  <c r="X52" i="64"/>
  <c r="V52" i="64"/>
  <c r="R52" i="64"/>
  <c r="N52" i="64"/>
  <c r="L52" i="64"/>
  <c r="B52" i="64"/>
  <c r="Z51" i="64"/>
  <c r="X51" i="64"/>
  <c r="V51" i="64"/>
  <c r="N51" i="64"/>
  <c r="L51" i="64"/>
  <c r="J51" i="64"/>
  <c r="B51" i="64"/>
  <c r="X50" i="64"/>
  <c r="T50" i="64"/>
  <c r="R50" i="64"/>
  <c r="P50" i="64"/>
  <c r="J50" i="64"/>
  <c r="H50" i="64"/>
  <c r="D50" i="64"/>
  <c r="L50" i="64" s="1"/>
  <c r="B50" i="64"/>
  <c r="Z49" i="64"/>
  <c r="X49" i="64"/>
  <c r="V49" i="64"/>
  <c r="N49" i="64"/>
  <c r="L49" i="64"/>
  <c r="J49" i="64"/>
  <c r="B49" i="64"/>
  <c r="X48" i="64"/>
  <c r="Z48" i="64" s="1"/>
  <c r="L48" i="64"/>
  <c r="N48" i="64" s="1"/>
  <c r="J48" i="64"/>
  <c r="B48" i="64"/>
  <c r="Z47" i="64"/>
  <c r="X47" i="64"/>
  <c r="V47" i="64"/>
  <c r="N47" i="64"/>
  <c r="L47" i="64"/>
  <c r="J47" i="64"/>
  <c r="B47" i="64"/>
  <c r="T46" i="64"/>
  <c r="R46" i="64"/>
  <c r="P46" i="64"/>
  <c r="X46" i="64" s="1"/>
  <c r="Z46" i="64" s="1"/>
  <c r="H46" i="64"/>
  <c r="D46" i="64"/>
  <c r="B46" i="64"/>
  <c r="Z45" i="64"/>
  <c r="X45" i="64"/>
  <c r="V45" i="64"/>
  <c r="N45" i="64"/>
  <c r="L45" i="64"/>
  <c r="J45" i="64"/>
  <c r="B45" i="64"/>
  <c r="V44" i="64"/>
  <c r="T44" i="64"/>
  <c r="P44" i="64"/>
  <c r="X44" i="64" s="1"/>
  <c r="L44" i="64"/>
  <c r="N44" i="64" s="1"/>
  <c r="H44" i="64"/>
  <c r="D44" i="64"/>
  <c r="B44" i="64"/>
  <c r="Z43" i="64"/>
  <c r="X43" i="64"/>
  <c r="R43" i="64"/>
  <c r="N43" i="64"/>
  <c r="L43" i="64"/>
  <c r="J43" i="64"/>
  <c r="B43" i="64"/>
  <c r="X42" i="64"/>
  <c r="T42" i="64"/>
  <c r="P42" i="64"/>
  <c r="L42" i="64"/>
  <c r="J42" i="64"/>
  <c r="H42" i="64"/>
  <c r="N42" i="64" s="1"/>
  <c r="D42" i="64"/>
  <c r="B42" i="64"/>
  <c r="Z41" i="64"/>
  <c r="X41" i="64"/>
  <c r="V41" i="64"/>
  <c r="L41" i="64"/>
  <c r="N41" i="64" s="1"/>
  <c r="J41" i="64"/>
  <c r="F41" i="64"/>
  <c r="B41" i="64"/>
  <c r="X40" i="64"/>
  <c r="T40" i="64"/>
  <c r="P40" i="64"/>
  <c r="N40" i="64"/>
  <c r="L40" i="64"/>
  <c r="J40" i="64"/>
  <c r="H40" i="64"/>
  <c r="D40" i="64"/>
  <c r="B40" i="64"/>
  <c r="Z39" i="64"/>
  <c r="X39" i="64"/>
  <c r="V39" i="64"/>
  <c r="N39" i="64"/>
  <c r="L39" i="64"/>
  <c r="J39" i="64"/>
  <c r="B39" i="64"/>
  <c r="Z38" i="64"/>
  <c r="X38" i="64"/>
  <c r="N38" i="64"/>
  <c r="L38" i="64"/>
  <c r="J38" i="64"/>
  <c r="F38" i="64"/>
  <c r="B38" i="64"/>
  <c r="Z37" i="64"/>
  <c r="X37" i="64"/>
  <c r="V37" i="64"/>
  <c r="N37" i="64"/>
  <c r="L37" i="64"/>
  <c r="J37" i="64"/>
  <c r="B37" i="64"/>
  <c r="X36" i="64"/>
  <c r="Z36" i="64" s="1"/>
  <c r="N36" i="64"/>
  <c r="L36" i="64"/>
  <c r="J36" i="64"/>
  <c r="B36" i="64"/>
  <c r="Z35" i="64"/>
  <c r="X35" i="64"/>
  <c r="N35" i="64"/>
  <c r="L35" i="64"/>
  <c r="J35" i="64"/>
  <c r="F35" i="64"/>
  <c r="B35" i="64"/>
  <c r="Z34" i="64"/>
  <c r="X34" i="64"/>
  <c r="N34" i="64"/>
  <c r="L34" i="64"/>
  <c r="J34" i="64"/>
  <c r="B34" i="64"/>
  <c r="Z33" i="64"/>
  <c r="X33" i="64"/>
  <c r="V33" i="64"/>
  <c r="N33" i="64"/>
  <c r="L33" i="64"/>
  <c r="J33" i="64"/>
  <c r="B33" i="64"/>
  <c r="Z32" i="64"/>
  <c r="X32" i="64"/>
  <c r="N32" i="64"/>
  <c r="L32" i="64"/>
  <c r="J32" i="64"/>
  <c r="B32" i="64"/>
  <c r="Z31" i="64"/>
  <c r="X31" i="64"/>
  <c r="V31" i="64"/>
  <c r="N31" i="64"/>
  <c r="L31" i="64"/>
  <c r="J31" i="64"/>
  <c r="F31" i="64"/>
  <c r="B31" i="64"/>
  <c r="X30" i="64"/>
  <c r="Z30" i="64" s="1"/>
  <c r="L30" i="64"/>
  <c r="N30" i="64" s="1"/>
  <c r="J30" i="64"/>
  <c r="B30" i="64"/>
  <c r="T29" i="64"/>
  <c r="R29" i="64"/>
  <c r="P29" i="64"/>
  <c r="N29" i="64"/>
  <c r="J29" i="64"/>
  <c r="H29" i="64"/>
  <c r="F29" i="64"/>
  <c r="D29" i="64"/>
  <c r="L29" i="64" s="1"/>
  <c r="B29" i="64"/>
  <c r="Z28" i="64"/>
  <c r="X28" i="64"/>
  <c r="L28" i="64"/>
  <c r="N28" i="64" s="1"/>
  <c r="B28" i="64"/>
  <c r="Z27" i="64"/>
  <c r="X27" i="64"/>
  <c r="V27" i="64"/>
  <c r="N27" i="64"/>
  <c r="L27" i="64"/>
  <c r="J27" i="64"/>
  <c r="B27" i="64"/>
  <c r="X26" i="64"/>
  <c r="Z26" i="64" s="1"/>
  <c r="V26" i="64"/>
  <c r="N26" i="64"/>
  <c r="L26" i="64"/>
  <c r="J26" i="64"/>
  <c r="F26" i="64"/>
  <c r="B26" i="64"/>
  <c r="Z25" i="64"/>
  <c r="X25" i="64"/>
  <c r="N25" i="64"/>
  <c r="L25" i="64"/>
  <c r="J25" i="64"/>
  <c r="B25" i="64"/>
  <c r="Z24" i="64"/>
  <c r="X24" i="64"/>
  <c r="V24" i="64"/>
  <c r="L24" i="64"/>
  <c r="N24" i="64" s="1"/>
  <c r="B24" i="64"/>
  <c r="X23" i="64"/>
  <c r="Z23" i="64" s="1"/>
  <c r="V23" i="64"/>
  <c r="N23" i="64"/>
  <c r="L23" i="64"/>
  <c r="J23" i="64"/>
  <c r="B23" i="64"/>
  <c r="X22" i="64"/>
  <c r="Z22" i="64" s="1"/>
  <c r="V22" i="64"/>
  <c r="L22" i="64"/>
  <c r="N22" i="64" s="1"/>
  <c r="J22" i="64"/>
  <c r="F22" i="64"/>
  <c r="B22" i="64"/>
  <c r="Z21" i="64"/>
  <c r="X21" i="64"/>
  <c r="N21" i="64"/>
  <c r="L21" i="64"/>
  <c r="J21" i="64"/>
  <c r="B21" i="64"/>
  <c r="X20" i="64"/>
  <c r="Z20" i="64" s="1"/>
  <c r="V20" i="64"/>
  <c r="L20" i="64"/>
  <c r="N20" i="64" s="1"/>
  <c r="B20" i="64"/>
  <c r="Z19" i="64"/>
  <c r="X19" i="64"/>
  <c r="V19" i="64"/>
  <c r="T19" i="64"/>
  <c r="P19" i="64"/>
  <c r="N19" i="64"/>
  <c r="J19" i="64"/>
  <c r="H19" i="64"/>
  <c r="F19" i="64"/>
  <c r="D19" i="64"/>
  <c r="L19" i="64" s="1"/>
  <c r="B19" i="64"/>
  <c r="Z18" i="64"/>
  <c r="X18" i="64"/>
  <c r="V18" i="64"/>
  <c r="T18" i="64"/>
  <c r="P18" i="64"/>
  <c r="L18" i="64"/>
  <c r="H18" i="64"/>
  <c r="D18" i="64"/>
  <c r="V16" i="64"/>
  <c r="T16" i="64"/>
  <c r="Z16" i="64" s="1"/>
  <c r="H16" i="64"/>
  <c r="N16" i="64" s="1"/>
  <c r="F16" i="64"/>
  <c r="D16" i="64"/>
  <c r="Z14" i="64"/>
  <c r="X14" i="64"/>
  <c r="T14" i="64"/>
  <c r="P14" i="64"/>
  <c r="L14" i="64"/>
  <c r="H14" i="64"/>
  <c r="N14" i="64" s="1"/>
  <c r="D14" i="64"/>
  <c r="Z12" i="64"/>
  <c r="X12" i="64"/>
  <c r="T12" i="64"/>
  <c r="P12" i="64"/>
  <c r="R61" i="64" s="1"/>
  <c r="N12" i="64"/>
  <c r="H12" i="64"/>
  <c r="J104" i="64" s="1"/>
  <c r="D12" i="64"/>
  <c r="F88" i="64" s="1"/>
  <c r="D6" i="64"/>
  <c r="D4" i="64"/>
  <c r="V67" i="61"/>
  <c r="V64" i="61"/>
  <c r="Z62" i="61"/>
  <c r="X62" i="61"/>
  <c r="V62" i="61"/>
  <c r="N62" i="61"/>
  <c r="L62" i="61"/>
  <c r="F62" i="61"/>
  <c r="R60" i="61"/>
  <c r="F60" i="61"/>
  <c r="T58" i="61"/>
  <c r="Z58" i="61" s="1"/>
  <c r="R58" i="61"/>
  <c r="P58" i="61"/>
  <c r="X58" i="61" s="1"/>
  <c r="N58" i="61"/>
  <c r="H58" i="61"/>
  <c r="F58" i="61"/>
  <c r="D58" i="61"/>
  <c r="L58" i="61" s="1"/>
  <c r="Z56" i="61"/>
  <c r="X56" i="61"/>
  <c r="R56" i="61"/>
  <c r="N56" i="61"/>
  <c r="L56" i="61"/>
  <c r="B56" i="61"/>
  <c r="Z55" i="61"/>
  <c r="X55" i="61"/>
  <c r="V55" i="61"/>
  <c r="T55" i="61"/>
  <c r="P55" i="61"/>
  <c r="H55" i="61"/>
  <c r="L55" i="61" s="1"/>
  <c r="N55" i="61" s="1"/>
  <c r="D55" i="61"/>
  <c r="B55" i="61"/>
  <c r="X54" i="61"/>
  <c r="Z54" i="61" s="1"/>
  <c r="L54" i="61"/>
  <c r="N54" i="61" s="1"/>
  <c r="B54" i="61"/>
  <c r="V53" i="61"/>
  <c r="T53" i="61"/>
  <c r="R53" i="61"/>
  <c r="P53" i="61"/>
  <c r="X53" i="61" s="1"/>
  <c r="H53" i="61"/>
  <c r="D53" i="61"/>
  <c r="B53" i="61"/>
  <c r="X52" i="61"/>
  <c r="Z52" i="61" s="1"/>
  <c r="V52" i="61"/>
  <c r="R52" i="61"/>
  <c r="N52" i="61"/>
  <c r="L52" i="61"/>
  <c r="F52" i="61"/>
  <c r="B52" i="61"/>
  <c r="X51" i="61"/>
  <c r="Z51" i="61" s="1"/>
  <c r="T51" i="61"/>
  <c r="R51" i="61"/>
  <c r="P51" i="61"/>
  <c r="H51" i="61"/>
  <c r="F51" i="61"/>
  <c r="D51" i="61"/>
  <c r="L51" i="61" s="1"/>
  <c r="N51" i="61" s="1"/>
  <c r="B51" i="61"/>
  <c r="Z50" i="61"/>
  <c r="X50" i="61"/>
  <c r="R50" i="61"/>
  <c r="N50" i="61"/>
  <c r="L50" i="61"/>
  <c r="B50" i="61"/>
  <c r="Z49" i="61"/>
  <c r="X49" i="61"/>
  <c r="R49" i="61"/>
  <c r="N49" i="61"/>
  <c r="L49" i="61"/>
  <c r="F49" i="61"/>
  <c r="B49" i="61"/>
  <c r="T48" i="61"/>
  <c r="R48" i="61"/>
  <c r="P48" i="61"/>
  <c r="N48" i="61"/>
  <c r="H48" i="61"/>
  <c r="F48" i="61"/>
  <c r="D48" i="61"/>
  <c r="L48" i="61" s="1"/>
  <c r="B48" i="61"/>
  <c r="X47" i="61"/>
  <c r="Z47" i="61" s="1"/>
  <c r="V47" i="61"/>
  <c r="R47" i="61"/>
  <c r="L47" i="61"/>
  <c r="N47" i="61" s="1"/>
  <c r="B47" i="61"/>
  <c r="T46" i="61"/>
  <c r="R46" i="61"/>
  <c r="P46" i="61"/>
  <c r="X46" i="61" s="1"/>
  <c r="Z46" i="61" s="1"/>
  <c r="N46" i="61"/>
  <c r="J46" i="61"/>
  <c r="H46" i="61"/>
  <c r="D46" i="61"/>
  <c r="L46" i="61" s="1"/>
  <c r="B46" i="61"/>
  <c r="Z45" i="61"/>
  <c r="X45" i="61"/>
  <c r="R45" i="61"/>
  <c r="L45" i="61"/>
  <c r="N45" i="61" s="1"/>
  <c r="F45" i="61"/>
  <c r="B45" i="61"/>
  <c r="V44" i="61"/>
  <c r="T44" i="61"/>
  <c r="R44" i="61"/>
  <c r="P44" i="61"/>
  <c r="L44" i="61"/>
  <c r="N44" i="61" s="1"/>
  <c r="J44" i="61"/>
  <c r="H44" i="61"/>
  <c r="F44" i="61"/>
  <c r="D44" i="61"/>
  <c r="B44" i="61"/>
  <c r="Z43" i="61"/>
  <c r="X43" i="61"/>
  <c r="V43" i="61"/>
  <c r="R43" i="61"/>
  <c r="L43" i="61"/>
  <c r="N43" i="61" s="1"/>
  <c r="F43" i="61"/>
  <c r="B43" i="61"/>
  <c r="T42" i="61"/>
  <c r="R42" i="61"/>
  <c r="P42" i="61"/>
  <c r="X42" i="61" s="1"/>
  <c r="Z42" i="61" s="1"/>
  <c r="H42" i="61"/>
  <c r="F42" i="61"/>
  <c r="D42" i="61"/>
  <c r="L42" i="61" s="1"/>
  <c r="B42" i="61"/>
  <c r="Z41" i="61"/>
  <c r="X41" i="61"/>
  <c r="V41" i="61"/>
  <c r="R41" i="61"/>
  <c r="N41" i="61"/>
  <c r="L41" i="61"/>
  <c r="B41" i="61"/>
  <c r="Z40" i="61"/>
  <c r="V40" i="61"/>
  <c r="T40" i="61"/>
  <c r="P40" i="61"/>
  <c r="X40" i="61" s="1"/>
  <c r="H40" i="61"/>
  <c r="D40" i="61"/>
  <c r="L40" i="61" s="1"/>
  <c r="N40" i="61" s="1"/>
  <c r="B40" i="61"/>
  <c r="Z39" i="61"/>
  <c r="X39" i="61"/>
  <c r="N39" i="61"/>
  <c r="L39" i="61"/>
  <c r="B39" i="61"/>
  <c r="Z38" i="61"/>
  <c r="X38" i="61"/>
  <c r="V38" i="61"/>
  <c r="R38" i="61"/>
  <c r="N38" i="61"/>
  <c r="L38" i="61"/>
  <c r="F38" i="61"/>
  <c r="B38" i="61"/>
  <c r="Z37" i="61"/>
  <c r="X37" i="61"/>
  <c r="R37" i="61"/>
  <c r="L37" i="61"/>
  <c r="N37" i="61" s="1"/>
  <c r="F37" i="61"/>
  <c r="B37" i="61"/>
  <c r="Z36" i="61"/>
  <c r="X36" i="61"/>
  <c r="V36" i="61"/>
  <c r="R36" i="61"/>
  <c r="N36" i="61"/>
  <c r="L36" i="61"/>
  <c r="F36" i="61"/>
  <c r="B36" i="61"/>
  <c r="Z35" i="61"/>
  <c r="X35" i="61"/>
  <c r="N35" i="61"/>
  <c r="L35" i="61"/>
  <c r="B35" i="61"/>
  <c r="Z34" i="61"/>
  <c r="X34" i="61"/>
  <c r="V34" i="61"/>
  <c r="R34" i="61"/>
  <c r="N34" i="61"/>
  <c r="L34" i="61"/>
  <c r="F34" i="61"/>
  <c r="B34" i="61"/>
  <c r="Z33" i="61"/>
  <c r="X33" i="61"/>
  <c r="R33" i="61"/>
  <c r="L33" i="61"/>
  <c r="N33" i="61" s="1"/>
  <c r="F33" i="61"/>
  <c r="B33" i="61"/>
  <c r="Z32" i="61"/>
  <c r="X32" i="61"/>
  <c r="V32" i="61"/>
  <c r="R32" i="61"/>
  <c r="N32" i="61"/>
  <c r="L32" i="61"/>
  <c r="F32" i="61"/>
  <c r="B32" i="61"/>
  <c r="Z31" i="61"/>
  <c r="X31" i="61"/>
  <c r="N31" i="61"/>
  <c r="L31" i="61"/>
  <c r="B31" i="61"/>
  <c r="X30" i="61"/>
  <c r="Z30" i="61" s="1"/>
  <c r="V30" i="61"/>
  <c r="R30" i="61"/>
  <c r="N30" i="61"/>
  <c r="L30" i="61"/>
  <c r="F30" i="61"/>
  <c r="B30" i="61"/>
  <c r="T29" i="61"/>
  <c r="R29" i="61"/>
  <c r="P29" i="61"/>
  <c r="X29" i="61" s="1"/>
  <c r="Z29" i="61" s="1"/>
  <c r="L29" i="61"/>
  <c r="N29" i="61" s="1"/>
  <c r="H29" i="61"/>
  <c r="F29" i="61"/>
  <c r="D29" i="61"/>
  <c r="B29" i="61"/>
  <c r="Z28" i="61"/>
  <c r="X28" i="61"/>
  <c r="R28" i="61"/>
  <c r="N28" i="61"/>
  <c r="L28" i="61"/>
  <c r="J28" i="61"/>
  <c r="B28" i="61"/>
  <c r="Z27" i="61"/>
  <c r="X27" i="61"/>
  <c r="V27" i="61"/>
  <c r="R27" i="61"/>
  <c r="L27" i="61"/>
  <c r="N27" i="61" s="1"/>
  <c r="F27" i="61"/>
  <c r="B27" i="61"/>
  <c r="Z26" i="61"/>
  <c r="X26" i="61"/>
  <c r="R26" i="61"/>
  <c r="L26" i="61"/>
  <c r="N26" i="61" s="1"/>
  <c r="B26" i="61"/>
  <c r="Z25" i="61"/>
  <c r="X25" i="61"/>
  <c r="R25" i="61"/>
  <c r="N25" i="61"/>
  <c r="L25" i="61"/>
  <c r="F25" i="61"/>
  <c r="B25" i="61"/>
  <c r="Z24" i="61"/>
  <c r="X24" i="61"/>
  <c r="R24" i="61"/>
  <c r="N24" i="61"/>
  <c r="L24" i="61"/>
  <c r="B24" i="61"/>
  <c r="Z23" i="61"/>
  <c r="X23" i="61"/>
  <c r="V23" i="61"/>
  <c r="R23" i="61"/>
  <c r="L23" i="61"/>
  <c r="N23" i="61" s="1"/>
  <c r="J23" i="61"/>
  <c r="F23" i="61"/>
  <c r="B23" i="61"/>
  <c r="Z22" i="61"/>
  <c r="X22" i="61"/>
  <c r="R22" i="61"/>
  <c r="L22" i="61"/>
  <c r="N22" i="61" s="1"/>
  <c r="B22" i="61"/>
  <c r="X21" i="61"/>
  <c r="Z21" i="61" s="1"/>
  <c r="R21" i="61"/>
  <c r="N21" i="61"/>
  <c r="L21" i="61"/>
  <c r="F21" i="61"/>
  <c r="B21" i="61"/>
  <c r="Z20" i="61"/>
  <c r="X20" i="61"/>
  <c r="V20" i="61"/>
  <c r="R20" i="61"/>
  <c r="N20" i="61"/>
  <c r="L20" i="61"/>
  <c r="B20" i="61"/>
  <c r="Z19" i="61"/>
  <c r="X19" i="61"/>
  <c r="V19" i="61"/>
  <c r="T19" i="61"/>
  <c r="P19" i="61"/>
  <c r="H19" i="61"/>
  <c r="D19" i="61"/>
  <c r="B19" i="61"/>
  <c r="T18" i="61"/>
  <c r="R18" i="61"/>
  <c r="P18" i="61"/>
  <c r="X18" i="61" s="1"/>
  <c r="Z18" i="61" s="1"/>
  <c r="N18" i="61"/>
  <c r="H18" i="61"/>
  <c r="D18" i="61"/>
  <c r="L18" i="61" s="1"/>
  <c r="R16" i="61"/>
  <c r="Z14" i="61"/>
  <c r="T14" i="61"/>
  <c r="R14" i="61"/>
  <c r="P14" i="61"/>
  <c r="X14" i="61" s="1"/>
  <c r="N14" i="61"/>
  <c r="H14" i="61"/>
  <c r="D14" i="61"/>
  <c r="D16" i="61" s="1"/>
  <c r="Z12" i="61"/>
  <c r="X12" i="61"/>
  <c r="T12" i="61"/>
  <c r="V51" i="61" s="1"/>
  <c r="P12" i="61"/>
  <c r="R62" i="61" s="1"/>
  <c r="H12" i="61"/>
  <c r="J53" i="61" s="1"/>
  <c r="D12" i="61"/>
  <c r="F56" i="61" s="1"/>
  <c r="D6" i="61"/>
  <c r="D4" i="61"/>
  <c r="J65" i="60"/>
  <c r="J62" i="60"/>
  <c r="Z60" i="60"/>
  <c r="X60" i="60"/>
  <c r="R60" i="60"/>
  <c r="N60" i="60"/>
  <c r="L60" i="60"/>
  <c r="F60" i="60"/>
  <c r="V58" i="60"/>
  <c r="Z56" i="60"/>
  <c r="T56" i="60"/>
  <c r="P56" i="60"/>
  <c r="X56" i="60" s="1"/>
  <c r="N56" i="60"/>
  <c r="H56" i="60"/>
  <c r="D56" i="60"/>
  <c r="L56" i="60" s="1"/>
  <c r="Z54" i="60"/>
  <c r="X54" i="60"/>
  <c r="L54" i="60"/>
  <c r="N54" i="60" s="1"/>
  <c r="B54" i="60"/>
  <c r="T53" i="60"/>
  <c r="P53" i="60"/>
  <c r="X53" i="60" s="1"/>
  <c r="J53" i="60"/>
  <c r="H53" i="60"/>
  <c r="D53" i="60"/>
  <c r="L53" i="60" s="1"/>
  <c r="B53" i="60"/>
  <c r="X52" i="60"/>
  <c r="Z52" i="60" s="1"/>
  <c r="V52" i="60"/>
  <c r="N52" i="60"/>
  <c r="L52" i="60"/>
  <c r="B52" i="60"/>
  <c r="Z51" i="60"/>
  <c r="X51" i="60"/>
  <c r="N51" i="60"/>
  <c r="L51" i="60"/>
  <c r="B51" i="60"/>
  <c r="T50" i="60"/>
  <c r="P50" i="60"/>
  <c r="L50" i="60"/>
  <c r="N50" i="60" s="1"/>
  <c r="J50" i="60"/>
  <c r="H50" i="60"/>
  <c r="D50" i="60"/>
  <c r="B50" i="60"/>
  <c r="Z49" i="60"/>
  <c r="X49" i="60"/>
  <c r="L49" i="60"/>
  <c r="N49" i="60" s="1"/>
  <c r="J49" i="60"/>
  <c r="B49" i="60"/>
  <c r="Z48" i="60"/>
  <c r="T48" i="60"/>
  <c r="R48" i="60"/>
  <c r="P48" i="60"/>
  <c r="X48" i="60" s="1"/>
  <c r="H48" i="60"/>
  <c r="D48" i="60"/>
  <c r="L48" i="60" s="1"/>
  <c r="B48" i="60"/>
  <c r="Z47" i="60"/>
  <c r="X47" i="60"/>
  <c r="R47" i="60"/>
  <c r="N47" i="60"/>
  <c r="L47" i="60"/>
  <c r="B47" i="60"/>
  <c r="Z46" i="60"/>
  <c r="T46" i="60"/>
  <c r="P46" i="60"/>
  <c r="X46" i="60" s="1"/>
  <c r="H46" i="60"/>
  <c r="D46" i="60"/>
  <c r="L46" i="60" s="1"/>
  <c r="N46" i="60" s="1"/>
  <c r="B46" i="60"/>
  <c r="X45" i="60"/>
  <c r="Z45" i="60" s="1"/>
  <c r="N45" i="60"/>
  <c r="L45" i="60"/>
  <c r="J45" i="60"/>
  <c r="B45" i="60"/>
  <c r="X44" i="60"/>
  <c r="Z44" i="60" s="1"/>
  <c r="T44" i="60"/>
  <c r="R44" i="60"/>
  <c r="P44" i="60"/>
  <c r="H44" i="60"/>
  <c r="D44" i="60"/>
  <c r="B44" i="60"/>
  <c r="Z43" i="60"/>
  <c r="X43" i="60"/>
  <c r="R43" i="60"/>
  <c r="N43" i="60"/>
  <c r="L43" i="60"/>
  <c r="J43" i="60"/>
  <c r="B43" i="60"/>
  <c r="T42" i="60"/>
  <c r="R42" i="60"/>
  <c r="P42" i="60"/>
  <c r="X42" i="60" s="1"/>
  <c r="N42" i="60"/>
  <c r="H42" i="60"/>
  <c r="D42" i="60"/>
  <c r="L42" i="60" s="1"/>
  <c r="B42" i="60"/>
  <c r="X41" i="60"/>
  <c r="Z41" i="60" s="1"/>
  <c r="R41" i="60"/>
  <c r="L41" i="60"/>
  <c r="N41" i="60" s="1"/>
  <c r="B41" i="60"/>
  <c r="T40" i="60"/>
  <c r="P40" i="60"/>
  <c r="X40" i="60" s="1"/>
  <c r="Z40" i="60" s="1"/>
  <c r="J40" i="60"/>
  <c r="H40" i="60"/>
  <c r="D40" i="60"/>
  <c r="L40" i="60" s="1"/>
  <c r="N40" i="60" s="1"/>
  <c r="B40" i="60"/>
  <c r="Z39" i="60"/>
  <c r="X39" i="60"/>
  <c r="N39" i="60"/>
  <c r="L39" i="60"/>
  <c r="B39" i="60"/>
  <c r="Z38" i="60"/>
  <c r="X38" i="60"/>
  <c r="R38" i="60"/>
  <c r="N38" i="60"/>
  <c r="L38" i="60"/>
  <c r="B38" i="60"/>
  <c r="Z37" i="60"/>
  <c r="X37" i="60"/>
  <c r="N37" i="60"/>
  <c r="L37" i="60"/>
  <c r="J37" i="60"/>
  <c r="B37" i="60"/>
  <c r="Z36" i="60"/>
  <c r="X36" i="60"/>
  <c r="V36" i="60"/>
  <c r="N36" i="60"/>
  <c r="L36" i="60"/>
  <c r="B36" i="60"/>
  <c r="Z35" i="60"/>
  <c r="X35" i="60"/>
  <c r="N35" i="60"/>
  <c r="L35" i="60"/>
  <c r="B35" i="60"/>
  <c r="Z34" i="60"/>
  <c r="X34" i="60"/>
  <c r="R34" i="60"/>
  <c r="N34" i="60"/>
  <c r="L34" i="60"/>
  <c r="F34" i="60"/>
  <c r="B34" i="60"/>
  <c r="Z33" i="60"/>
  <c r="X33" i="60"/>
  <c r="N33" i="60"/>
  <c r="L33" i="60"/>
  <c r="J33" i="60"/>
  <c r="B33" i="60"/>
  <c r="Z32" i="60"/>
  <c r="X32" i="60"/>
  <c r="V32" i="60"/>
  <c r="N32" i="60"/>
  <c r="L32" i="60"/>
  <c r="B32" i="60"/>
  <c r="Z31" i="60"/>
  <c r="X31" i="60"/>
  <c r="N31" i="60"/>
  <c r="L31" i="60"/>
  <c r="F31" i="60"/>
  <c r="B31" i="60"/>
  <c r="Z30" i="60"/>
  <c r="X30" i="60"/>
  <c r="R30" i="60"/>
  <c r="N30" i="60"/>
  <c r="L30" i="60"/>
  <c r="B30" i="60"/>
  <c r="X29" i="60"/>
  <c r="Z29" i="60" s="1"/>
  <c r="T29" i="60"/>
  <c r="R29" i="60"/>
  <c r="P29" i="60"/>
  <c r="H29" i="60"/>
  <c r="D29" i="60"/>
  <c r="L29" i="60" s="1"/>
  <c r="N29" i="60" s="1"/>
  <c r="B29" i="60"/>
  <c r="Z28" i="60"/>
  <c r="X28" i="60"/>
  <c r="R28" i="60"/>
  <c r="L28" i="60"/>
  <c r="N28" i="60" s="1"/>
  <c r="B28" i="60"/>
  <c r="X27" i="60"/>
  <c r="Z27" i="60" s="1"/>
  <c r="R27" i="60"/>
  <c r="N27" i="60"/>
  <c r="L27" i="60"/>
  <c r="J27" i="60"/>
  <c r="B27" i="60"/>
  <c r="Z26" i="60"/>
  <c r="X26" i="60"/>
  <c r="R26" i="60"/>
  <c r="N26" i="60"/>
  <c r="L26" i="60"/>
  <c r="J26" i="60"/>
  <c r="B26" i="60"/>
  <c r="Z25" i="60"/>
  <c r="X25" i="60"/>
  <c r="V25" i="60"/>
  <c r="N25" i="60"/>
  <c r="L25" i="60"/>
  <c r="J25" i="60"/>
  <c r="B25" i="60"/>
  <c r="Z24" i="60"/>
  <c r="X24" i="60"/>
  <c r="R24" i="60"/>
  <c r="L24" i="60"/>
  <c r="N24" i="60" s="1"/>
  <c r="B24" i="60"/>
  <c r="Z23" i="60"/>
  <c r="X23" i="60"/>
  <c r="R23" i="60"/>
  <c r="N23" i="60"/>
  <c r="L23" i="60"/>
  <c r="J23" i="60"/>
  <c r="B23" i="60"/>
  <c r="Z22" i="60"/>
  <c r="X22" i="60"/>
  <c r="R22" i="60"/>
  <c r="N22" i="60"/>
  <c r="L22" i="60"/>
  <c r="J22" i="60"/>
  <c r="B22" i="60"/>
  <c r="Z21" i="60"/>
  <c r="X21" i="60"/>
  <c r="V21" i="60"/>
  <c r="L21" i="60"/>
  <c r="N21" i="60" s="1"/>
  <c r="J21" i="60"/>
  <c r="B21" i="60"/>
  <c r="Z20" i="60"/>
  <c r="X20" i="60"/>
  <c r="R20" i="60"/>
  <c r="L20" i="60"/>
  <c r="N20" i="60" s="1"/>
  <c r="B20" i="60"/>
  <c r="T19" i="60"/>
  <c r="P19" i="60"/>
  <c r="N19" i="60"/>
  <c r="L19" i="60"/>
  <c r="J19" i="60"/>
  <c r="H19" i="60"/>
  <c r="D19" i="60"/>
  <c r="B19" i="60"/>
  <c r="Z18" i="60"/>
  <c r="V18" i="60"/>
  <c r="T18" i="60"/>
  <c r="P18" i="60"/>
  <c r="X18" i="60" s="1"/>
  <c r="L18" i="60"/>
  <c r="N18" i="60" s="1"/>
  <c r="H18" i="60"/>
  <c r="D18" i="60"/>
  <c r="Z14" i="60"/>
  <c r="V14" i="60"/>
  <c r="T14" i="60"/>
  <c r="P14" i="60"/>
  <c r="P16" i="60" s="1"/>
  <c r="N14" i="60"/>
  <c r="L14" i="60"/>
  <c r="H14" i="60"/>
  <c r="D14" i="60"/>
  <c r="D16" i="60" s="1"/>
  <c r="T12" i="60"/>
  <c r="V56" i="60" s="1"/>
  <c r="P12" i="60"/>
  <c r="R54" i="60" s="1"/>
  <c r="L12" i="60"/>
  <c r="H12" i="60"/>
  <c r="J41" i="60" s="1"/>
  <c r="D12" i="60"/>
  <c r="F29" i="60" s="1"/>
  <c r="D6" i="60"/>
  <c r="D4" i="60"/>
  <c r="V75" i="59"/>
  <c r="R75" i="59"/>
  <c r="R72" i="59"/>
  <c r="Z70" i="59"/>
  <c r="X70" i="59"/>
  <c r="N70" i="59"/>
  <c r="L70" i="59"/>
  <c r="F70" i="59"/>
  <c r="J68" i="59"/>
  <c r="Z66" i="59"/>
  <c r="T66" i="59"/>
  <c r="P66" i="59"/>
  <c r="X66" i="59" s="1"/>
  <c r="N66" i="59"/>
  <c r="H66" i="59"/>
  <c r="D66" i="59"/>
  <c r="L66" i="59" s="1"/>
  <c r="X64" i="59"/>
  <c r="Z64" i="59" s="1"/>
  <c r="L64" i="59"/>
  <c r="N64" i="59" s="1"/>
  <c r="J64" i="59"/>
  <c r="B64" i="59"/>
  <c r="T63" i="59"/>
  <c r="R63" i="59"/>
  <c r="P63" i="59"/>
  <c r="X63" i="59" s="1"/>
  <c r="J63" i="59"/>
  <c r="H63" i="59"/>
  <c r="D63" i="59"/>
  <c r="L63" i="59" s="1"/>
  <c r="B63" i="59"/>
  <c r="X62" i="59"/>
  <c r="Z62" i="59" s="1"/>
  <c r="R62" i="59"/>
  <c r="N62" i="59"/>
  <c r="L62" i="59"/>
  <c r="B62" i="59"/>
  <c r="X61" i="59"/>
  <c r="Z61" i="59" s="1"/>
  <c r="T61" i="59"/>
  <c r="R61" i="59"/>
  <c r="P61" i="59"/>
  <c r="N61" i="59"/>
  <c r="H61" i="59"/>
  <c r="D61" i="59"/>
  <c r="L61" i="59" s="1"/>
  <c r="B61" i="59"/>
  <c r="Z60" i="59"/>
  <c r="X60" i="59"/>
  <c r="R60" i="59"/>
  <c r="L60" i="59"/>
  <c r="N60" i="59" s="1"/>
  <c r="B60" i="59"/>
  <c r="Z59" i="59"/>
  <c r="X59" i="59"/>
  <c r="R59" i="59"/>
  <c r="N59" i="59"/>
  <c r="L59" i="59"/>
  <c r="B59" i="59"/>
  <c r="T58" i="59"/>
  <c r="R58" i="59"/>
  <c r="P58" i="59"/>
  <c r="H58" i="59"/>
  <c r="D58" i="59"/>
  <c r="L58" i="59" s="1"/>
  <c r="N58" i="59" s="1"/>
  <c r="B58" i="59"/>
  <c r="X57" i="59"/>
  <c r="Z57" i="59" s="1"/>
  <c r="R57" i="59"/>
  <c r="L57" i="59"/>
  <c r="N57" i="59" s="1"/>
  <c r="B57" i="59"/>
  <c r="X56" i="59"/>
  <c r="Z56" i="59" s="1"/>
  <c r="T56" i="59"/>
  <c r="P56" i="59"/>
  <c r="N56" i="59"/>
  <c r="J56" i="59"/>
  <c r="H56" i="59"/>
  <c r="D56" i="59"/>
  <c r="L56" i="59" s="1"/>
  <c r="B56" i="59"/>
  <c r="Z55" i="59"/>
  <c r="X55" i="59"/>
  <c r="L55" i="59"/>
  <c r="N55" i="59" s="1"/>
  <c r="B55" i="59"/>
  <c r="T54" i="59"/>
  <c r="P54" i="59"/>
  <c r="L54" i="59"/>
  <c r="N54" i="59" s="1"/>
  <c r="H54" i="59"/>
  <c r="D54" i="59"/>
  <c r="B54" i="59"/>
  <c r="Z53" i="59"/>
  <c r="X53" i="59"/>
  <c r="N53" i="59"/>
  <c r="L53" i="59"/>
  <c r="J53" i="59"/>
  <c r="F53" i="59"/>
  <c r="B53" i="59"/>
  <c r="Z52" i="59"/>
  <c r="X52" i="59"/>
  <c r="R52" i="59"/>
  <c r="N52" i="59"/>
  <c r="L52" i="59"/>
  <c r="B52" i="59"/>
  <c r="Z51" i="59"/>
  <c r="X51" i="59"/>
  <c r="R51" i="59"/>
  <c r="N51" i="59"/>
  <c r="L51" i="59"/>
  <c r="B51" i="59"/>
  <c r="Z50" i="59"/>
  <c r="X50" i="59"/>
  <c r="R50" i="59"/>
  <c r="N50" i="59"/>
  <c r="L50" i="59"/>
  <c r="J50" i="59"/>
  <c r="B50" i="59"/>
  <c r="Z49" i="59"/>
  <c r="X49" i="59"/>
  <c r="V49" i="59"/>
  <c r="T49" i="59"/>
  <c r="P49" i="59"/>
  <c r="L49" i="59"/>
  <c r="N49" i="59" s="1"/>
  <c r="H49" i="59"/>
  <c r="D49" i="59"/>
  <c r="B49" i="59"/>
  <c r="X48" i="59"/>
  <c r="Z48" i="59" s="1"/>
  <c r="L48" i="59"/>
  <c r="N48" i="59" s="1"/>
  <c r="J48" i="59"/>
  <c r="B48" i="59"/>
  <c r="V47" i="59"/>
  <c r="T47" i="59"/>
  <c r="Z47" i="59" s="1"/>
  <c r="R47" i="59"/>
  <c r="P47" i="59"/>
  <c r="X47" i="59" s="1"/>
  <c r="H47" i="59"/>
  <c r="D47" i="59"/>
  <c r="L47" i="59" s="1"/>
  <c r="B47" i="59"/>
  <c r="X46" i="59"/>
  <c r="Z46" i="59" s="1"/>
  <c r="R46" i="59"/>
  <c r="N46" i="59"/>
  <c r="L46" i="59"/>
  <c r="F46" i="59"/>
  <c r="B46" i="59"/>
  <c r="X45" i="59"/>
  <c r="Z45" i="59" s="1"/>
  <c r="T45" i="59"/>
  <c r="R45" i="59"/>
  <c r="P45" i="59"/>
  <c r="N45" i="59"/>
  <c r="H45" i="59"/>
  <c r="D45" i="59"/>
  <c r="L45" i="59" s="1"/>
  <c r="B45" i="59"/>
  <c r="Z44" i="59"/>
  <c r="X44" i="59"/>
  <c r="R44" i="59"/>
  <c r="L44" i="59"/>
  <c r="N44" i="59" s="1"/>
  <c r="B44" i="59"/>
  <c r="T43" i="59"/>
  <c r="P43" i="59"/>
  <c r="N43" i="59"/>
  <c r="L43" i="59"/>
  <c r="J43" i="59"/>
  <c r="H43" i="59"/>
  <c r="D43" i="59"/>
  <c r="B43" i="59"/>
  <c r="Z42" i="59"/>
  <c r="X42" i="59"/>
  <c r="L42" i="59"/>
  <c r="N42" i="59" s="1"/>
  <c r="B42" i="59"/>
  <c r="T41" i="59"/>
  <c r="P41" i="59"/>
  <c r="X41" i="59" s="1"/>
  <c r="J41" i="59"/>
  <c r="H41" i="59"/>
  <c r="N41" i="59" s="1"/>
  <c r="D41" i="59"/>
  <c r="L41" i="59" s="1"/>
  <c r="B41" i="59"/>
  <c r="Z40" i="59"/>
  <c r="X40" i="59"/>
  <c r="N40" i="59"/>
  <c r="L40" i="59"/>
  <c r="B40" i="59"/>
  <c r="Z39" i="59"/>
  <c r="X39" i="59"/>
  <c r="N39" i="59"/>
  <c r="L39" i="59"/>
  <c r="B39" i="59"/>
  <c r="X38" i="59"/>
  <c r="Z38" i="59" s="1"/>
  <c r="R38" i="59"/>
  <c r="N38" i="59"/>
  <c r="L38" i="59"/>
  <c r="B38" i="59"/>
  <c r="Z37" i="59"/>
  <c r="X37" i="59"/>
  <c r="N37" i="59"/>
  <c r="L37" i="59"/>
  <c r="B37" i="59"/>
  <c r="Z36" i="59"/>
  <c r="X36" i="59"/>
  <c r="N36" i="59"/>
  <c r="L36" i="59"/>
  <c r="B36" i="59"/>
  <c r="Z35" i="59"/>
  <c r="X35" i="59"/>
  <c r="N35" i="59"/>
  <c r="L35" i="59"/>
  <c r="B35" i="59"/>
  <c r="X34" i="59"/>
  <c r="Z34" i="59" s="1"/>
  <c r="R34" i="59"/>
  <c r="N34" i="59"/>
  <c r="L34" i="59"/>
  <c r="F34" i="59"/>
  <c r="B34" i="59"/>
  <c r="Z33" i="59"/>
  <c r="X33" i="59"/>
  <c r="N33" i="59"/>
  <c r="L33" i="59"/>
  <c r="J33" i="59"/>
  <c r="B33" i="59"/>
  <c r="X32" i="59"/>
  <c r="Z32" i="59" s="1"/>
  <c r="N32" i="59"/>
  <c r="L32" i="59"/>
  <c r="F32" i="59"/>
  <c r="B32" i="59"/>
  <c r="Z31" i="59"/>
  <c r="X31" i="59"/>
  <c r="N31" i="59"/>
  <c r="L31" i="59"/>
  <c r="B31" i="59"/>
  <c r="X30" i="59"/>
  <c r="T30" i="59"/>
  <c r="P30" i="59"/>
  <c r="L30" i="59"/>
  <c r="N30" i="59" s="1"/>
  <c r="J30" i="59"/>
  <c r="H30" i="59"/>
  <c r="D30" i="59"/>
  <c r="B30" i="59"/>
  <c r="Z29" i="59"/>
  <c r="X29" i="59"/>
  <c r="N29" i="59"/>
  <c r="L29" i="59"/>
  <c r="J29" i="59"/>
  <c r="F29" i="59"/>
  <c r="B29" i="59"/>
  <c r="Z28" i="59"/>
  <c r="X28" i="59"/>
  <c r="R28" i="59"/>
  <c r="L28" i="59"/>
  <c r="N28" i="59" s="1"/>
  <c r="B28" i="59"/>
  <c r="Z27" i="59"/>
  <c r="X27" i="59"/>
  <c r="R27" i="59"/>
  <c r="N27" i="59"/>
  <c r="L27" i="59"/>
  <c r="J27" i="59"/>
  <c r="F27" i="59"/>
  <c r="B27" i="59"/>
  <c r="Z26" i="59"/>
  <c r="X26" i="59"/>
  <c r="R26" i="59"/>
  <c r="N26" i="59"/>
  <c r="L26" i="59"/>
  <c r="J26" i="59"/>
  <c r="B26" i="59"/>
  <c r="Z25" i="59"/>
  <c r="X25" i="59"/>
  <c r="N25" i="59"/>
  <c r="L25" i="59"/>
  <c r="B25" i="59"/>
  <c r="Z24" i="59"/>
  <c r="X24" i="59"/>
  <c r="R24" i="59"/>
  <c r="N24" i="59"/>
  <c r="L24" i="59"/>
  <c r="B24" i="59"/>
  <c r="X23" i="59"/>
  <c r="Z23" i="59" s="1"/>
  <c r="R23" i="59"/>
  <c r="N23" i="59"/>
  <c r="L23" i="59"/>
  <c r="J23" i="59"/>
  <c r="B23" i="59"/>
  <c r="Z22" i="59"/>
  <c r="X22" i="59"/>
  <c r="R22" i="59"/>
  <c r="N22" i="59"/>
  <c r="L22" i="59"/>
  <c r="J22" i="59"/>
  <c r="B22" i="59"/>
  <c r="Z21" i="59"/>
  <c r="X21" i="59"/>
  <c r="L21" i="59"/>
  <c r="N21" i="59" s="1"/>
  <c r="J21" i="59"/>
  <c r="B21" i="59"/>
  <c r="Z20" i="59"/>
  <c r="X20" i="59"/>
  <c r="R20" i="59"/>
  <c r="N20" i="59"/>
  <c r="L20" i="59"/>
  <c r="B20" i="59"/>
  <c r="X19" i="59"/>
  <c r="T19" i="59"/>
  <c r="Z19" i="59" s="1"/>
  <c r="P19" i="59"/>
  <c r="L19" i="59"/>
  <c r="N19" i="59" s="1"/>
  <c r="J19" i="59"/>
  <c r="H19" i="59"/>
  <c r="D19" i="59"/>
  <c r="B19" i="59"/>
  <c r="T18" i="59"/>
  <c r="P18" i="59"/>
  <c r="X18" i="59" s="1"/>
  <c r="Z18" i="59" s="1"/>
  <c r="H18" i="59"/>
  <c r="D18" i="59"/>
  <c r="L18" i="59" s="1"/>
  <c r="N18" i="59" s="1"/>
  <c r="V16" i="59"/>
  <c r="Z14" i="59"/>
  <c r="T14" i="59"/>
  <c r="P14" i="59"/>
  <c r="X14" i="59" s="1"/>
  <c r="N14" i="59"/>
  <c r="H14" i="59"/>
  <c r="D14" i="59"/>
  <c r="L14" i="59" s="1"/>
  <c r="T12" i="59"/>
  <c r="P12" i="59"/>
  <c r="R43" i="59" s="1"/>
  <c r="H12" i="59"/>
  <c r="J66" i="59" s="1"/>
  <c r="D12" i="59"/>
  <c r="F55" i="59" s="1"/>
  <c r="D6" i="59"/>
  <c r="D4" i="59"/>
  <c r="V81" i="58"/>
  <c r="R81" i="58"/>
  <c r="V78" i="58"/>
  <c r="R78" i="58"/>
  <c r="J78" i="58"/>
  <c r="Z76" i="58"/>
  <c r="X76" i="58"/>
  <c r="V76" i="58"/>
  <c r="N76" i="58"/>
  <c r="L76" i="58"/>
  <c r="F76" i="58"/>
  <c r="J74" i="58"/>
  <c r="Z72" i="58"/>
  <c r="T72" i="58"/>
  <c r="P72" i="58"/>
  <c r="X72" i="58" s="1"/>
  <c r="N72" i="58"/>
  <c r="J72" i="58"/>
  <c r="H72" i="58"/>
  <c r="D72" i="58"/>
  <c r="L72" i="58" s="1"/>
  <c r="X70" i="58"/>
  <c r="Z70" i="58" s="1"/>
  <c r="L70" i="58"/>
  <c r="N70" i="58" s="1"/>
  <c r="J70" i="58"/>
  <c r="B70" i="58"/>
  <c r="V69" i="58"/>
  <c r="T69" i="58"/>
  <c r="R69" i="58"/>
  <c r="P69" i="58"/>
  <c r="J69" i="58"/>
  <c r="H69" i="58"/>
  <c r="D69" i="58"/>
  <c r="B69" i="58"/>
  <c r="X68" i="58"/>
  <c r="Z68" i="58" s="1"/>
  <c r="V68" i="58"/>
  <c r="R68" i="58"/>
  <c r="L68" i="58"/>
  <c r="N68" i="58" s="1"/>
  <c r="F68" i="58"/>
  <c r="B68" i="58"/>
  <c r="X67" i="58"/>
  <c r="Z67" i="58" s="1"/>
  <c r="T67" i="58"/>
  <c r="R67" i="58"/>
  <c r="P67" i="58"/>
  <c r="H67" i="58"/>
  <c r="F67" i="58"/>
  <c r="D67" i="58"/>
  <c r="L67" i="58" s="1"/>
  <c r="N67" i="58" s="1"/>
  <c r="B67" i="58"/>
  <c r="Z66" i="58"/>
  <c r="X66" i="58"/>
  <c r="R66" i="58"/>
  <c r="N66" i="58"/>
  <c r="L66" i="58"/>
  <c r="B66" i="58"/>
  <c r="Z65" i="58"/>
  <c r="X65" i="58"/>
  <c r="T65" i="58"/>
  <c r="P65" i="58"/>
  <c r="N65" i="58"/>
  <c r="L65" i="58"/>
  <c r="J65" i="58"/>
  <c r="H65" i="58"/>
  <c r="D65" i="58"/>
  <c r="B65" i="58"/>
  <c r="Z64" i="58"/>
  <c r="X64" i="58"/>
  <c r="V64" i="58"/>
  <c r="N64" i="58"/>
  <c r="L64" i="58"/>
  <c r="J64" i="58"/>
  <c r="F64" i="58"/>
  <c r="B64" i="58"/>
  <c r="X63" i="58"/>
  <c r="Z63" i="58" s="1"/>
  <c r="V63" i="58"/>
  <c r="R63" i="58"/>
  <c r="L63" i="58"/>
  <c r="N63" i="58" s="1"/>
  <c r="B63" i="58"/>
  <c r="Z62" i="58"/>
  <c r="X62" i="58"/>
  <c r="L62" i="58"/>
  <c r="N62" i="58" s="1"/>
  <c r="B62" i="58"/>
  <c r="V61" i="58"/>
  <c r="T61" i="58"/>
  <c r="R61" i="58"/>
  <c r="P61" i="58"/>
  <c r="X61" i="58" s="1"/>
  <c r="J61" i="58"/>
  <c r="H61" i="58"/>
  <c r="D61" i="58"/>
  <c r="B61" i="58"/>
  <c r="X60" i="58"/>
  <c r="Z60" i="58" s="1"/>
  <c r="V60" i="58"/>
  <c r="R60" i="58"/>
  <c r="L60" i="58"/>
  <c r="N60" i="58" s="1"/>
  <c r="F60" i="58"/>
  <c r="B60" i="58"/>
  <c r="X59" i="58"/>
  <c r="Z59" i="58" s="1"/>
  <c r="V59" i="58"/>
  <c r="T59" i="58"/>
  <c r="R59" i="58"/>
  <c r="P59" i="58"/>
  <c r="N59" i="58"/>
  <c r="H59" i="58"/>
  <c r="F59" i="58"/>
  <c r="D59" i="58"/>
  <c r="L59" i="58" s="1"/>
  <c r="B59" i="58"/>
  <c r="Z58" i="58"/>
  <c r="X58" i="58"/>
  <c r="R58" i="58"/>
  <c r="N58" i="58"/>
  <c r="L58" i="58"/>
  <c r="B58" i="58"/>
  <c r="Z57" i="58"/>
  <c r="X57" i="58"/>
  <c r="R57" i="58"/>
  <c r="N57" i="58"/>
  <c r="L57" i="58"/>
  <c r="J57" i="58"/>
  <c r="F57" i="58"/>
  <c r="B57" i="58"/>
  <c r="T56" i="58"/>
  <c r="Z56" i="58" s="1"/>
  <c r="R56" i="58"/>
  <c r="P56" i="58"/>
  <c r="N56" i="58"/>
  <c r="H56" i="58"/>
  <c r="F56" i="58"/>
  <c r="D56" i="58"/>
  <c r="B56" i="58"/>
  <c r="X55" i="58"/>
  <c r="Z55" i="58" s="1"/>
  <c r="V55" i="58"/>
  <c r="R55" i="58"/>
  <c r="L55" i="58"/>
  <c r="N55" i="58" s="1"/>
  <c r="B55" i="58"/>
  <c r="Z54" i="58"/>
  <c r="X54" i="58"/>
  <c r="L54" i="58"/>
  <c r="N54" i="58" s="1"/>
  <c r="B54" i="58"/>
  <c r="V53" i="58"/>
  <c r="T53" i="58"/>
  <c r="R53" i="58"/>
  <c r="P53" i="58"/>
  <c r="X53" i="58" s="1"/>
  <c r="J53" i="58"/>
  <c r="H53" i="58"/>
  <c r="D53" i="58"/>
  <c r="B53" i="58"/>
  <c r="X52" i="58"/>
  <c r="Z52" i="58" s="1"/>
  <c r="V52" i="58"/>
  <c r="R52" i="58"/>
  <c r="N52" i="58"/>
  <c r="L52" i="58"/>
  <c r="F52" i="58"/>
  <c r="B52" i="58"/>
  <c r="X51" i="58"/>
  <c r="Z51" i="58" s="1"/>
  <c r="V51" i="58"/>
  <c r="T51" i="58"/>
  <c r="R51" i="58"/>
  <c r="P51" i="58"/>
  <c r="H51" i="58"/>
  <c r="F51" i="58"/>
  <c r="D51" i="58"/>
  <c r="L51" i="58" s="1"/>
  <c r="N51" i="58" s="1"/>
  <c r="B51" i="58"/>
  <c r="Z50" i="58"/>
  <c r="X50" i="58"/>
  <c r="R50" i="58"/>
  <c r="N50" i="58"/>
  <c r="L50" i="58"/>
  <c r="B50" i="58"/>
  <c r="T49" i="58"/>
  <c r="R49" i="58"/>
  <c r="P49" i="58"/>
  <c r="N49" i="58"/>
  <c r="L49" i="58"/>
  <c r="H49" i="58"/>
  <c r="D49" i="58"/>
  <c r="B49" i="58"/>
  <c r="Z48" i="58"/>
  <c r="X48" i="58"/>
  <c r="V48" i="58"/>
  <c r="R48" i="58"/>
  <c r="N48" i="58"/>
  <c r="L48" i="58"/>
  <c r="F48" i="58"/>
  <c r="B48" i="58"/>
  <c r="V47" i="58"/>
  <c r="T47" i="58"/>
  <c r="Z47" i="58" s="1"/>
  <c r="P47" i="58"/>
  <c r="X47" i="58" s="1"/>
  <c r="J47" i="58"/>
  <c r="H47" i="58"/>
  <c r="N47" i="58" s="1"/>
  <c r="F47" i="58"/>
  <c r="D47" i="58"/>
  <c r="L47" i="58" s="1"/>
  <c r="B47" i="58"/>
  <c r="X46" i="58"/>
  <c r="Z46" i="58" s="1"/>
  <c r="V46" i="58"/>
  <c r="N46" i="58"/>
  <c r="L46" i="58"/>
  <c r="F46" i="58"/>
  <c r="B46" i="58"/>
  <c r="Z45" i="58"/>
  <c r="T45" i="58"/>
  <c r="R45" i="58"/>
  <c r="P45" i="58"/>
  <c r="X45" i="58" s="1"/>
  <c r="L45" i="58"/>
  <c r="N45" i="58" s="1"/>
  <c r="H45" i="58"/>
  <c r="F45" i="58"/>
  <c r="D45" i="58"/>
  <c r="B45" i="58"/>
  <c r="Z44" i="58"/>
  <c r="X44" i="58"/>
  <c r="V44" i="58"/>
  <c r="R44" i="58"/>
  <c r="N44" i="58"/>
  <c r="L44" i="58"/>
  <c r="J44" i="58"/>
  <c r="F44" i="58"/>
  <c r="B44" i="58"/>
  <c r="Z43" i="58"/>
  <c r="X43" i="58"/>
  <c r="V43" i="58"/>
  <c r="T43" i="58"/>
  <c r="P43" i="58"/>
  <c r="L43" i="58"/>
  <c r="N43" i="58" s="1"/>
  <c r="H43" i="58"/>
  <c r="F43" i="58"/>
  <c r="D43" i="58"/>
  <c r="B43" i="58"/>
  <c r="X42" i="58"/>
  <c r="Z42" i="58" s="1"/>
  <c r="L42" i="58"/>
  <c r="N42" i="58" s="1"/>
  <c r="B42" i="58"/>
  <c r="V41" i="58"/>
  <c r="T41" i="58"/>
  <c r="R41" i="58"/>
  <c r="P41" i="58"/>
  <c r="J41" i="58"/>
  <c r="H41" i="58"/>
  <c r="D41" i="58"/>
  <c r="L41" i="58" s="1"/>
  <c r="B41" i="58"/>
  <c r="Z40" i="58"/>
  <c r="X40" i="58"/>
  <c r="V40" i="58"/>
  <c r="R40" i="58"/>
  <c r="N40" i="58"/>
  <c r="L40" i="58"/>
  <c r="J40" i="58"/>
  <c r="F40" i="58"/>
  <c r="B40" i="58"/>
  <c r="Z39" i="58"/>
  <c r="X39" i="58"/>
  <c r="V39" i="58"/>
  <c r="N39" i="58"/>
  <c r="L39" i="58"/>
  <c r="J39" i="58"/>
  <c r="B39" i="58"/>
  <c r="Z38" i="58"/>
  <c r="X38" i="58"/>
  <c r="V38" i="58"/>
  <c r="N38" i="58"/>
  <c r="L38" i="58"/>
  <c r="F38" i="58"/>
  <c r="B38" i="58"/>
  <c r="Z37" i="58"/>
  <c r="X37" i="58"/>
  <c r="R37" i="58"/>
  <c r="N37" i="58"/>
  <c r="L37" i="58"/>
  <c r="F37" i="58"/>
  <c r="B37" i="58"/>
  <c r="Z36" i="58"/>
  <c r="X36" i="58"/>
  <c r="V36" i="58"/>
  <c r="R36" i="58"/>
  <c r="N36" i="58"/>
  <c r="L36" i="58"/>
  <c r="F36" i="58"/>
  <c r="B36" i="58"/>
  <c r="X35" i="58"/>
  <c r="Z35" i="58" s="1"/>
  <c r="V35" i="58"/>
  <c r="L35" i="58"/>
  <c r="N35" i="58" s="1"/>
  <c r="J35" i="58"/>
  <c r="B35" i="58"/>
  <c r="X34" i="58"/>
  <c r="Z34" i="58" s="1"/>
  <c r="V34" i="58"/>
  <c r="N34" i="58"/>
  <c r="L34" i="58"/>
  <c r="F34" i="58"/>
  <c r="B34" i="58"/>
  <c r="Z33" i="58"/>
  <c r="X33" i="58"/>
  <c r="R33" i="58"/>
  <c r="N33" i="58"/>
  <c r="L33" i="58"/>
  <c r="F33" i="58"/>
  <c r="B33" i="58"/>
  <c r="Z32" i="58"/>
  <c r="X32" i="58"/>
  <c r="V32" i="58"/>
  <c r="R32" i="58"/>
  <c r="N32" i="58"/>
  <c r="L32" i="58"/>
  <c r="J32" i="58"/>
  <c r="F32" i="58"/>
  <c r="B32" i="58"/>
  <c r="X31" i="58"/>
  <c r="Z31" i="58" s="1"/>
  <c r="V31" i="58"/>
  <c r="N31" i="58"/>
  <c r="L31" i="58"/>
  <c r="B31" i="58"/>
  <c r="Z30" i="58"/>
  <c r="X30" i="58"/>
  <c r="V30" i="58"/>
  <c r="T30" i="58"/>
  <c r="R30" i="58"/>
  <c r="P30" i="58"/>
  <c r="L30" i="58"/>
  <c r="J30" i="58"/>
  <c r="H30" i="58"/>
  <c r="D30" i="58"/>
  <c r="B30" i="58"/>
  <c r="X29" i="58"/>
  <c r="Z29" i="58" s="1"/>
  <c r="R29" i="58"/>
  <c r="N29" i="58"/>
  <c r="L29" i="58"/>
  <c r="J29" i="58"/>
  <c r="F29" i="58"/>
  <c r="B29" i="58"/>
  <c r="X28" i="58"/>
  <c r="Z28" i="58" s="1"/>
  <c r="V28" i="58"/>
  <c r="R28" i="58"/>
  <c r="N28" i="58"/>
  <c r="L28" i="58"/>
  <c r="J28" i="58"/>
  <c r="F28" i="58"/>
  <c r="B28" i="58"/>
  <c r="X27" i="58"/>
  <c r="Z27" i="58" s="1"/>
  <c r="V27" i="58"/>
  <c r="L27" i="58"/>
  <c r="N27" i="58" s="1"/>
  <c r="J27" i="58"/>
  <c r="F27" i="58"/>
  <c r="B27" i="58"/>
  <c r="Z26" i="58"/>
  <c r="X26" i="58"/>
  <c r="R26" i="58"/>
  <c r="N26" i="58"/>
  <c r="L26" i="58"/>
  <c r="B26" i="58"/>
  <c r="Z25" i="58"/>
  <c r="X25" i="58"/>
  <c r="R25" i="58"/>
  <c r="N25" i="58"/>
  <c r="L25" i="58"/>
  <c r="F25" i="58"/>
  <c r="B25" i="58"/>
  <c r="X24" i="58"/>
  <c r="Z24" i="58" s="1"/>
  <c r="V24" i="58"/>
  <c r="R24" i="58"/>
  <c r="N24" i="58"/>
  <c r="L24" i="58"/>
  <c r="J24" i="58"/>
  <c r="F24" i="58"/>
  <c r="B24" i="58"/>
  <c r="Z23" i="58"/>
  <c r="X23" i="58"/>
  <c r="V23" i="58"/>
  <c r="L23" i="58"/>
  <c r="N23" i="58" s="1"/>
  <c r="J23" i="58"/>
  <c r="F23" i="58"/>
  <c r="B23" i="58"/>
  <c r="Z22" i="58"/>
  <c r="X22" i="58"/>
  <c r="R22" i="58"/>
  <c r="N22" i="58"/>
  <c r="L22" i="58"/>
  <c r="B22" i="58"/>
  <c r="X21" i="58"/>
  <c r="Z21" i="58" s="1"/>
  <c r="R21" i="58"/>
  <c r="N21" i="58"/>
  <c r="L21" i="58"/>
  <c r="J21" i="58"/>
  <c r="F21" i="58"/>
  <c r="B21" i="58"/>
  <c r="X20" i="58"/>
  <c r="Z20" i="58" s="1"/>
  <c r="V20" i="58"/>
  <c r="R20" i="58"/>
  <c r="N20" i="58"/>
  <c r="L20" i="58"/>
  <c r="F20" i="58"/>
  <c r="B20" i="58"/>
  <c r="Z19" i="58"/>
  <c r="X19" i="58"/>
  <c r="V19" i="58"/>
  <c r="T19" i="58"/>
  <c r="P19" i="58"/>
  <c r="H19" i="58"/>
  <c r="L19" i="58" s="1"/>
  <c r="N19" i="58" s="1"/>
  <c r="F19" i="58"/>
  <c r="D19" i="58"/>
  <c r="B19" i="58"/>
  <c r="T18" i="58"/>
  <c r="R18" i="58"/>
  <c r="P18" i="58"/>
  <c r="X18" i="58" s="1"/>
  <c r="Z18" i="58" s="1"/>
  <c r="J18" i="58"/>
  <c r="H18" i="58"/>
  <c r="D18" i="58"/>
  <c r="L18" i="58" s="1"/>
  <c r="N18" i="58" s="1"/>
  <c r="R16" i="58"/>
  <c r="P16" i="58"/>
  <c r="X16" i="58" s="1"/>
  <c r="J16" i="58"/>
  <c r="D16" i="58"/>
  <c r="Z14" i="58"/>
  <c r="X14" i="58"/>
  <c r="T14" i="58"/>
  <c r="T16" i="58" s="1"/>
  <c r="T74" i="58" s="1"/>
  <c r="T78" i="58" s="1"/>
  <c r="R14" i="58"/>
  <c r="P14" i="58"/>
  <c r="H14" i="58"/>
  <c r="N14" i="58" s="1"/>
  <c r="F14" i="58"/>
  <c r="D14" i="58"/>
  <c r="Z12" i="58"/>
  <c r="X12" i="58"/>
  <c r="T12" i="58"/>
  <c r="V67" i="58" s="1"/>
  <c r="P12" i="58"/>
  <c r="R65" i="58" s="1"/>
  <c r="N12" i="58"/>
  <c r="L12" i="58"/>
  <c r="H12" i="58"/>
  <c r="J36" i="58" s="1"/>
  <c r="D12" i="58"/>
  <c r="F74" i="58" s="1"/>
  <c r="D6" i="58"/>
  <c r="D4" i="58"/>
  <c r="J78" i="57"/>
  <c r="Z73" i="57"/>
  <c r="X73" i="57"/>
  <c r="R73" i="57"/>
  <c r="N73" i="57"/>
  <c r="L73" i="57"/>
  <c r="F73" i="57"/>
  <c r="T69" i="57"/>
  <c r="Z69" i="57" s="1"/>
  <c r="P69" i="57"/>
  <c r="X69" i="57" s="1"/>
  <c r="N69" i="57"/>
  <c r="L69" i="57"/>
  <c r="H69" i="57"/>
  <c r="F69" i="57"/>
  <c r="D69" i="57"/>
  <c r="Z67" i="57"/>
  <c r="X67" i="57"/>
  <c r="L67" i="57"/>
  <c r="N67" i="57" s="1"/>
  <c r="F67" i="57"/>
  <c r="B67" i="57"/>
  <c r="T66" i="57"/>
  <c r="P66" i="57"/>
  <c r="H66" i="57"/>
  <c r="D66" i="57"/>
  <c r="B66" i="57"/>
  <c r="Z65" i="57"/>
  <c r="X65" i="57"/>
  <c r="L65" i="57"/>
  <c r="N65" i="57" s="1"/>
  <c r="B65" i="57"/>
  <c r="T64" i="57"/>
  <c r="P64" i="57"/>
  <c r="J64" i="57"/>
  <c r="H64" i="57"/>
  <c r="D64" i="57"/>
  <c r="L64" i="57" s="1"/>
  <c r="B64" i="57"/>
  <c r="X63" i="57"/>
  <c r="Z63" i="57" s="1"/>
  <c r="N63" i="57"/>
  <c r="L63" i="57"/>
  <c r="B63" i="57"/>
  <c r="T62" i="57"/>
  <c r="P62" i="57"/>
  <c r="X62" i="57" s="1"/>
  <c r="Z62" i="57" s="1"/>
  <c r="L62" i="57"/>
  <c r="N62" i="57" s="1"/>
  <c r="H62" i="57"/>
  <c r="D62" i="57"/>
  <c r="B62" i="57"/>
  <c r="Z61" i="57"/>
  <c r="X61" i="57"/>
  <c r="N61" i="57"/>
  <c r="L61" i="57"/>
  <c r="J61" i="57"/>
  <c r="B61" i="57"/>
  <c r="Z60" i="57"/>
  <c r="T60" i="57"/>
  <c r="P60" i="57"/>
  <c r="X60" i="57" s="1"/>
  <c r="H60" i="57"/>
  <c r="D60" i="57"/>
  <c r="B60" i="57"/>
  <c r="X59" i="57"/>
  <c r="Z59" i="57" s="1"/>
  <c r="L59" i="57"/>
  <c r="N59" i="57" s="1"/>
  <c r="F59" i="57"/>
  <c r="B59" i="57"/>
  <c r="T58" i="57"/>
  <c r="P58" i="57"/>
  <c r="X58" i="57" s="1"/>
  <c r="N58" i="57"/>
  <c r="J58" i="57"/>
  <c r="H58" i="57"/>
  <c r="D58" i="57"/>
  <c r="L58" i="57" s="1"/>
  <c r="B58" i="57"/>
  <c r="Z57" i="57"/>
  <c r="X57" i="57"/>
  <c r="N57" i="57"/>
  <c r="L57" i="57"/>
  <c r="F57" i="57"/>
  <c r="B57" i="57"/>
  <c r="T56" i="57"/>
  <c r="X56" i="57" s="1"/>
  <c r="Z56" i="57" s="1"/>
  <c r="P56" i="57"/>
  <c r="J56" i="57"/>
  <c r="H56" i="57"/>
  <c r="F56" i="57"/>
  <c r="D56" i="57"/>
  <c r="L56" i="57" s="1"/>
  <c r="N56" i="57" s="1"/>
  <c r="B56" i="57"/>
  <c r="Z55" i="57"/>
  <c r="X55" i="57"/>
  <c r="N55" i="57"/>
  <c r="L55" i="57"/>
  <c r="J55" i="57"/>
  <c r="F55" i="57"/>
  <c r="B55" i="57"/>
  <c r="Z54" i="57"/>
  <c r="X54" i="57"/>
  <c r="R54" i="57"/>
  <c r="N54" i="57"/>
  <c r="L54" i="57"/>
  <c r="B54" i="57"/>
  <c r="Z53" i="57"/>
  <c r="X53" i="57"/>
  <c r="N53" i="57"/>
  <c r="L53" i="57"/>
  <c r="J53" i="57"/>
  <c r="F53" i="57"/>
  <c r="B53" i="57"/>
  <c r="T52" i="57"/>
  <c r="Z52" i="57" s="1"/>
  <c r="P52" i="57"/>
  <c r="X52" i="57" s="1"/>
  <c r="N52" i="57"/>
  <c r="J52" i="57"/>
  <c r="H52" i="57"/>
  <c r="L52" i="57" s="1"/>
  <c r="F52" i="57"/>
  <c r="D52" i="57"/>
  <c r="B52" i="57"/>
  <c r="X51" i="57"/>
  <c r="Z51" i="57" s="1"/>
  <c r="L51" i="57"/>
  <c r="N51" i="57" s="1"/>
  <c r="J51" i="57"/>
  <c r="F51" i="57"/>
  <c r="B51" i="57"/>
  <c r="T50" i="57"/>
  <c r="R50" i="57"/>
  <c r="P50" i="57"/>
  <c r="X50" i="57" s="1"/>
  <c r="Z50" i="57" s="1"/>
  <c r="J50" i="57"/>
  <c r="H50" i="57"/>
  <c r="F50" i="57"/>
  <c r="D50" i="57"/>
  <c r="L50" i="57" s="1"/>
  <c r="N50" i="57" s="1"/>
  <c r="B50" i="57"/>
  <c r="X49" i="57"/>
  <c r="Z49" i="57" s="1"/>
  <c r="R49" i="57"/>
  <c r="N49" i="57"/>
  <c r="L49" i="57"/>
  <c r="J49" i="57"/>
  <c r="F49" i="57"/>
  <c r="B49" i="57"/>
  <c r="Z48" i="57"/>
  <c r="X48" i="57"/>
  <c r="T48" i="57"/>
  <c r="P48" i="57"/>
  <c r="N48" i="57"/>
  <c r="L48" i="57"/>
  <c r="J48" i="57"/>
  <c r="H48" i="57"/>
  <c r="F48" i="57"/>
  <c r="D48" i="57"/>
  <c r="B48" i="57"/>
  <c r="X47" i="57"/>
  <c r="Z47" i="57" s="1"/>
  <c r="L47" i="57"/>
  <c r="N47" i="57" s="1"/>
  <c r="J47" i="57"/>
  <c r="F47" i="57"/>
  <c r="B47" i="57"/>
  <c r="T46" i="57"/>
  <c r="X46" i="57" s="1"/>
  <c r="Z46" i="57" s="1"/>
  <c r="R46" i="57"/>
  <c r="P46" i="57"/>
  <c r="J46" i="57"/>
  <c r="H46" i="57"/>
  <c r="F46" i="57"/>
  <c r="D46" i="57"/>
  <c r="L46" i="57" s="1"/>
  <c r="B46" i="57"/>
  <c r="X45" i="57"/>
  <c r="Z45" i="57" s="1"/>
  <c r="R45" i="57"/>
  <c r="L45" i="57"/>
  <c r="N45" i="57" s="1"/>
  <c r="F45" i="57"/>
  <c r="B45" i="57"/>
  <c r="T44" i="57"/>
  <c r="Z44" i="57" s="1"/>
  <c r="R44" i="57"/>
  <c r="P44" i="57"/>
  <c r="X44" i="57" s="1"/>
  <c r="H44" i="57"/>
  <c r="F44" i="57"/>
  <c r="D44" i="57"/>
  <c r="L44" i="57" s="1"/>
  <c r="N44" i="57" s="1"/>
  <c r="B44" i="57"/>
  <c r="X43" i="57"/>
  <c r="Z43" i="57" s="1"/>
  <c r="R43" i="57"/>
  <c r="L43" i="57"/>
  <c r="N43" i="57" s="1"/>
  <c r="B43" i="57"/>
  <c r="Z42" i="57"/>
  <c r="X42" i="57"/>
  <c r="T42" i="57"/>
  <c r="P42" i="57"/>
  <c r="N42" i="57"/>
  <c r="L42" i="57"/>
  <c r="J42" i="57"/>
  <c r="H42" i="57"/>
  <c r="D42" i="57"/>
  <c r="B42" i="57"/>
  <c r="Z41" i="57"/>
  <c r="X41" i="57"/>
  <c r="L41" i="57"/>
  <c r="N41" i="57" s="1"/>
  <c r="J41" i="57"/>
  <c r="F41" i="57"/>
  <c r="B41" i="57"/>
  <c r="T40" i="57"/>
  <c r="P40" i="57"/>
  <c r="X40" i="57" s="1"/>
  <c r="J40" i="57"/>
  <c r="H40" i="57"/>
  <c r="L40" i="57" s="1"/>
  <c r="N40" i="57" s="1"/>
  <c r="F40" i="57"/>
  <c r="D40" i="57"/>
  <c r="B40" i="57"/>
  <c r="Z39" i="57"/>
  <c r="X39" i="57"/>
  <c r="N39" i="57"/>
  <c r="L39" i="57"/>
  <c r="J39" i="57"/>
  <c r="F39" i="57"/>
  <c r="B39" i="57"/>
  <c r="Z38" i="57"/>
  <c r="X38" i="57"/>
  <c r="N38" i="57"/>
  <c r="L38" i="57"/>
  <c r="J38" i="57"/>
  <c r="F38" i="57"/>
  <c r="B38" i="57"/>
  <c r="Z37" i="57"/>
  <c r="X37" i="57"/>
  <c r="R37" i="57"/>
  <c r="N37" i="57"/>
  <c r="L37" i="57"/>
  <c r="F37" i="57"/>
  <c r="B37" i="57"/>
  <c r="X36" i="57"/>
  <c r="Z36" i="57" s="1"/>
  <c r="N36" i="57"/>
  <c r="L36" i="57"/>
  <c r="J36" i="57"/>
  <c r="B36" i="57"/>
  <c r="Z35" i="57"/>
  <c r="X35" i="57"/>
  <c r="N35" i="57"/>
  <c r="L35" i="57"/>
  <c r="J35" i="57"/>
  <c r="F35" i="57"/>
  <c r="B35" i="57"/>
  <c r="Z34" i="57"/>
  <c r="X34" i="57"/>
  <c r="N34" i="57"/>
  <c r="L34" i="57"/>
  <c r="J34" i="57"/>
  <c r="F34" i="57"/>
  <c r="B34" i="57"/>
  <c r="X33" i="57"/>
  <c r="Z33" i="57" s="1"/>
  <c r="R33" i="57"/>
  <c r="L33" i="57"/>
  <c r="N33" i="57" s="1"/>
  <c r="F33" i="57"/>
  <c r="B33" i="57"/>
  <c r="Z32" i="57"/>
  <c r="X32" i="57"/>
  <c r="N32" i="57"/>
  <c r="L32" i="57"/>
  <c r="J32" i="57"/>
  <c r="B32" i="57"/>
  <c r="X31" i="57"/>
  <c r="Z31" i="57" s="1"/>
  <c r="L31" i="57"/>
  <c r="N31" i="57" s="1"/>
  <c r="J31" i="57"/>
  <c r="F31" i="57"/>
  <c r="B31" i="57"/>
  <c r="Z30" i="57"/>
  <c r="X30" i="57"/>
  <c r="N30" i="57"/>
  <c r="L30" i="57"/>
  <c r="J30" i="57"/>
  <c r="F30" i="57"/>
  <c r="B30" i="57"/>
  <c r="X29" i="57"/>
  <c r="T29" i="57"/>
  <c r="Z29" i="57" s="1"/>
  <c r="P29" i="57"/>
  <c r="L29" i="57"/>
  <c r="J29" i="57"/>
  <c r="H29" i="57"/>
  <c r="N29" i="57" s="1"/>
  <c r="F29" i="57"/>
  <c r="D29" i="57"/>
  <c r="B29" i="57"/>
  <c r="Z28" i="57"/>
  <c r="X28" i="57"/>
  <c r="N28" i="57"/>
  <c r="L28" i="57"/>
  <c r="J28" i="57"/>
  <c r="F28" i="57"/>
  <c r="B28" i="57"/>
  <c r="X27" i="57"/>
  <c r="Z27" i="57" s="1"/>
  <c r="R27" i="57"/>
  <c r="L27" i="57"/>
  <c r="N27" i="57" s="1"/>
  <c r="B27" i="57"/>
  <c r="Z26" i="57"/>
  <c r="X26" i="57"/>
  <c r="N26" i="57"/>
  <c r="L26" i="57"/>
  <c r="J26" i="57"/>
  <c r="F26" i="57"/>
  <c r="B26" i="57"/>
  <c r="Z25" i="57"/>
  <c r="X25" i="57"/>
  <c r="R25" i="57"/>
  <c r="N25" i="57"/>
  <c r="L25" i="57"/>
  <c r="J25" i="57"/>
  <c r="F25" i="57"/>
  <c r="B25" i="57"/>
  <c r="Z24" i="57"/>
  <c r="X24" i="57"/>
  <c r="N24" i="57"/>
  <c r="L24" i="57"/>
  <c r="J24" i="57"/>
  <c r="F24" i="57"/>
  <c r="B24" i="57"/>
  <c r="X23" i="57"/>
  <c r="Z23" i="57" s="1"/>
  <c r="R23" i="57"/>
  <c r="L23" i="57"/>
  <c r="N23" i="57" s="1"/>
  <c r="B23" i="57"/>
  <c r="Z22" i="57"/>
  <c r="X22" i="57"/>
  <c r="N22" i="57"/>
  <c r="L22" i="57"/>
  <c r="J22" i="57"/>
  <c r="F22" i="57"/>
  <c r="B22" i="57"/>
  <c r="X21" i="57"/>
  <c r="Z21" i="57" s="1"/>
  <c r="R21" i="57"/>
  <c r="N21" i="57"/>
  <c r="L21" i="57"/>
  <c r="J21" i="57"/>
  <c r="F21" i="57"/>
  <c r="B21" i="57"/>
  <c r="Z20" i="57"/>
  <c r="X20" i="57"/>
  <c r="N20" i="57"/>
  <c r="L20" i="57"/>
  <c r="J20" i="57"/>
  <c r="F20" i="57"/>
  <c r="B20" i="57"/>
  <c r="T19" i="57"/>
  <c r="P19" i="57"/>
  <c r="H19" i="57"/>
  <c r="F19" i="57"/>
  <c r="D19" i="57"/>
  <c r="L19" i="57" s="1"/>
  <c r="B19" i="57"/>
  <c r="T18" i="57"/>
  <c r="X18" i="57" s="1"/>
  <c r="Z18" i="57" s="1"/>
  <c r="R18" i="57"/>
  <c r="P18" i="57"/>
  <c r="J18" i="57"/>
  <c r="H18" i="57"/>
  <c r="N18" i="57" s="1"/>
  <c r="F18" i="57"/>
  <c r="D18" i="57"/>
  <c r="L18" i="57" s="1"/>
  <c r="R16" i="57"/>
  <c r="J16" i="57"/>
  <c r="F16" i="57"/>
  <c r="Z14" i="57"/>
  <c r="T14" i="57"/>
  <c r="X14" i="57" s="1"/>
  <c r="R14" i="57"/>
  <c r="P14" i="57"/>
  <c r="J14" i="57"/>
  <c r="H14" i="57"/>
  <c r="N14" i="57" s="1"/>
  <c r="F14" i="57"/>
  <c r="D14" i="57"/>
  <c r="L14" i="57" s="1"/>
  <c r="T12" i="57"/>
  <c r="P12" i="57"/>
  <c r="N12" i="57"/>
  <c r="L12" i="57"/>
  <c r="H12" i="57"/>
  <c r="J73" i="57" s="1"/>
  <c r="D12" i="57"/>
  <c r="F64" i="57" s="1"/>
  <c r="D6" i="57"/>
  <c r="D4" i="57"/>
  <c r="F78" i="56"/>
  <c r="F75" i="56"/>
  <c r="Z73" i="56"/>
  <c r="X73" i="56"/>
  <c r="N73" i="56"/>
  <c r="L73" i="56"/>
  <c r="J73" i="56"/>
  <c r="J71" i="56"/>
  <c r="F71" i="56"/>
  <c r="T69" i="56"/>
  <c r="Z69" i="56" s="1"/>
  <c r="P69" i="56"/>
  <c r="X69" i="56" s="1"/>
  <c r="N69" i="56"/>
  <c r="J69" i="56"/>
  <c r="H69" i="56"/>
  <c r="L69" i="56" s="1"/>
  <c r="F69" i="56"/>
  <c r="D69" i="56"/>
  <c r="X67" i="56"/>
  <c r="Z67" i="56" s="1"/>
  <c r="L67" i="56"/>
  <c r="N67" i="56" s="1"/>
  <c r="J67" i="56"/>
  <c r="B67" i="56"/>
  <c r="X66" i="56"/>
  <c r="Z66" i="56" s="1"/>
  <c r="T66" i="56"/>
  <c r="P66" i="56"/>
  <c r="J66" i="56"/>
  <c r="H66" i="56"/>
  <c r="D66" i="56"/>
  <c r="L66" i="56" s="1"/>
  <c r="N66" i="56" s="1"/>
  <c r="B66" i="56"/>
  <c r="Z65" i="56"/>
  <c r="X65" i="56"/>
  <c r="N65" i="56"/>
  <c r="L65" i="56"/>
  <c r="F65" i="56"/>
  <c r="B65" i="56"/>
  <c r="X64" i="56"/>
  <c r="T64" i="56"/>
  <c r="P64" i="56"/>
  <c r="L64" i="56"/>
  <c r="J64" i="56"/>
  <c r="H64" i="56"/>
  <c r="N64" i="56" s="1"/>
  <c r="F64" i="56"/>
  <c r="D64" i="56"/>
  <c r="B64" i="56"/>
  <c r="Z63" i="56"/>
  <c r="X63" i="56"/>
  <c r="V63" i="56"/>
  <c r="N63" i="56"/>
  <c r="L63" i="56"/>
  <c r="J63" i="56"/>
  <c r="F63" i="56"/>
  <c r="B63" i="56"/>
  <c r="Z62" i="56"/>
  <c r="X62" i="56"/>
  <c r="R62" i="56"/>
  <c r="N62" i="56"/>
  <c r="L62" i="56"/>
  <c r="B62" i="56"/>
  <c r="Z61" i="56"/>
  <c r="X61" i="56"/>
  <c r="N61" i="56"/>
  <c r="L61" i="56"/>
  <c r="J61" i="56"/>
  <c r="F61" i="56"/>
  <c r="B61" i="56"/>
  <c r="T60" i="56"/>
  <c r="P60" i="56"/>
  <c r="X60" i="56" s="1"/>
  <c r="J60" i="56"/>
  <c r="H60" i="56"/>
  <c r="F60" i="56"/>
  <c r="D60" i="56"/>
  <c r="B60" i="56"/>
  <c r="Z59" i="56"/>
  <c r="X59" i="56"/>
  <c r="V59" i="56"/>
  <c r="N59" i="56"/>
  <c r="L59" i="56"/>
  <c r="J59" i="56"/>
  <c r="F59" i="56"/>
  <c r="B59" i="56"/>
  <c r="Z58" i="56"/>
  <c r="X58" i="56"/>
  <c r="T58" i="56"/>
  <c r="P58" i="56"/>
  <c r="J58" i="56"/>
  <c r="H58" i="56"/>
  <c r="N58" i="56" s="1"/>
  <c r="F58" i="56"/>
  <c r="D58" i="56"/>
  <c r="L58" i="56" s="1"/>
  <c r="B58" i="56"/>
  <c r="Z57" i="56"/>
  <c r="X57" i="56"/>
  <c r="N57" i="56"/>
  <c r="L57" i="56"/>
  <c r="J57" i="56"/>
  <c r="F57" i="56"/>
  <c r="B57" i="56"/>
  <c r="X56" i="56"/>
  <c r="Z56" i="56" s="1"/>
  <c r="N56" i="56"/>
  <c r="L56" i="56"/>
  <c r="F56" i="56"/>
  <c r="B56" i="56"/>
  <c r="T55" i="56"/>
  <c r="Z55" i="56" s="1"/>
  <c r="R55" i="56"/>
  <c r="P55" i="56"/>
  <c r="X55" i="56" s="1"/>
  <c r="N55" i="56"/>
  <c r="H55" i="56"/>
  <c r="F55" i="56"/>
  <c r="D55" i="56"/>
  <c r="L55" i="56" s="1"/>
  <c r="B55" i="56"/>
  <c r="X54" i="56"/>
  <c r="Z54" i="56" s="1"/>
  <c r="L54" i="56"/>
  <c r="N54" i="56" s="1"/>
  <c r="B54" i="56"/>
  <c r="Z53" i="56"/>
  <c r="X53" i="56"/>
  <c r="N53" i="56"/>
  <c r="L53" i="56"/>
  <c r="J53" i="56"/>
  <c r="F53" i="56"/>
  <c r="B53" i="56"/>
  <c r="T52" i="56"/>
  <c r="P52" i="56"/>
  <c r="X52" i="56" s="1"/>
  <c r="J52" i="56"/>
  <c r="H52" i="56"/>
  <c r="F52" i="56"/>
  <c r="D52" i="56"/>
  <c r="L52" i="56" s="1"/>
  <c r="B52" i="56"/>
  <c r="X51" i="56"/>
  <c r="Z51" i="56" s="1"/>
  <c r="V51" i="56"/>
  <c r="L51" i="56"/>
  <c r="N51" i="56" s="1"/>
  <c r="J51" i="56"/>
  <c r="F51" i="56"/>
  <c r="B51" i="56"/>
  <c r="X50" i="56"/>
  <c r="Z50" i="56" s="1"/>
  <c r="T50" i="56"/>
  <c r="P50" i="56"/>
  <c r="J50" i="56"/>
  <c r="H50" i="56"/>
  <c r="F50" i="56"/>
  <c r="D50" i="56"/>
  <c r="L50" i="56" s="1"/>
  <c r="B50" i="56"/>
  <c r="Z49" i="56"/>
  <c r="X49" i="56"/>
  <c r="N49" i="56"/>
  <c r="L49" i="56"/>
  <c r="J49" i="56"/>
  <c r="F49" i="56"/>
  <c r="B49" i="56"/>
  <c r="T48" i="56"/>
  <c r="P48" i="56"/>
  <c r="L48" i="56"/>
  <c r="J48" i="56"/>
  <c r="H48" i="56"/>
  <c r="N48" i="56" s="1"/>
  <c r="F48" i="56"/>
  <c r="D48" i="56"/>
  <c r="B48" i="56"/>
  <c r="Z47" i="56"/>
  <c r="X47" i="56"/>
  <c r="V47" i="56"/>
  <c r="L47" i="56"/>
  <c r="N47" i="56" s="1"/>
  <c r="J47" i="56"/>
  <c r="F47" i="56"/>
  <c r="B47" i="56"/>
  <c r="T46" i="56"/>
  <c r="P46" i="56"/>
  <c r="H46" i="56"/>
  <c r="N46" i="56" s="1"/>
  <c r="F46" i="56"/>
  <c r="D46" i="56"/>
  <c r="L46" i="56" s="1"/>
  <c r="B46" i="56"/>
  <c r="Z45" i="56"/>
  <c r="X45" i="56"/>
  <c r="V45" i="56"/>
  <c r="N45" i="56"/>
  <c r="L45" i="56"/>
  <c r="B45" i="56"/>
  <c r="T44" i="56"/>
  <c r="Z44" i="56" s="1"/>
  <c r="P44" i="56"/>
  <c r="X44" i="56" s="1"/>
  <c r="L44" i="56"/>
  <c r="N44" i="56" s="1"/>
  <c r="H44" i="56"/>
  <c r="D44" i="56"/>
  <c r="B44" i="56"/>
  <c r="X43" i="56"/>
  <c r="Z43" i="56" s="1"/>
  <c r="V43" i="56"/>
  <c r="N43" i="56"/>
  <c r="L43" i="56"/>
  <c r="J43" i="56"/>
  <c r="B43" i="56"/>
  <c r="X42" i="56"/>
  <c r="T42" i="56"/>
  <c r="Z42" i="56" s="1"/>
  <c r="P42" i="56"/>
  <c r="J42" i="56"/>
  <c r="H42" i="56"/>
  <c r="D42" i="56"/>
  <c r="B42" i="56"/>
  <c r="Z41" i="56"/>
  <c r="X41" i="56"/>
  <c r="N41" i="56"/>
  <c r="L41" i="56"/>
  <c r="J41" i="56"/>
  <c r="F41" i="56"/>
  <c r="B41" i="56"/>
  <c r="T40" i="56"/>
  <c r="Z40" i="56" s="1"/>
  <c r="P40" i="56"/>
  <c r="X40" i="56" s="1"/>
  <c r="J40" i="56"/>
  <c r="H40" i="56"/>
  <c r="F40" i="56"/>
  <c r="D40" i="56"/>
  <c r="B40" i="56"/>
  <c r="Z39" i="56"/>
  <c r="X39" i="56"/>
  <c r="V39" i="56"/>
  <c r="N39" i="56"/>
  <c r="L39" i="56"/>
  <c r="J39" i="56"/>
  <c r="F39" i="56"/>
  <c r="B39" i="56"/>
  <c r="Z38" i="56"/>
  <c r="X38" i="56"/>
  <c r="N38" i="56"/>
  <c r="L38" i="56"/>
  <c r="J38" i="56"/>
  <c r="F38" i="56"/>
  <c r="B38" i="56"/>
  <c r="Z37" i="56"/>
  <c r="X37" i="56"/>
  <c r="V37" i="56"/>
  <c r="N37" i="56"/>
  <c r="L37" i="56"/>
  <c r="B37" i="56"/>
  <c r="Z36" i="56"/>
  <c r="X36" i="56"/>
  <c r="N36" i="56"/>
  <c r="L36" i="56"/>
  <c r="J36" i="56"/>
  <c r="F36" i="56"/>
  <c r="B36" i="56"/>
  <c r="Z35" i="56"/>
  <c r="X35" i="56"/>
  <c r="V35" i="56"/>
  <c r="N35" i="56"/>
  <c r="L35" i="56"/>
  <c r="J35" i="56"/>
  <c r="F35" i="56"/>
  <c r="B35" i="56"/>
  <c r="Z34" i="56"/>
  <c r="X34" i="56"/>
  <c r="N34" i="56"/>
  <c r="L34" i="56"/>
  <c r="J34" i="56"/>
  <c r="F34" i="56"/>
  <c r="B34" i="56"/>
  <c r="Z33" i="56"/>
  <c r="X33" i="56"/>
  <c r="V33" i="56"/>
  <c r="N33" i="56"/>
  <c r="L33" i="56"/>
  <c r="B33" i="56"/>
  <c r="Z32" i="56"/>
  <c r="X32" i="56"/>
  <c r="N32" i="56"/>
  <c r="L32" i="56"/>
  <c r="J32" i="56"/>
  <c r="F32" i="56"/>
  <c r="B32" i="56"/>
  <c r="X31" i="56"/>
  <c r="Z31" i="56" s="1"/>
  <c r="V31" i="56"/>
  <c r="L31" i="56"/>
  <c r="N31" i="56" s="1"/>
  <c r="J31" i="56"/>
  <c r="F31" i="56"/>
  <c r="B31" i="56"/>
  <c r="X30" i="56"/>
  <c r="Z30" i="56" s="1"/>
  <c r="L30" i="56"/>
  <c r="N30" i="56" s="1"/>
  <c r="J30" i="56"/>
  <c r="F30" i="56"/>
  <c r="B30" i="56"/>
  <c r="V29" i="56"/>
  <c r="T29" i="56"/>
  <c r="X29" i="56" s="1"/>
  <c r="Z29" i="56" s="1"/>
  <c r="P29" i="56"/>
  <c r="J29" i="56"/>
  <c r="H29" i="56"/>
  <c r="F29" i="56"/>
  <c r="D29" i="56"/>
  <c r="L29" i="56" s="1"/>
  <c r="B29" i="56"/>
  <c r="Z28" i="56"/>
  <c r="X28" i="56"/>
  <c r="N28" i="56"/>
  <c r="L28" i="56"/>
  <c r="F28" i="56"/>
  <c r="B28" i="56"/>
  <c r="X27" i="56"/>
  <c r="Z27" i="56" s="1"/>
  <c r="V27" i="56"/>
  <c r="N27" i="56"/>
  <c r="L27" i="56"/>
  <c r="J27" i="56"/>
  <c r="B27" i="56"/>
  <c r="X26" i="56"/>
  <c r="Z26" i="56" s="1"/>
  <c r="V26" i="56"/>
  <c r="L26" i="56"/>
  <c r="N26" i="56" s="1"/>
  <c r="J26" i="56"/>
  <c r="F26" i="56"/>
  <c r="B26" i="56"/>
  <c r="Z25" i="56"/>
  <c r="X25" i="56"/>
  <c r="N25" i="56"/>
  <c r="L25" i="56"/>
  <c r="J25" i="56"/>
  <c r="F25" i="56"/>
  <c r="B25" i="56"/>
  <c r="X24" i="56"/>
  <c r="Z24" i="56" s="1"/>
  <c r="V24" i="56"/>
  <c r="N24" i="56"/>
  <c r="L24" i="56"/>
  <c r="F24" i="56"/>
  <c r="B24" i="56"/>
  <c r="X23" i="56"/>
  <c r="Z23" i="56" s="1"/>
  <c r="V23" i="56"/>
  <c r="N23" i="56"/>
  <c r="L23" i="56"/>
  <c r="J23" i="56"/>
  <c r="B23" i="56"/>
  <c r="X22" i="56"/>
  <c r="Z22" i="56" s="1"/>
  <c r="V22" i="56"/>
  <c r="L22" i="56"/>
  <c r="N22" i="56" s="1"/>
  <c r="J22" i="56"/>
  <c r="F22" i="56"/>
  <c r="B22" i="56"/>
  <c r="Z21" i="56"/>
  <c r="X21" i="56"/>
  <c r="N21" i="56"/>
  <c r="L21" i="56"/>
  <c r="J21" i="56"/>
  <c r="F21" i="56"/>
  <c r="B21" i="56"/>
  <c r="X20" i="56"/>
  <c r="Z20" i="56" s="1"/>
  <c r="V20" i="56"/>
  <c r="N20" i="56"/>
  <c r="L20" i="56"/>
  <c r="F20" i="56"/>
  <c r="B20" i="56"/>
  <c r="V19" i="56"/>
  <c r="T19" i="56"/>
  <c r="Z19" i="56" s="1"/>
  <c r="P19" i="56"/>
  <c r="X19" i="56" s="1"/>
  <c r="N19" i="56"/>
  <c r="H19" i="56"/>
  <c r="F19" i="56"/>
  <c r="D19" i="56"/>
  <c r="L19" i="56" s="1"/>
  <c r="B19" i="56"/>
  <c r="T18" i="56"/>
  <c r="P18" i="56"/>
  <c r="X18" i="56" s="1"/>
  <c r="H18" i="56"/>
  <c r="N18" i="56" s="1"/>
  <c r="F18" i="56"/>
  <c r="D18" i="56"/>
  <c r="L18" i="56" s="1"/>
  <c r="H16" i="56"/>
  <c r="F16" i="56"/>
  <c r="T14" i="56"/>
  <c r="Z14" i="56" s="1"/>
  <c r="P14" i="56"/>
  <c r="H14" i="56"/>
  <c r="N14" i="56" s="1"/>
  <c r="F14" i="56"/>
  <c r="D14" i="56"/>
  <c r="Z12" i="56"/>
  <c r="T12" i="56"/>
  <c r="V66" i="56" s="1"/>
  <c r="P12" i="56"/>
  <c r="R19" i="56" s="1"/>
  <c r="N12" i="56"/>
  <c r="L12" i="56"/>
  <c r="H12" i="56"/>
  <c r="J62" i="56" s="1"/>
  <c r="D12" i="56"/>
  <c r="F73" i="56" s="1"/>
  <c r="D6" i="56"/>
  <c r="D4" i="56"/>
  <c r="Z33" i="55"/>
  <c r="X33" i="55"/>
  <c r="N33" i="55"/>
  <c r="L33" i="55"/>
  <c r="F33" i="55"/>
  <c r="F31" i="55"/>
  <c r="T29" i="55"/>
  <c r="Z29" i="55" s="1"/>
  <c r="P29" i="55"/>
  <c r="H29" i="55"/>
  <c r="N29" i="55" s="1"/>
  <c r="F29" i="55"/>
  <c r="D29" i="55"/>
  <c r="Z27" i="55"/>
  <c r="X27" i="55"/>
  <c r="R27" i="55"/>
  <c r="N27" i="55"/>
  <c r="L27" i="55"/>
  <c r="F27" i="55"/>
  <c r="B27" i="55"/>
  <c r="Z26" i="55"/>
  <c r="X26" i="55"/>
  <c r="L26" i="55"/>
  <c r="N26" i="55" s="1"/>
  <c r="J26" i="55"/>
  <c r="F26" i="55"/>
  <c r="B26" i="55"/>
  <c r="T25" i="55"/>
  <c r="P25" i="55"/>
  <c r="X25" i="55" s="1"/>
  <c r="H25" i="55"/>
  <c r="F25" i="55"/>
  <c r="D25" i="55"/>
  <c r="L25" i="55" s="1"/>
  <c r="B25" i="55"/>
  <c r="Z24" i="55"/>
  <c r="X24" i="55"/>
  <c r="N24" i="55"/>
  <c r="L24" i="55"/>
  <c r="B24" i="55"/>
  <c r="T23" i="55"/>
  <c r="P23" i="55"/>
  <c r="X23" i="55" s="1"/>
  <c r="H23" i="55"/>
  <c r="D23" i="55"/>
  <c r="L23" i="55" s="1"/>
  <c r="N23" i="55" s="1"/>
  <c r="B23" i="55"/>
  <c r="Z22" i="55"/>
  <c r="X22" i="55"/>
  <c r="N22" i="55"/>
  <c r="L22" i="55"/>
  <c r="J22" i="55"/>
  <c r="B22" i="55"/>
  <c r="X21" i="55"/>
  <c r="T21" i="55"/>
  <c r="Z21" i="55" s="1"/>
  <c r="P21" i="55"/>
  <c r="L21" i="55"/>
  <c r="H21" i="55"/>
  <c r="D21" i="55"/>
  <c r="B21" i="55"/>
  <c r="Z20" i="55"/>
  <c r="X20" i="55"/>
  <c r="N20" i="55"/>
  <c r="L20" i="55"/>
  <c r="J20" i="55"/>
  <c r="F20" i="55"/>
  <c r="B20" i="55"/>
  <c r="T19" i="55"/>
  <c r="P19" i="55"/>
  <c r="X19" i="55" s="1"/>
  <c r="H19" i="55"/>
  <c r="F19" i="55"/>
  <c r="D19" i="55"/>
  <c r="B19" i="55"/>
  <c r="T18" i="55"/>
  <c r="P18" i="55"/>
  <c r="X18" i="55" s="1"/>
  <c r="J18" i="55"/>
  <c r="H18" i="55"/>
  <c r="L18" i="55" s="1"/>
  <c r="N18" i="55" s="1"/>
  <c r="F18" i="55"/>
  <c r="D18" i="55"/>
  <c r="J16" i="55"/>
  <c r="F16" i="55"/>
  <c r="T14" i="55"/>
  <c r="Z14" i="55" s="1"/>
  <c r="P14" i="55"/>
  <c r="X14" i="55" s="1"/>
  <c r="N14" i="55"/>
  <c r="J14" i="55"/>
  <c r="H14" i="55"/>
  <c r="L14" i="55" s="1"/>
  <c r="F14" i="55"/>
  <c r="D14" i="55"/>
  <c r="T12" i="55"/>
  <c r="P12" i="55"/>
  <c r="R26" i="55" s="1"/>
  <c r="H12" i="55"/>
  <c r="J38" i="55" s="1"/>
  <c r="D12" i="55"/>
  <c r="F22" i="55" s="1"/>
  <c r="D6" i="55"/>
  <c r="D4" i="55"/>
  <c r="J31" i="54"/>
  <c r="F31" i="54"/>
  <c r="T29" i="54"/>
  <c r="P29" i="54"/>
  <c r="X29" i="54" s="1"/>
  <c r="Z29" i="54" s="1"/>
  <c r="J29" i="54"/>
  <c r="H29" i="54"/>
  <c r="F29" i="54"/>
  <c r="D29" i="54"/>
  <c r="L29" i="54" s="1"/>
  <c r="N29" i="54" s="1"/>
  <c r="T28" i="54"/>
  <c r="P28" i="54"/>
  <c r="X28" i="54" s="1"/>
  <c r="Z28" i="54" s="1"/>
  <c r="J28" i="54"/>
  <c r="H28" i="54"/>
  <c r="F28" i="54"/>
  <c r="D28" i="54"/>
  <c r="L28" i="54" s="1"/>
  <c r="N28" i="54" s="1"/>
  <c r="R26" i="54"/>
  <c r="J26" i="54"/>
  <c r="F26" i="54"/>
  <c r="Z24" i="54"/>
  <c r="X24" i="54"/>
  <c r="N24" i="54"/>
  <c r="L24" i="54"/>
  <c r="J24" i="54"/>
  <c r="F24" i="54"/>
  <c r="V22" i="54"/>
  <c r="J22" i="54"/>
  <c r="F22" i="54"/>
  <c r="V20" i="54"/>
  <c r="T20" i="54"/>
  <c r="Z20" i="54" s="1"/>
  <c r="P20" i="54"/>
  <c r="J20" i="54"/>
  <c r="H20" i="54"/>
  <c r="N20" i="54" s="1"/>
  <c r="F20" i="54"/>
  <c r="D20" i="54"/>
  <c r="L20" i="54" s="1"/>
  <c r="V18" i="54"/>
  <c r="T18" i="54"/>
  <c r="Z18" i="54" s="1"/>
  <c r="P18" i="54"/>
  <c r="J18" i="54"/>
  <c r="H18" i="54"/>
  <c r="N18" i="54" s="1"/>
  <c r="F18" i="54"/>
  <c r="D18" i="54"/>
  <c r="L18" i="54" s="1"/>
  <c r="V16" i="54"/>
  <c r="J16" i="54"/>
  <c r="F16" i="54"/>
  <c r="V14" i="54"/>
  <c r="T14" i="54"/>
  <c r="P14" i="54"/>
  <c r="J14" i="54"/>
  <c r="H14" i="54"/>
  <c r="F14" i="54"/>
  <c r="D14" i="54"/>
  <c r="T12" i="54"/>
  <c r="P12" i="54"/>
  <c r="N12" i="54"/>
  <c r="L12" i="54"/>
  <c r="H12" i="54"/>
  <c r="D12" i="54"/>
  <c r="D6" i="54"/>
  <c r="D4" i="54"/>
  <c r="Z97" i="51"/>
  <c r="X97" i="51"/>
  <c r="N97" i="51"/>
  <c r="L97" i="51"/>
  <c r="Z93" i="51"/>
  <c r="V93" i="51"/>
  <c r="P93" i="51"/>
  <c r="X93" i="51" s="1"/>
  <c r="L93" i="51"/>
  <c r="N93" i="51" s="1"/>
  <c r="D93" i="51"/>
  <c r="B93" i="51"/>
  <c r="Z92" i="51"/>
  <c r="X92" i="51"/>
  <c r="P92" i="51"/>
  <c r="N92" i="51"/>
  <c r="D92" i="51"/>
  <c r="L92" i="51" s="1"/>
  <c r="B92" i="51"/>
  <c r="Z91" i="51"/>
  <c r="P91" i="51"/>
  <c r="X91" i="51" s="1"/>
  <c r="N91" i="51"/>
  <c r="D91" i="51"/>
  <c r="B91" i="51"/>
  <c r="T90" i="51"/>
  <c r="P90" i="51"/>
  <c r="H90" i="51"/>
  <c r="X88" i="51"/>
  <c r="Z88" i="51" s="1"/>
  <c r="L88" i="51"/>
  <c r="N88" i="51" s="1"/>
  <c r="B88" i="51"/>
  <c r="Z87" i="51"/>
  <c r="X87" i="51"/>
  <c r="V87" i="51"/>
  <c r="T87" i="51"/>
  <c r="P87" i="51"/>
  <c r="H87" i="51"/>
  <c r="D87" i="51"/>
  <c r="B87" i="51"/>
  <c r="Z86" i="51"/>
  <c r="X86" i="51"/>
  <c r="N86" i="51"/>
  <c r="L86" i="51"/>
  <c r="B86" i="51"/>
  <c r="Z85" i="51"/>
  <c r="X85" i="51"/>
  <c r="V85" i="51"/>
  <c r="N85" i="51"/>
  <c r="L85" i="51"/>
  <c r="B85" i="51"/>
  <c r="T84" i="51"/>
  <c r="P84" i="51"/>
  <c r="X84" i="51" s="1"/>
  <c r="Z84" i="51" s="1"/>
  <c r="N84" i="51"/>
  <c r="L84" i="51"/>
  <c r="H84" i="51"/>
  <c r="D84" i="51"/>
  <c r="B84" i="51"/>
  <c r="Z83" i="51"/>
  <c r="X83" i="51"/>
  <c r="N83" i="51"/>
  <c r="L83" i="51"/>
  <c r="B83" i="51"/>
  <c r="X82" i="51"/>
  <c r="Z82" i="51" s="1"/>
  <c r="N82" i="51"/>
  <c r="L82" i="51"/>
  <c r="B82" i="51"/>
  <c r="T81" i="51"/>
  <c r="P81" i="51"/>
  <c r="X81" i="51" s="1"/>
  <c r="Z81" i="51" s="1"/>
  <c r="N81" i="51"/>
  <c r="H81" i="51"/>
  <c r="D81" i="51"/>
  <c r="L81" i="51" s="1"/>
  <c r="B81" i="51"/>
  <c r="X80" i="51"/>
  <c r="Z80" i="51" s="1"/>
  <c r="N80" i="51"/>
  <c r="L80" i="51"/>
  <c r="B80" i="51"/>
  <c r="X79" i="51"/>
  <c r="Z79" i="51" s="1"/>
  <c r="T79" i="51"/>
  <c r="P79" i="51"/>
  <c r="H79" i="51"/>
  <c r="D79" i="51"/>
  <c r="L79" i="51" s="1"/>
  <c r="B79" i="51"/>
  <c r="X78" i="51"/>
  <c r="Z78" i="51" s="1"/>
  <c r="L78" i="51"/>
  <c r="N78" i="51" s="1"/>
  <c r="B78" i="51"/>
  <c r="T77" i="51"/>
  <c r="P77" i="51"/>
  <c r="H77" i="51"/>
  <c r="D77" i="51"/>
  <c r="L77" i="51" s="1"/>
  <c r="B77" i="51"/>
  <c r="Z76" i="51"/>
  <c r="X76" i="51"/>
  <c r="V76" i="51"/>
  <c r="L76" i="51"/>
  <c r="N76" i="51" s="1"/>
  <c r="B76" i="51"/>
  <c r="T75" i="51"/>
  <c r="P75" i="51"/>
  <c r="H75" i="51"/>
  <c r="D75" i="51"/>
  <c r="L75" i="51" s="1"/>
  <c r="N75" i="51" s="1"/>
  <c r="B75" i="51"/>
  <c r="Z74" i="51"/>
  <c r="X74" i="51"/>
  <c r="V74" i="51"/>
  <c r="N74" i="51"/>
  <c r="L74" i="51"/>
  <c r="B74" i="51"/>
  <c r="T73" i="51"/>
  <c r="P73" i="51"/>
  <c r="N73" i="51"/>
  <c r="L73" i="51"/>
  <c r="H73" i="51"/>
  <c r="D73" i="51"/>
  <c r="B73" i="51"/>
  <c r="X72" i="51"/>
  <c r="Z72" i="51" s="1"/>
  <c r="V72" i="51"/>
  <c r="N72" i="51"/>
  <c r="L72" i="51"/>
  <c r="B72" i="51"/>
  <c r="V71" i="51"/>
  <c r="T71" i="51"/>
  <c r="P71" i="51"/>
  <c r="L71" i="51"/>
  <c r="N71" i="51" s="1"/>
  <c r="J71" i="51"/>
  <c r="H71" i="51"/>
  <c r="D71" i="51"/>
  <c r="B71" i="51"/>
  <c r="Z70" i="51"/>
  <c r="X70" i="51"/>
  <c r="N70" i="51"/>
  <c r="L70" i="51"/>
  <c r="B70" i="51"/>
  <c r="Z69" i="51"/>
  <c r="X69" i="51"/>
  <c r="N69" i="51"/>
  <c r="L69" i="51"/>
  <c r="B69" i="51"/>
  <c r="Z68" i="51"/>
  <c r="X68" i="51"/>
  <c r="V68" i="51"/>
  <c r="N68" i="51"/>
  <c r="L68" i="51"/>
  <c r="B68" i="51"/>
  <c r="X67" i="51"/>
  <c r="Z67" i="51" s="1"/>
  <c r="L67" i="51"/>
  <c r="N67" i="51" s="1"/>
  <c r="B67" i="51"/>
  <c r="Z66" i="51"/>
  <c r="X66" i="51"/>
  <c r="V66" i="51"/>
  <c r="N66" i="51"/>
  <c r="L66" i="51"/>
  <c r="B66" i="51"/>
  <c r="Z65" i="51"/>
  <c r="X65" i="51"/>
  <c r="V65" i="51"/>
  <c r="N65" i="51"/>
  <c r="L65" i="51"/>
  <c r="B65" i="51"/>
  <c r="Z64" i="51"/>
  <c r="X64" i="51"/>
  <c r="V64" i="51"/>
  <c r="L64" i="51"/>
  <c r="N64" i="51" s="1"/>
  <c r="B64" i="51"/>
  <c r="Z63" i="51"/>
  <c r="X63" i="51"/>
  <c r="N63" i="51"/>
  <c r="L63" i="51"/>
  <c r="B63" i="51"/>
  <c r="Z62" i="51"/>
  <c r="X62" i="51"/>
  <c r="V62" i="51"/>
  <c r="N62" i="51"/>
  <c r="L62" i="51"/>
  <c r="B62" i="51"/>
  <c r="Z61" i="51"/>
  <c r="X61" i="51"/>
  <c r="V61" i="51"/>
  <c r="L61" i="51"/>
  <c r="N61" i="51" s="1"/>
  <c r="B61" i="51"/>
  <c r="V60" i="51"/>
  <c r="T60" i="51"/>
  <c r="P60" i="51"/>
  <c r="X60" i="51" s="1"/>
  <c r="J60" i="51"/>
  <c r="H60" i="51"/>
  <c r="D60" i="51"/>
  <c r="L60" i="51" s="1"/>
  <c r="N60" i="51" s="1"/>
  <c r="B60" i="51"/>
  <c r="Z59" i="51"/>
  <c r="X59" i="51"/>
  <c r="V59" i="51"/>
  <c r="N59" i="51"/>
  <c r="L59" i="51"/>
  <c r="B59" i="51"/>
  <c r="Z58" i="51"/>
  <c r="X58" i="51"/>
  <c r="L58" i="51"/>
  <c r="N58" i="51" s="1"/>
  <c r="B58" i="51"/>
  <c r="X57" i="51"/>
  <c r="Z57" i="51" s="1"/>
  <c r="N57" i="51"/>
  <c r="L57" i="51"/>
  <c r="B57" i="51"/>
  <c r="Z56" i="51"/>
  <c r="X56" i="51"/>
  <c r="N56" i="51"/>
  <c r="L56" i="51"/>
  <c r="B56" i="51"/>
  <c r="Z55" i="51"/>
  <c r="X55" i="51"/>
  <c r="V55" i="51"/>
  <c r="N55" i="51"/>
  <c r="L55" i="51"/>
  <c r="B55" i="51"/>
  <c r="Z54" i="51"/>
  <c r="X54" i="51"/>
  <c r="L54" i="51"/>
  <c r="N54" i="51" s="1"/>
  <c r="B54" i="51"/>
  <c r="X53" i="51"/>
  <c r="Z53" i="51" s="1"/>
  <c r="N53" i="51"/>
  <c r="L53" i="51"/>
  <c r="B53" i="51"/>
  <c r="Z52" i="51"/>
  <c r="X52" i="51"/>
  <c r="N52" i="51"/>
  <c r="L52" i="51"/>
  <c r="B52" i="51"/>
  <c r="X51" i="51"/>
  <c r="Z51" i="51" s="1"/>
  <c r="V51" i="51"/>
  <c r="N51" i="51"/>
  <c r="L51" i="51"/>
  <c r="B51" i="51"/>
  <c r="Z50" i="51"/>
  <c r="X50" i="51"/>
  <c r="L50" i="51"/>
  <c r="N50" i="51" s="1"/>
  <c r="B50" i="51"/>
  <c r="T49" i="51"/>
  <c r="P49" i="51"/>
  <c r="L49" i="51"/>
  <c r="J49" i="51"/>
  <c r="H49" i="51"/>
  <c r="D49" i="51"/>
  <c r="B49" i="51"/>
  <c r="V48" i="51"/>
  <c r="T48" i="51"/>
  <c r="X48" i="51" s="1"/>
  <c r="Z48" i="51" s="1"/>
  <c r="P48" i="51"/>
  <c r="H48" i="51"/>
  <c r="D48" i="51"/>
  <c r="Z44" i="51"/>
  <c r="X44" i="51"/>
  <c r="V44" i="51"/>
  <c r="N44" i="51"/>
  <c r="L44" i="51"/>
  <c r="B44" i="51"/>
  <c r="Z43" i="51"/>
  <c r="X43" i="51"/>
  <c r="N43" i="51"/>
  <c r="L43" i="51"/>
  <c r="B43" i="51"/>
  <c r="Z42" i="51"/>
  <c r="X42" i="51"/>
  <c r="V42" i="51"/>
  <c r="N42" i="51"/>
  <c r="L42" i="51"/>
  <c r="B42" i="51"/>
  <c r="Z41" i="51"/>
  <c r="X41" i="51"/>
  <c r="N41" i="51"/>
  <c r="L41" i="51"/>
  <c r="J41" i="51"/>
  <c r="B41" i="51"/>
  <c r="Z40" i="51"/>
  <c r="X40" i="51"/>
  <c r="V40" i="51"/>
  <c r="N40" i="51"/>
  <c r="L40" i="51"/>
  <c r="B40" i="51"/>
  <c r="Z39" i="51"/>
  <c r="X39" i="51"/>
  <c r="N39" i="51"/>
  <c r="L39" i="51"/>
  <c r="B39" i="51"/>
  <c r="Z38" i="51"/>
  <c r="X38" i="51"/>
  <c r="V38" i="51"/>
  <c r="N38" i="51"/>
  <c r="L38" i="51"/>
  <c r="B38" i="51"/>
  <c r="Z37" i="51"/>
  <c r="X37" i="51"/>
  <c r="N37" i="51"/>
  <c r="L37" i="51"/>
  <c r="B37" i="51"/>
  <c r="Z36" i="51"/>
  <c r="X36" i="51"/>
  <c r="V36" i="51"/>
  <c r="N36" i="51"/>
  <c r="L36" i="51"/>
  <c r="B36" i="51"/>
  <c r="Z35" i="51"/>
  <c r="X35" i="51"/>
  <c r="V35" i="51"/>
  <c r="L35" i="51"/>
  <c r="N35" i="51" s="1"/>
  <c r="B35" i="51"/>
  <c r="T34" i="51"/>
  <c r="P34" i="51"/>
  <c r="H34" i="51"/>
  <c r="L34" i="51" s="1"/>
  <c r="D34" i="51"/>
  <c r="Z32" i="51"/>
  <c r="P32" i="51"/>
  <c r="X32" i="51" s="1"/>
  <c r="N32" i="51"/>
  <c r="D32" i="51"/>
  <c r="L32" i="51" s="1"/>
  <c r="B32" i="51"/>
  <c r="Z31" i="51"/>
  <c r="X31" i="51"/>
  <c r="P31" i="51"/>
  <c r="N31" i="51"/>
  <c r="D31" i="51"/>
  <c r="L31" i="51" s="1"/>
  <c r="B31" i="51"/>
  <c r="Z30" i="51"/>
  <c r="X30" i="51"/>
  <c r="P30" i="51"/>
  <c r="N30" i="51"/>
  <c r="L30" i="51"/>
  <c r="D30" i="51"/>
  <c r="B30" i="51"/>
  <c r="Z29" i="51"/>
  <c r="P29" i="51"/>
  <c r="X29" i="51" s="1"/>
  <c r="N29" i="51"/>
  <c r="L29" i="51"/>
  <c r="D29" i="51"/>
  <c r="B29" i="51"/>
  <c r="Z28" i="51"/>
  <c r="P28" i="51"/>
  <c r="X28" i="51" s="1"/>
  <c r="N28" i="51"/>
  <c r="L28" i="51"/>
  <c r="D28" i="51"/>
  <c r="B28" i="51"/>
  <c r="Z27" i="51"/>
  <c r="P27" i="51"/>
  <c r="X27" i="51" s="1"/>
  <c r="N27" i="51"/>
  <c r="L27" i="51"/>
  <c r="D27" i="51"/>
  <c r="B27" i="51"/>
  <c r="Z26" i="51"/>
  <c r="P26" i="51"/>
  <c r="X26" i="51" s="1"/>
  <c r="N26" i="51"/>
  <c r="D26" i="51"/>
  <c r="L26" i="51" s="1"/>
  <c r="B26" i="51"/>
  <c r="Z25" i="51"/>
  <c r="P25" i="51"/>
  <c r="X25" i="51" s="1"/>
  <c r="N25" i="51"/>
  <c r="D25" i="51"/>
  <c r="L25" i="51" s="1"/>
  <c r="B25" i="51"/>
  <c r="Z24" i="51"/>
  <c r="X24" i="51"/>
  <c r="P24" i="51"/>
  <c r="N24" i="51"/>
  <c r="D24" i="51"/>
  <c r="B24" i="51"/>
  <c r="Z23" i="51"/>
  <c r="P23" i="51"/>
  <c r="X23" i="51" s="1"/>
  <c r="N23" i="51"/>
  <c r="D23" i="51"/>
  <c r="L23" i="51" s="1"/>
  <c r="B23" i="51"/>
  <c r="Z22" i="51"/>
  <c r="P22" i="51"/>
  <c r="X22" i="51" s="1"/>
  <c r="N22" i="51"/>
  <c r="L22" i="51"/>
  <c r="D22" i="51"/>
  <c r="B22" i="51"/>
  <c r="X21" i="51"/>
  <c r="Z21" i="51" s="1"/>
  <c r="P21" i="51"/>
  <c r="N21" i="51"/>
  <c r="L21" i="51"/>
  <c r="D21" i="51"/>
  <c r="B21" i="51"/>
  <c r="Z20" i="51"/>
  <c r="X20" i="51"/>
  <c r="P20" i="51"/>
  <c r="N20" i="51"/>
  <c r="D20" i="51"/>
  <c r="L20" i="51" s="1"/>
  <c r="B20" i="51"/>
  <c r="Z19" i="51"/>
  <c r="X19" i="51"/>
  <c r="P19" i="51"/>
  <c r="N19" i="51"/>
  <c r="D19" i="51"/>
  <c r="L19" i="51" s="1"/>
  <c r="B19" i="51"/>
  <c r="Z18" i="51"/>
  <c r="X18" i="51"/>
  <c r="P18" i="51"/>
  <c r="N18" i="51"/>
  <c r="L18" i="51"/>
  <c r="D18" i="51"/>
  <c r="B18" i="51"/>
  <c r="Z17" i="51"/>
  <c r="P17" i="51"/>
  <c r="X17" i="51" s="1"/>
  <c r="N17" i="51"/>
  <c r="D17" i="51"/>
  <c r="L17" i="51" s="1"/>
  <c r="B17" i="51"/>
  <c r="Z16" i="51"/>
  <c r="P16" i="51"/>
  <c r="X16" i="51" s="1"/>
  <c r="N16" i="51"/>
  <c r="L16" i="51"/>
  <c r="D16" i="51"/>
  <c r="B16" i="51"/>
  <c r="Z15" i="51"/>
  <c r="X15" i="51"/>
  <c r="P15" i="51"/>
  <c r="N15" i="51"/>
  <c r="L15" i="51"/>
  <c r="D15" i="51"/>
  <c r="B15" i="51"/>
  <c r="Z14" i="51"/>
  <c r="P14" i="51"/>
  <c r="X14" i="51" s="1"/>
  <c r="N14" i="51"/>
  <c r="L14" i="51"/>
  <c r="D14" i="51"/>
  <c r="B14" i="51"/>
  <c r="P13" i="51"/>
  <c r="D13" i="51"/>
  <c r="L13" i="51" s="1"/>
  <c r="N13" i="51" s="1"/>
  <c r="B13" i="51"/>
  <c r="T12" i="51"/>
  <c r="H12" i="51"/>
  <c r="D4" i="51"/>
  <c r="X71" i="48"/>
  <c r="Z71" i="48" s="1"/>
  <c r="L71" i="48"/>
  <c r="N71" i="48" s="1"/>
  <c r="J71" i="48"/>
  <c r="P69" i="48"/>
  <c r="Z67" i="48"/>
  <c r="R67" i="48"/>
  <c r="P67" i="48"/>
  <c r="X67" i="48" s="1"/>
  <c r="D67" i="48"/>
  <c r="L67" i="48" s="1"/>
  <c r="N67" i="48" s="1"/>
  <c r="B67" i="48"/>
  <c r="Z66" i="48"/>
  <c r="X66" i="48"/>
  <c r="T66" i="48"/>
  <c r="R66" i="48"/>
  <c r="P66" i="48"/>
  <c r="H66" i="48"/>
  <c r="X64" i="48"/>
  <c r="Z64" i="48" s="1"/>
  <c r="N64" i="48"/>
  <c r="L64" i="48"/>
  <c r="J64" i="48"/>
  <c r="B64" i="48"/>
  <c r="V63" i="48"/>
  <c r="T63" i="48"/>
  <c r="R63" i="48"/>
  <c r="P63" i="48"/>
  <c r="H63" i="48"/>
  <c r="D63" i="48"/>
  <c r="B63" i="48"/>
  <c r="Z62" i="48"/>
  <c r="X62" i="48"/>
  <c r="V62" i="48"/>
  <c r="R62" i="48"/>
  <c r="N62" i="48"/>
  <c r="L62" i="48"/>
  <c r="J62" i="48"/>
  <c r="B62" i="48"/>
  <c r="X61" i="48"/>
  <c r="Z61" i="48" s="1"/>
  <c r="L61" i="48"/>
  <c r="N61" i="48" s="1"/>
  <c r="J61" i="48"/>
  <c r="B61" i="48"/>
  <c r="Z60" i="48"/>
  <c r="X60" i="48"/>
  <c r="V60" i="48"/>
  <c r="T60" i="48"/>
  <c r="P60" i="48"/>
  <c r="H60" i="48"/>
  <c r="L60" i="48" s="1"/>
  <c r="N60" i="48" s="1"/>
  <c r="D60" i="48"/>
  <c r="B60" i="48"/>
  <c r="X59" i="48"/>
  <c r="Z59" i="48" s="1"/>
  <c r="L59" i="48"/>
  <c r="N59" i="48" s="1"/>
  <c r="J59" i="48"/>
  <c r="B59" i="48"/>
  <c r="Z58" i="48"/>
  <c r="X58" i="48"/>
  <c r="N58" i="48"/>
  <c r="L58" i="48"/>
  <c r="B58" i="48"/>
  <c r="V57" i="48"/>
  <c r="T57" i="48"/>
  <c r="P57" i="48"/>
  <c r="X57" i="48" s="1"/>
  <c r="Z57" i="48" s="1"/>
  <c r="L57" i="48"/>
  <c r="N57" i="48" s="1"/>
  <c r="H57" i="48"/>
  <c r="D57" i="48"/>
  <c r="B57" i="48"/>
  <c r="X56" i="48"/>
  <c r="Z56" i="48" s="1"/>
  <c r="N56" i="48"/>
  <c r="L56" i="48"/>
  <c r="J56" i="48"/>
  <c r="B56" i="48"/>
  <c r="T55" i="48"/>
  <c r="R55" i="48"/>
  <c r="P55" i="48"/>
  <c r="L55" i="48"/>
  <c r="H55" i="48"/>
  <c r="D55" i="48"/>
  <c r="B55" i="48"/>
  <c r="Z54" i="48"/>
  <c r="X54" i="48"/>
  <c r="V54" i="48"/>
  <c r="R54" i="48"/>
  <c r="L54" i="48"/>
  <c r="N54" i="48" s="1"/>
  <c r="J54" i="48"/>
  <c r="B54" i="48"/>
  <c r="T53" i="48"/>
  <c r="P53" i="48"/>
  <c r="H53" i="48"/>
  <c r="D53" i="48"/>
  <c r="L53" i="48" s="1"/>
  <c r="B53" i="48"/>
  <c r="X52" i="48"/>
  <c r="Z52" i="48" s="1"/>
  <c r="R52" i="48"/>
  <c r="N52" i="48"/>
  <c r="L52" i="48"/>
  <c r="B52" i="48"/>
  <c r="T51" i="48"/>
  <c r="P51" i="48"/>
  <c r="X51" i="48" s="1"/>
  <c r="Z51" i="48" s="1"/>
  <c r="N51" i="48"/>
  <c r="L51" i="48"/>
  <c r="J51" i="48"/>
  <c r="H51" i="48"/>
  <c r="D51" i="48"/>
  <c r="B51" i="48"/>
  <c r="Z50" i="48"/>
  <c r="X50" i="48"/>
  <c r="N50" i="48"/>
  <c r="L50" i="48"/>
  <c r="J50" i="48"/>
  <c r="B50" i="48"/>
  <c r="X49" i="48"/>
  <c r="T49" i="48"/>
  <c r="P49" i="48"/>
  <c r="H49" i="48"/>
  <c r="D49" i="48"/>
  <c r="B49" i="48"/>
  <c r="Z48" i="48"/>
  <c r="X48" i="48"/>
  <c r="V48" i="48"/>
  <c r="L48" i="48"/>
  <c r="N48" i="48" s="1"/>
  <c r="J48" i="48"/>
  <c r="B48" i="48"/>
  <c r="T47" i="48"/>
  <c r="P47" i="48"/>
  <c r="H47" i="48"/>
  <c r="D47" i="48"/>
  <c r="B47" i="48"/>
  <c r="Z46" i="48"/>
  <c r="X46" i="48"/>
  <c r="N46" i="48"/>
  <c r="L46" i="48"/>
  <c r="B46" i="48"/>
  <c r="Z45" i="48"/>
  <c r="X45" i="48"/>
  <c r="T45" i="48"/>
  <c r="P45" i="48"/>
  <c r="H45" i="48"/>
  <c r="D45" i="48"/>
  <c r="L45" i="48" s="1"/>
  <c r="N45" i="48" s="1"/>
  <c r="B45" i="48"/>
  <c r="Z44" i="48"/>
  <c r="X44" i="48"/>
  <c r="N44" i="48"/>
  <c r="L44" i="48"/>
  <c r="J44" i="48"/>
  <c r="B44" i="48"/>
  <c r="T43" i="48"/>
  <c r="R43" i="48"/>
  <c r="P43" i="48"/>
  <c r="H43" i="48"/>
  <c r="D43" i="48"/>
  <c r="B43" i="48"/>
  <c r="Z42" i="48"/>
  <c r="X42" i="48"/>
  <c r="N42" i="48"/>
  <c r="L42" i="48"/>
  <c r="J42" i="48"/>
  <c r="B42" i="48"/>
  <c r="T41" i="48"/>
  <c r="R41" i="48"/>
  <c r="P41" i="48"/>
  <c r="X41" i="48" s="1"/>
  <c r="H41" i="48"/>
  <c r="D41" i="48"/>
  <c r="B41" i="48"/>
  <c r="Z40" i="48"/>
  <c r="X40" i="48"/>
  <c r="R40" i="48"/>
  <c r="N40" i="48"/>
  <c r="L40" i="48"/>
  <c r="B40" i="48"/>
  <c r="Z39" i="48"/>
  <c r="X39" i="48"/>
  <c r="N39" i="48"/>
  <c r="L39" i="48"/>
  <c r="J39" i="48"/>
  <c r="B39" i="48"/>
  <c r="Z38" i="48"/>
  <c r="X38" i="48"/>
  <c r="V38" i="48"/>
  <c r="N38" i="48"/>
  <c r="L38" i="48"/>
  <c r="B38" i="48"/>
  <c r="X37" i="48"/>
  <c r="Z37" i="48" s="1"/>
  <c r="L37" i="48"/>
  <c r="N37" i="48" s="1"/>
  <c r="B37" i="48"/>
  <c r="Z36" i="48"/>
  <c r="X36" i="48"/>
  <c r="V36" i="48"/>
  <c r="R36" i="48"/>
  <c r="N36" i="48"/>
  <c r="L36" i="48"/>
  <c r="B36" i="48"/>
  <c r="Z35" i="48"/>
  <c r="X35" i="48"/>
  <c r="N35" i="48"/>
  <c r="L35" i="48"/>
  <c r="J35" i="48"/>
  <c r="B35" i="48"/>
  <c r="Z34" i="48"/>
  <c r="X34" i="48"/>
  <c r="V34" i="48"/>
  <c r="N34" i="48"/>
  <c r="L34" i="48"/>
  <c r="B34" i="48"/>
  <c r="Z33" i="48"/>
  <c r="X33" i="48"/>
  <c r="N33" i="48"/>
  <c r="L33" i="48"/>
  <c r="B33" i="48"/>
  <c r="X32" i="48"/>
  <c r="Z32" i="48" s="1"/>
  <c r="V32" i="48"/>
  <c r="R32" i="48"/>
  <c r="L32" i="48"/>
  <c r="N32" i="48" s="1"/>
  <c r="B32" i="48"/>
  <c r="Z31" i="48"/>
  <c r="X31" i="48"/>
  <c r="N31" i="48"/>
  <c r="L31" i="48"/>
  <c r="J31" i="48"/>
  <c r="B31" i="48"/>
  <c r="V30" i="48"/>
  <c r="T30" i="48"/>
  <c r="R30" i="48"/>
  <c r="P30" i="48"/>
  <c r="X30" i="48" s="1"/>
  <c r="Z30" i="48" s="1"/>
  <c r="H30" i="48"/>
  <c r="D30" i="48"/>
  <c r="B30" i="48"/>
  <c r="X29" i="48"/>
  <c r="Z29" i="48" s="1"/>
  <c r="R29" i="48"/>
  <c r="N29" i="48"/>
  <c r="L29" i="48"/>
  <c r="B29" i="48"/>
  <c r="Z28" i="48"/>
  <c r="X28" i="48"/>
  <c r="N28" i="48"/>
  <c r="L28" i="48"/>
  <c r="J28" i="48"/>
  <c r="B28" i="48"/>
  <c r="X27" i="48"/>
  <c r="Z27" i="48" s="1"/>
  <c r="V27" i="48"/>
  <c r="R27" i="48"/>
  <c r="N27" i="48"/>
  <c r="L27" i="48"/>
  <c r="B27" i="48"/>
  <c r="Z26" i="48"/>
  <c r="X26" i="48"/>
  <c r="N26" i="48"/>
  <c r="L26" i="48"/>
  <c r="J26" i="48"/>
  <c r="B26" i="48"/>
  <c r="X25" i="48"/>
  <c r="Z25" i="48" s="1"/>
  <c r="R25" i="48"/>
  <c r="N25" i="48"/>
  <c r="L25" i="48"/>
  <c r="B25" i="48"/>
  <c r="Z24" i="48"/>
  <c r="X24" i="48"/>
  <c r="N24" i="48"/>
  <c r="L24" i="48"/>
  <c r="J24" i="48"/>
  <c r="B24" i="48"/>
  <c r="X23" i="48"/>
  <c r="Z23" i="48" s="1"/>
  <c r="V23" i="48"/>
  <c r="R23" i="48"/>
  <c r="N23" i="48"/>
  <c r="L23" i="48"/>
  <c r="B23" i="48"/>
  <c r="Z22" i="48"/>
  <c r="X22" i="48"/>
  <c r="L22" i="48"/>
  <c r="N22" i="48" s="1"/>
  <c r="J22" i="48"/>
  <c r="B22" i="48"/>
  <c r="X21" i="48"/>
  <c r="Z21" i="48" s="1"/>
  <c r="R21" i="48"/>
  <c r="N21" i="48"/>
  <c r="L21" i="48"/>
  <c r="B21" i="48"/>
  <c r="X20" i="48"/>
  <c r="Z20" i="48" s="1"/>
  <c r="T20" i="48"/>
  <c r="R20" i="48"/>
  <c r="P20" i="48"/>
  <c r="H20" i="48"/>
  <c r="D20" i="48"/>
  <c r="L20" i="48" s="1"/>
  <c r="N20" i="48" s="1"/>
  <c r="B20" i="48"/>
  <c r="Z19" i="48"/>
  <c r="T19" i="48"/>
  <c r="P19" i="48"/>
  <c r="X19" i="48" s="1"/>
  <c r="H19" i="48"/>
  <c r="D19" i="48"/>
  <c r="L19" i="48" s="1"/>
  <c r="T17" i="48"/>
  <c r="P17" i="48"/>
  <c r="H17" i="48"/>
  <c r="Z15" i="48"/>
  <c r="T15" i="48"/>
  <c r="P15" i="48"/>
  <c r="X15" i="48" s="1"/>
  <c r="H15" i="48"/>
  <c r="N15" i="48" s="1"/>
  <c r="D15" i="48"/>
  <c r="L15" i="48" s="1"/>
  <c r="Z13" i="48"/>
  <c r="X13" i="48"/>
  <c r="P13" i="48"/>
  <c r="D13" i="48"/>
  <c r="B13" i="48"/>
  <c r="T12" i="48"/>
  <c r="P12" i="48"/>
  <c r="R61" i="48" s="1"/>
  <c r="H12" i="48"/>
  <c r="J52" i="48" s="1"/>
  <c r="D4" i="48"/>
  <c r="Z100" i="45"/>
  <c r="X100" i="45"/>
  <c r="L100" i="45"/>
  <c r="N100" i="45" s="1"/>
  <c r="J100" i="45"/>
  <c r="H98" i="45"/>
  <c r="V96" i="45"/>
  <c r="T96" i="45"/>
  <c r="Z96" i="45" s="1"/>
  <c r="P96" i="45"/>
  <c r="L96" i="45"/>
  <c r="H96" i="45"/>
  <c r="N96" i="45" s="1"/>
  <c r="D96" i="45"/>
  <c r="X94" i="45"/>
  <c r="Z94" i="45" s="1"/>
  <c r="N94" i="45"/>
  <c r="L94" i="45"/>
  <c r="B94" i="45"/>
  <c r="Z93" i="45"/>
  <c r="X93" i="45"/>
  <c r="N93" i="45"/>
  <c r="L93" i="45"/>
  <c r="B93" i="45"/>
  <c r="X92" i="45"/>
  <c r="T92" i="45"/>
  <c r="P92" i="45"/>
  <c r="L92" i="45"/>
  <c r="J92" i="45"/>
  <c r="H92" i="45"/>
  <c r="D92" i="45"/>
  <c r="B92" i="45"/>
  <c r="X91" i="45"/>
  <c r="Z91" i="45" s="1"/>
  <c r="N91" i="45"/>
  <c r="L91" i="45"/>
  <c r="B91" i="45"/>
  <c r="T90" i="45"/>
  <c r="P90" i="45"/>
  <c r="H90" i="45"/>
  <c r="N90" i="45" s="1"/>
  <c r="D90" i="45"/>
  <c r="L90" i="45" s="1"/>
  <c r="B90" i="45"/>
  <c r="Z89" i="45"/>
  <c r="X89" i="45"/>
  <c r="L89" i="45"/>
  <c r="N89" i="45" s="1"/>
  <c r="B89" i="45"/>
  <c r="T88" i="45"/>
  <c r="P88" i="45"/>
  <c r="X88" i="45" s="1"/>
  <c r="Z88" i="45" s="1"/>
  <c r="L88" i="45"/>
  <c r="N88" i="45" s="1"/>
  <c r="H88" i="45"/>
  <c r="D88" i="45"/>
  <c r="B88" i="45"/>
  <c r="Z87" i="45"/>
  <c r="X87" i="45"/>
  <c r="L87" i="45"/>
  <c r="N87" i="45" s="1"/>
  <c r="J87" i="45"/>
  <c r="B87" i="45"/>
  <c r="Z86" i="45"/>
  <c r="X86" i="45"/>
  <c r="V86" i="45"/>
  <c r="N86" i="45"/>
  <c r="L86" i="45"/>
  <c r="B86" i="45"/>
  <c r="X85" i="45"/>
  <c r="Z85" i="45" s="1"/>
  <c r="L85" i="45"/>
  <c r="N85" i="45" s="1"/>
  <c r="B85" i="45"/>
  <c r="X84" i="45"/>
  <c r="Z84" i="45" s="1"/>
  <c r="L84" i="45"/>
  <c r="N84" i="45" s="1"/>
  <c r="B84" i="45"/>
  <c r="Z83" i="45"/>
  <c r="X83" i="45"/>
  <c r="N83" i="45"/>
  <c r="L83" i="45"/>
  <c r="J83" i="45"/>
  <c r="B83" i="45"/>
  <c r="X82" i="45"/>
  <c r="Z82" i="45" s="1"/>
  <c r="N82" i="45"/>
  <c r="L82" i="45"/>
  <c r="F82" i="45"/>
  <c r="B82" i="45"/>
  <c r="Z81" i="45"/>
  <c r="X81" i="45"/>
  <c r="N81" i="45"/>
  <c r="L81" i="45"/>
  <c r="J81" i="45"/>
  <c r="B81" i="45"/>
  <c r="X80" i="45"/>
  <c r="Z80" i="45" s="1"/>
  <c r="L80" i="45"/>
  <c r="N80" i="45" s="1"/>
  <c r="B80" i="45"/>
  <c r="Z79" i="45"/>
  <c r="X79" i="45"/>
  <c r="N79" i="45"/>
  <c r="L79" i="45"/>
  <c r="B79" i="45"/>
  <c r="X78" i="45"/>
  <c r="T78" i="45"/>
  <c r="P78" i="45"/>
  <c r="L78" i="45"/>
  <c r="H78" i="45"/>
  <c r="D78" i="45"/>
  <c r="B78" i="45"/>
  <c r="X77" i="45"/>
  <c r="Z77" i="45" s="1"/>
  <c r="N77" i="45"/>
  <c r="L77" i="45"/>
  <c r="J77" i="45"/>
  <c r="B77" i="45"/>
  <c r="X76" i="45"/>
  <c r="Z76" i="45" s="1"/>
  <c r="L76" i="45"/>
  <c r="N76" i="45" s="1"/>
  <c r="B76" i="45"/>
  <c r="Z75" i="45"/>
  <c r="X75" i="45"/>
  <c r="N75" i="45"/>
  <c r="L75" i="45"/>
  <c r="B75" i="45"/>
  <c r="X74" i="45"/>
  <c r="Z74" i="45" s="1"/>
  <c r="L74" i="45"/>
  <c r="N74" i="45" s="1"/>
  <c r="B74" i="45"/>
  <c r="T73" i="45"/>
  <c r="P73" i="45"/>
  <c r="L73" i="45"/>
  <c r="N73" i="45" s="1"/>
  <c r="J73" i="45"/>
  <c r="H73" i="45"/>
  <c r="D73" i="45"/>
  <c r="B73" i="45"/>
  <c r="X72" i="45"/>
  <c r="Z72" i="45" s="1"/>
  <c r="N72" i="45"/>
  <c r="L72" i="45"/>
  <c r="J72" i="45"/>
  <c r="B72" i="45"/>
  <c r="Z71" i="45"/>
  <c r="X71" i="45"/>
  <c r="L71" i="45"/>
  <c r="N71" i="45" s="1"/>
  <c r="B71" i="45"/>
  <c r="X70" i="45"/>
  <c r="Z70" i="45" s="1"/>
  <c r="N70" i="45"/>
  <c r="L70" i="45"/>
  <c r="F70" i="45"/>
  <c r="B70" i="45"/>
  <c r="X69" i="45"/>
  <c r="T69" i="45"/>
  <c r="P69" i="45"/>
  <c r="H69" i="45"/>
  <c r="D69" i="45"/>
  <c r="L69" i="45" s="1"/>
  <c r="N69" i="45" s="1"/>
  <c r="B69" i="45"/>
  <c r="Z68" i="45"/>
  <c r="X68" i="45"/>
  <c r="V68" i="45"/>
  <c r="L68" i="45"/>
  <c r="N68" i="45" s="1"/>
  <c r="B68" i="45"/>
  <c r="X67" i="45"/>
  <c r="T67" i="45"/>
  <c r="Z67" i="45" s="1"/>
  <c r="P67" i="45"/>
  <c r="J67" i="45"/>
  <c r="H67" i="45"/>
  <c r="D67" i="45"/>
  <c r="L67" i="45" s="1"/>
  <c r="N67" i="45" s="1"/>
  <c r="B67" i="45"/>
  <c r="Z66" i="45"/>
  <c r="X66" i="45"/>
  <c r="L66" i="45"/>
  <c r="N66" i="45" s="1"/>
  <c r="B66" i="45"/>
  <c r="T65" i="45"/>
  <c r="P65" i="45"/>
  <c r="X65" i="45" s="1"/>
  <c r="L65" i="45"/>
  <c r="N65" i="45" s="1"/>
  <c r="J65" i="45"/>
  <c r="H65" i="45"/>
  <c r="D65" i="45"/>
  <c r="B65" i="45"/>
  <c r="X64" i="45"/>
  <c r="Z64" i="45" s="1"/>
  <c r="N64" i="45"/>
  <c r="L64" i="45"/>
  <c r="J64" i="45"/>
  <c r="B64" i="45"/>
  <c r="T63" i="45"/>
  <c r="P63" i="45"/>
  <c r="X63" i="45" s="1"/>
  <c r="Z63" i="45" s="1"/>
  <c r="L63" i="45"/>
  <c r="H63" i="45"/>
  <c r="D63" i="45"/>
  <c r="B63" i="45"/>
  <c r="Z62" i="45"/>
  <c r="X62" i="45"/>
  <c r="N62" i="45"/>
  <c r="L62" i="45"/>
  <c r="J62" i="45"/>
  <c r="B62" i="45"/>
  <c r="Z61" i="45"/>
  <c r="T61" i="45"/>
  <c r="P61" i="45"/>
  <c r="X61" i="45" s="1"/>
  <c r="L61" i="45"/>
  <c r="H61" i="45"/>
  <c r="N61" i="45" s="1"/>
  <c r="D61" i="45"/>
  <c r="B61" i="45"/>
  <c r="X60" i="45"/>
  <c r="Z60" i="45" s="1"/>
  <c r="L60" i="45"/>
  <c r="N60" i="45" s="1"/>
  <c r="J60" i="45"/>
  <c r="B60" i="45"/>
  <c r="X59" i="45"/>
  <c r="Z59" i="45" s="1"/>
  <c r="V59" i="45"/>
  <c r="T59" i="45"/>
  <c r="P59" i="45"/>
  <c r="J59" i="45"/>
  <c r="H59" i="45"/>
  <c r="D59" i="45"/>
  <c r="B59" i="45"/>
  <c r="X58" i="45"/>
  <c r="Z58" i="45" s="1"/>
  <c r="N58" i="45"/>
  <c r="L58" i="45"/>
  <c r="J58" i="45"/>
  <c r="B58" i="45"/>
  <c r="T57" i="45"/>
  <c r="P57" i="45"/>
  <c r="H57" i="45"/>
  <c r="D57" i="45"/>
  <c r="L57" i="45" s="1"/>
  <c r="N57" i="45" s="1"/>
  <c r="B57" i="45"/>
  <c r="Z56" i="45"/>
  <c r="X56" i="45"/>
  <c r="V56" i="45"/>
  <c r="L56" i="45"/>
  <c r="N56" i="45" s="1"/>
  <c r="B56" i="45"/>
  <c r="T55" i="45"/>
  <c r="P55" i="45"/>
  <c r="X55" i="45" s="1"/>
  <c r="Z55" i="45" s="1"/>
  <c r="N55" i="45"/>
  <c r="J55" i="45"/>
  <c r="H55" i="45"/>
  <c r="D55" i="45"/>
  <c r="L55" i="45" s="1"/>
  <c r="B55" i="45"/>
  <c r="Z54" i="45"/>
  <c r="X54" i="45"/>
  <c r="N54" i="45"/>
  <c r="L54" i="45"/>
  <c r="B54" i="45"/>
  <c r="T53" i="45"/>
  <c r="P53" i="45"/>
  <c r="L53" i="45"/>
  <c r="N53" i="45" s="1"/>
  <c r="J53" i="45"/>
  <c r="H53" i="45"/>
  <c r="D53" i="45"/>
  <c r="B53" i="45"/>
  <c r="Z52" i="45"/>
  <c r="X52" i="45"/>
  <c r="N52" i="45"/>
  <c r="L52" i="45"/>
  <c r="J52" i="45"/>
  <c r="B52" i="45"/>
  <c r="Z51" i="45"/>
  <c r="X51" i="45"/>
  <c r="N51" i="45"/>
  <c r="L51" i="45"/>
  <c r="B51" i="45"/>
  <c r="X50" i="45"/>
  <c r="Z50" i="45" s="1"/>
  <c r="T50" i="45"/>
  <c r="P50" i="45"/>
  <c r="L50" i="45"/>
  <c r="N50" i="45" s="1"/>
  <c r="J50" i="45"/>
  <c r="H50" i="45"/>
  <c r="D50" i="45"/>
  <c r="B50" i="45"/>
  <c r="Z49" i="45"/>
  <c r="X49" i="45"/>
  <c r="L49" i="45"/>
  <c r="N49" i="45" s="1"/>
  <c r="J49" i="45"/>
  <c r="B49" i="45"/>
  <c r="V48" i="45"/>
  <c r="T48" i="45"/>
  <c r="P48" i="45"/>
  <c r="H48" i="45"/>
  <c r="D48" i="45"/>
  <c r="L48" i="45" s="1"/>
  <c r="B48" i="45"/>
  <c r="Z47" i="45"/>
  <c r="X47" i="45"/>
  <c r="V47" i="45"/>
  <c r="N47" i="45"/>
  <c r="L47" i="45"/>
  <c r="B47" i="45"/>
  <c r="Z46" i="45"/>
  <c r="X46" i="45"/>
  <c r="N46" i="45"/>
  <c r="L46" i="45"/>
  <c r="B46" i="45"/>
  <c r="X45" i="45"/>
  <c r="Z45" i="45" s="1"/>
  <c r="V45" i="45"/>
  <c r="L45" i="45"/>
  <c r="N45" i="45" s="1"/>
  <c r="B45" i="45"/>
  <c r="X44" i="45"/>
  <c r="Z44" i="45" s="1"/>
  <c r="L44" i="45"/>
  <c r="N44" i="45" s="1"/>
  <c r="J44" i="45"/>
  <c r="B44" i="45"/>
  <c r="Z43" i="45"/>
  <c r="X43" i="45"/>
  <c r="N43" i="45"/>
  <c r="L43" i="45"/>
  <c r="B43" i="45"/>
  <c r="Z42" i="45"/>
  <c r="X42" i="45"/>
  <c r="L42" i="45"/>
  <c r="N42" i="45" s="1"/>
  <c r="B42" i="45"/>
  <c r="X41" i="45"/>
  <c r="Z41" i="45" s="1"/>
  <c r="L41" i="45"/>
  <c r="N41" i="45" s="1"/>
  <c r="B41" i="45"/>
  <c r="Z40" i="45"/>
  <c r="X40" i="45"/>
  <c r="N40" i="45"/>
  <c r="L40" i="45"/>
  <c r="J40" i="45"/>
  <c r="B40" i="45"/>
  <c r="X39" i="45"/>
  <c r="Z39" i="45" s="1"/>
  <c r="N39" i="45"/>
  <c r="L39" i="45"/>
  <c r="B39" i="45"/>
  <c r="Z38" i="45"/>
  <c r="X38" i="45"/>
  <c r="N38" i="45"/>
  <c r="L38" i="45"/>
  <c r="B38" i="45"/>
  <c r="T37" i="45"/>
  <c r="P37" i="45"/>
  <c r="X37" i="45" s="1"/>
  <c r="L37" i="45"/>
  <c r="N37" i="45" s="1"/>
  <c r="J37" i="45"/>
  <c r="H37" i="45"/>
  <c r="D37" i="45"/>
  <c r="B37" i="45"/>
  <c r="X36" i="45"/>
  <c r="Z36" i="45" s="1"/>
  <c r="N36" i="45"/>
  <c r="L36" i="45"/>
  <c r="J36" i="45"/>
  <c r="B36" i="45"/>
  <c r="Z35" i="45"/>
  <c r="X35" i="45"/>
  <c r="N35" i="45"/>
  <c r="L35" i="45"/>
  <c r="B35" i="45"/>
  <c r="Z34" i="45"/>
  <c r="X34" i="45"/>
  <c r="N34" i="45"/>
  <c r="L34" i="45"/>
  <c r="J34" i="45"/>
  <c r="B34" i="45"/>
  <c r="Z33" i="45"/>
  <c r="X33" i="45"/>
  <c r="N33" i="45"/>
  <c r="L33" i="45"/>
  <c r="J33" i="45"/>
  <c r="B33" i="45"/>
  <c r="Z32" i="45"/>
  <c r="X32" i="45"/>
  <c r="V32" i="45"/>
  <c r="N32" i="45"/>
  <c r="L32" i="45"/>
  <c r="J32" i="45"/>
  <c r="B32" i="45"/>
  <c r="Z31" i="45"/>
  <c r="X31" i="45"/>
  <c r="N31" i="45"/>
  <c r="L31" i="45"/>
  <c r="B31" i="45"/>
  <c r="Z30" i="45"/>
  <c r="X30" i="45"/>
  <c r="N30" i="45"/>
  <c r="L30" i="45"/>
  <c r="J30" i="45"/>
  <c r="B30" i="45"/>
  <c r="X29" i="45"/>
  <c r="Z29" i="45" s="1"/>
  <c r="N29" i="45"/>
  <c r="L29" i="45"/>
  <c r="J29" i="45"/>
  <c r="B29" i="45"/>
  <c r="X28" i="45"/>
  <c r="Z28" i="45" s="1"/>
  <c r="V28" i="45"/>
  <c r="N28" i="45"/>
  <c r="L28" i="45"/>
  <c r="J28" i="45"/>
  <c r="B28" i="45"/>
  <c r="Z27" i="45"/>
  <c r="X27" i="45"/>
  <c r="N27" i="45"/>
  <c r="L27" i="45"/>
  <c r="B27" i="45"/>
  <c r="Z26" i="45"/>
  <c r="X26" i="45"/>
  <c r="T26" i="45"/>
  <c r="P26" i="45"/>
  <c r="L26" i="45"/>
  <c r="N26" i="45" s="1"/>
  <c r="J26" i="45"/>
  <c r="H26" i="45"/>
  <c r="D26" i="45"/>
  <c r="B26" i="45"/>
  <c r="Z25" i="45"/>
  <c r="V25" i="45"/>
  <c r="T25" i="45"/>
  <c r="P25" i="45"/>
  <c r="X25" i="45" s="1"/>
  <c r="H25" i="45"/>
  <c r="D25" i="45"/>
  <c r="H23" i="45"/>
  <c r="Z21" i="45"/>
  <c r="X21" i="45"/>
  <c r="N21" i="45"/>
  <c r="L21" i="45"/>
  <c r="J21" i="45"/>
  <c r="B21" i="45"/>
  <c r="Z20" i="45"/>
  <c r="X20" i="45"/>
  <c r="V20" i="45"/>
  <c r="N20" i="45"/>
  <c r="L20" i="45"/>
  <c r="B20" i="45"/>
  <c r="X19" i="45"/>
  <c r="Z19" i="45" s="1"/>
  <c r="L19" i="45"/>
  <c r="N19" i="45" s="1"/>
  <c r="J19" i="45"/>
  <c r="B19" i="45"/>
  <c r="T18" i="45"/>
  <c r="P18" i="45"/>
  <c r="N18" i="45"/>
  <c r="J18" i="45"/>
  <c r="H18" i="45"/>
  <c r="D18" i="45"/>
  <c r="L18" i="45" s="1"/>
  <c r="Z16" i="45"/>
  <c r="P16" i="45"/>
  <c r="X16" i="45" s="1"/>
  <c r="N16" i="45"/>
  <c r="L16" i="45"/>
  <c r="D16" i="45"/>
  <c r="B16" i="45"/>
  <c r="Z15" i="45"/>
  <c r="P15" i="45"/>
  <c r="X15" i="45" s="1"/>
  <c r="N15" i="45"/>
  <c r="L15" i="45"/>
  <c r="D15" i="45"/>
  <c r="B15" i="45"/>
  <c r="X14" i="45"/>
  <c r="Z14" i="45" s="1"/>
  <c r="P14" i="45"/>
  <c r="L14" i="45"/>
  <c r="N14" i="45" s="1"/>
  <c r="D14" i="45"/>
  <c r="B14" i="45"/>
  <c r="Z13" i="45"/>
  <c r="P13" i="45"/>
  <c r="N13" i="45"/>
  <c r="D13" i="45"/>
  <c r="L13" i="45" s="1"/>
  <c r="B13" i="45"/>
  <c r="T12" i="45"/>
  <c r="V92" i="45" s="1"/>
  <c r="H12" i="45"/>
  <c r="D12" i="45"/>
  <c r="D23" i="45" s="1"/>
  <c r="D4" i="45"/>
  <c r="X126" i="42"/>
  <c r="Z126" i="42" s="1"/>
  <c r="L126" i="42"/>
  <c r="N126" i="42" s="1"/>
  <c r="Z122" i="42"/>
  <c r="P122" i="42"/>
  <c r="X122" i="42" s="1"/>
  <c r="N122" i="42"/>
  <c r="J122" i="42"/>
  <c r="D122" i="42"/>
  <c r="L122" i="42" s="1"/>
  <c r="B122" i="42"/>
  <c r="Z121" i="42"/>
  <c r="X121" i="42"/>
  <c r="P121" i="42"/>
  <c r="N121" i="42"/>
  <c r="L121" i="42"/>
  <c r="D121" i="42"/>
  <c r="B121" i="42"/>
  <c r="Z120" i="42"/>
  <c r="X120" i="42"/>
  <c r="P120" i="42"/>
  <c r="L120" i="42"/>
  <c r="N120" i="42" s="1"/>
  <c r="D120" i="42"/>
  <c r="B120" i="42"/>
  <c r="X119" i="42"/>
  <c r="Z119" i="42" s="1"/>
  <c r="P119" i="42"/>
  <c r="L119" i="42"/>
  <c r="N119" i="42" s="1"/>
  <c r="J119" i="42"/>
  <c r="D119" i="42"/>
  <c r="B119" i="42"/>
  <c r="T118" i="42"/>
  <c r="J118" i="42"/>
  <c r="H118" i="42"/>
  <c r="D118" i="42"/>
  <c r="L118" i="42" s="1"/>
  <c r="X116" i="42"/>
  <c r="Z116" i="42" s="1"/>
  <c r="N116" i="42"/>
  <c r="L116" i="42"/>
  <c r="B116" i="42"/>
  <c r="T115" i="42"/>
  <c r="P115" i="42"/>
  <c r="X115" i="42" s="1"/>
  <c r="Z115" i="42" s="1"/>
  <c r="L115" i="42"/>
  <c r="N115" i="42" s="1"/>
  <c r="H115" i="42"/>
  <c r="D115" i="42"/>
  <c r="B115" i="42"/>
  <c r="Z114" i="42"/>
  <c r="X114" i="42"/>
  <c r="N114" i="42"/>
  <c r="L114" i="42"/>
  <c r="B114" i="42"/>
  <c r="Z113" i="42"/>
  <c r="X113" i="42"/>
  <c r="V113" i="42"/>
  <c r="N113" i="42"/>
  <c r="L113" i="42"/>
  <c r="B113" i="42"/>
  <c r="Z112" i="42"/>
  <c r="X112" i="42"/>
  <c r="L112" i="42"/>
  <c r="N112" i="42" s="1"/>
  <c r="B112" i="42"/>
  <c r="T111" i="42"/>
  <c r="P111" i="42"/>
  <c r="L111" i="42"/>
  <c r="N111" i="42" s="1"/>
  <c r="H111" i="42"/>
  <c r="D111" i="42"/>
  <c r="B111" i="42"/>
  <c r="Z110" i="42"/>
  <c r="X110" i="42"/>
  <c r="L110" i="42"/>
  <c r="N110" i="42" s="1"/>
  <c r="J110" i="42"/>
  <c r="B110" i="42"/>
  <c r="T109" i="42"/>
  <c r="P109" i="42"/>
  <c r="H109" i="42"/>
  <c r="D109" i="42"/>
  <c r="L109" i="42" s="1"/>
  <c r="B109" i="42"/>
  <c r="X108" i="42"/>
  <c r="Z108" i="42" s="1"/>
  <c r="N108" i="42"/>
  <c r="L108" i="42"/>
  <c r="B108" i="42"/>
  <c r="Z107" i="42"/>
  <c r="X107" i="42"/>
  <c r="L107" i="42"/>
  <c r="N107" i="42" s="1"/>
  <c r="B107" i="42"/>
  <c r="V106" i="42"/>
  <c r="T106" i="42"/>
  <c r="P106" i="42"/>
  <c r="L106" i="42"/>
  <c r="N106" i="42" s="1"/>
  <c r="H106" i="42"/>
  <c r="D106" i="42"/>
  <c r="B106" i="42"/>
  <c r="X105" i="42"/>
  <c r="Z105" i="42" s="1"/>
  <c r="N105" i="42"/>
  <c r="L105" i="42"/>
  <c r="J105" i="42"/>
  <c r="B105" i="42"/>
  <c r="Z104" i="42"/>
  <c r="X104" i="42"/>
  <c r="N104" i="42"/>
  <c r="L104" i="42"/>
  <c r="B104" i="42"/>
  <c r="X103" i="42"/>
  <c r="Z103" i="42" s="1"/>
  <c r="L103" i="42"/>
  <c r="N103" i="42" s="1"/>
  <c r="B103" i="42"/>
  <c r="X102" i="42"/>
  <c r="Z102" i="42" s="1"/>
  <c r="N102" i="42"/>
  <c r="L102" i="42"/>
  <c r="B102" i="42"/>
  <c r="X101" i="42"/>
  <c r="Z101" i="42" s="1"/>
  <c r="N101" i="42"/>
  <c r="L101" i="42"/>
  <c r="B101" i="42"/>
  <c r="Z100" i="42"/>
  <c r="X100" i="42"/>
  <c r="L100" i="42"/>
  <c r="N100" i="42" s="1"/>
  <c r="B100" i="42"/>
  <c r="Z99" i="42"/>
  <c r="X99" i="42"/>
  <c r="N99" i="42"/>
  <c r="L99" i="42"/>
  <c r="B99" i="42"/>
  <c r="X98" i="42"/>
  <c r="Z98" i="42" s="1"/>
  <c r="N98" i="42"/>
  <c r="L98" i="42"/>
  <c r="J98" i="42"/>
  <c r="B98" i="42"/>
  <c r="X97" i="42"/>
  <c r="Z97" i="42" s="1"/>
  <c r="N97" i="42"/>
  <c r="L97" i="42"/>
  <c r="B97" i="42"/>
  <c r="Z96" i="42"/>
  <c r="X96" i="42"/>
  <c r="L96" i="42"/>
  <c r="N96" i="42" s="1"/>
  <c r="B96" i="42"/>
  <c r="Z95" i="42"/>
  <c r="T95" i="42"/>
  <c r="X95" i="42" s="1"/>
  <c r="P95" i="42"/>
  <c r="L95" i="42"/>
  <c r="N95" i="42" s="1"/>
  <c r="H95" i="42"/>
  <c r="D95" i="42"/>
  <c r="B95" i="42"/>
  <c r="Z94" i="42"/>
  <c r="X94" i="42"/>
  <c r="L94" i="42"/>
  <c r="N94" i="42" s="1"/>
  <c r="B94" i="42"/>
  <c r="T93" i="42"/>
  <c r="P93" i="42"/>
  <c r="X93" i="42" s="1"/>
  <c r="Z93" i="42" s="1"/>
  <c r="H93" i="42"/>
  <c r="D93" i="42"/>
  <c r="L93" i="42" s="1"/>
  <c r="B93" i="42"/>
  <c r="X92" i="42"/>
  <c r="Z92" i="42" s="1"/>
  <c r="N92" i="42"/>
  <c r="L92" i="42"/>
  <c r="B92" i="42"/>
  <c r="Z91" i="42"/>
  <c r="X91" i="42"/>
  <c r="V91" i="42"/>
  <c r="N91" i="42"/>
  <c r="L91" i="42"/>
  <c r="B91" i="42"/>
  <c r="X90" i="42"/>
  <c r="Z90" i="42" s="1"/>
  <c r="L90" i="42"/>
  <c r="N90" i="42" s="1"/>
  <c r="B90" i="42"/>
  <c r="X89" i="42"/>
  <c r="Z89" i="42" s="1"/>
  <c r="L89" i="42"/>
  <c r="N89" i="42" s="1"/>
  <c r="J89" i="42"/>
  <c r="B89" i="42"/>
  <c r="X88" i="42"/>
  <c r="Z88" i="42" s="1"/>
  <c r="V88" i="42"/>
  <c r="N88" i="42"/>
  <c r="L88" i="42"/>
  <c r="B88" i="42"/>
  <c r="T87" i="42"/>
  <c r="P87" i="42"/>
  <c r="X87" i="42" s="1"/>
  <c r="Z87" i="42" s="1"/>
  <c r="L87" i="42"/>
  <c r="H87" i="42"/>
  <c r="N87" i="42" s="1"/>
  <c r="D87" i="42"/>
  <c r="B87" i="42"/>
  <c r="X86" i="42"/>
  <c r="Z86" i="42" s="1"/>
  <c r="N86" i="42"/>
  <c r="L86" i="42"/>
  <c r="B86" i="42"/>
  <c r="Z85" i="42"/>
  <c r="X85" i="42"/>
  <c r="N85" i="42"/>
  <c r="L85" i="42"/>
  <c r="B85" i="42"/>
  <c r="T84" i="42"/>
  <c r="P84" i="42"/>
  <c r="X84" i="42" s="1"/>
  <c r="Z84" i="42" s="1"/>
  <c r="L84" i="42"/>
  <c r="H84" i="42"/>
  <c r="D84" i="42"/>
  <c r="B84" i="42"/>
  <c r="X83" i="42"/>
  <c r="Z83" i="42" s="1"/>
  <c r="N83" i="42"/>
  <c r="L83" i="42"/>
  <c r="B83" i="42"/>
  <c r="Z82" i="42"/>
  <c r="X82" i="42"/>
  <c r="V82" i="42"/>
  <c r="L82" i="42"/>
  <c r="N82" i="42" s="1"/>
  <c r="B82" i="42"/>
  <c r="Z81" i="42"/>
  <c r="X81" i="42"/>
  <c r="L81" i="42"/>
  <c r="N81" i="42" s="1"/>
  <c r="B81" i="42"/>
  <c r="X80" i="42"/>
  <c r="Z80" i="42" s="1"/>
  <c r="L80" i="42"/>
  <c r="N80" i="42" s="1"/>
  <c r="B80" i="42"/>
  <c r="T79" i="42"/>
  <c r="P79" i="42"/>
  <c r="H79" i="42"/>
  <c r="N79" i="42" s="1"/>
  <c r="D79" i="42"/>
  <c r="L79" i="42" s="1"/>
  <c r="B79" i="42"/>
  <c r="X78" i="42"/>
  <c r="Z78" i="42" s="1"/>
  <c r="L78" i="42"/>
  <c r="N78" i="42" s="1"/>
  <c r="B78" i="42"/>
  <c r="T77" i="42"/>
  <c r="Z77" i="42" s="1"/>
  <c r="P77" i="42"/>
  <c r="X77" i="42" s="1"/>
  <c r="N77" i="42"/>
  <c r="J77" i="42"/>
  <c r="H77" i="42"/>
  <c r="D77" i="42"/>
  <c r="L77" i="42" s="1"/>
  <c r="B77" i="42"/>
  <c r="Z76" i="42"/>
  <c r="X76" i="42"/>
  <c r="L76" i="42"/>
  <c r="N76" i="42" s="1"/>
  <c r="B76" i="42"/>
  <c r="Z75" i="42"/>
  <c r="X75" i="42"/>
  <c r="T75" i="42"/>
  <c r="P75" i="42"/>
  <c r="H75" i="42"/>
  <c r="D75" i="42"/>
  <c r="L75" i="42" s="1"/>
  <c r="N75" i="42" s="1"/>
  <c r="B75" i="42"/>
  <c r="Z74" i="42"/>
  <c r="X74" i="42"/>
  <c r="L74" i="42"/>
  <c r="N74" i="42" s="1"/>
  <c r="J74" i="42"/>
  <c r="B74" i="42"/>
  <c r="V73" i="42"/>
  <c r="T73" i="42"/>
  <c r="P73" i="42"/>
  <c r="H73" i="42"/>
  <c r="D73" i="42"/>
  <c r="B73" i="42"/>
  <c r="Z72" i="42"/>
  <c r="X72" i="42"/>
  <c r="N72" i="42"/>
  <c r="L72" i="42"/>
  <c r="B72" i="42"/>
  <c r="Z71" i="42"/>
  <c r="X71" i="42"/>
  <c r="N71" i="42"/>
  <c r="L71" i="42"/>
  <c r="B71" i="42"/>
  <c r="T70" i="42"/>
  <c r="P70" i="42"/>
  <c r="X70" i="42" s="1"/>
  <c r="N70" i="42"/>
  <c r="L70" i="42"/>
  <c r="H70" i="42"/>
  <c r="D70" i="42"/>
  <c r="B70" i="42"/>
  <c r="X69" i="42"/>
  <c r="Z69" i="42" s="1"/>
  <c r="N69" i="42"/>
  <c r="L69" i="42"/>
  <c r="J69" i="42"/>
  <c r="B69" i="42"/>
  <c r="T68" i="42"/>
  <c r="P68" i="42"/>
  <c r="H68" i="42"/>
  <c r="D68" i="42"/>
  <c r="B68" i="42"/>
  <c r="Z67" i="42"/>
  <c r="X67" i="42"/>
  <c r="N67" i="42"/>
  <c r="L67" i="42"/>
  <c r="B67" i="42"/>
  <c r="V66" i="42"/>
  <c r="T66" i="42"/>
  <c r="P66" i="42"/>
  <c r="X66" i="42" s="1"/>
  <c r="Z66" i="42" s="1"/>
  <c r="J66" i="42"/>
  <c r="H66" i="42"/>
  <c r="N66" i="42" s="1"/>
  <c r="D66" i="42"/>
  <c r="L66" i="42" s="1"/>
  <c r="B66" i="42"/>
  <c r="X65" i="42"/>
  <c r="Z65" i="42" s="1"/>
  <c r="N65" i="42"/>
  <c r="L65" i="42"/>
  <c r="J65" i="42"/>
  <c r="B65" i="42"/>
  <c r="X64" i="42"/>
  <c r="Z64" i="42" s="1"/>
  <c r="N64" i="42"/>
  <c r="L64" i="42"/>
  <c r="B64" i="42"/>
  <c r="X63" i="42"/>
  <c r="Z63" i="42" s="1"/>
  <c r="N63" i="42"/>
  <c r="L63" i="42"/>
  <c r="B63" i="42"/>
  <c r="X62" i="42"/>
  <c r="Z62" i="42" s="1"/>
  <c r="L62" i="42"/>
  <c r="N62" i="42" s="1"/>
  <c r="J62" i="42"/>
  <c r="B62" i="42"/>
  <c r="T61" i="42"/>
  <c r="P61" i="42"/>
  <c r="X61" i="42" s="1"/>
  <c r="Z61" i="42" s="1"/>
  <c r="H61" i="42"/>
  <c r="D61" i="42"/>
  <c r="L61" i="42" s="1"/>
  <c r="B61" i="42"/>
  <c r="Z60" i="42"/>
  <c r="X60" i="42"/>
  <c r="N60" i="42"/>
  <c r="L60" i="42"/>
  <c r="B60" i="42"/>
  <c r="T59" i="42"/>
  <c r="P59" i="42"/>
  <c r="H59" i="42"/>
  <c r="D59" i="42"/>
  <c r="L59" i="42" s="1"/>
  <c r="N59" i="42" s="1"/>
  <c r="B59" i="42"/>
  <c r="Z58" i="42"/>
  <c r="X58" i="42"/>
  <c r="V58" i="42"/>
  <c r="L58" i="42"/>
  <c r="N58" i="42" s="1"/>
  <c r="J58" i="42"/>
  <c r="B58" i="42"/>
  <c r="T57" i="42"/>
  <c r="Z57" i="42" s="1"/>
  <c r="P57" i="42"/>
  <c r="X57" i="42" s="1"/>
  <c r="J57" i="42"/>
  <c r="H57" i="42"/>
  <c r="D57" i="42"/>
  <c r="L57" i="42" s="1"/>
  <c r="B57" i="42"/>
  <c r="Z56" i="42"/>
  <c r="X56" i="42"/>
  <c r="N56" i="42"/>
  <c r="L56" i="42"/>
  <c r="B56" i="42"/>
  <c r="T55" i="42"/>
  <c r="P55" i="42"/>
  <c r="H55" i="42"/>
  <c r="D55" i="42"/>
  <c r="L55" i="42" s="1"/>
  <c r="N55" i="42" s="1"/>
  <c r="B55" i="42"/>
  <c r="Z54" i="42"/>
  <c r="X54" i="42"/>
  <c r="N54" i="42"/>
  <c r="L54" i="42"/>
  <c r="J54" i="42"/>
  <c r="B54" i="42"/>
  <c r="Z53" i="42"/>
  <c r="X53" i="42"/>
  <c r="V53" i="42"/>
  <c r="N53" i="42"/>
  <c r="L53" i="42"/>
  <c r="B53" i="42"/>
  <c r="Z52" i="42"/>
  <c r="X52" i="42"/>
  <c r="N52" i="42"/>
  <c r="L52" i="42"/>
  <c r="J52" i="42"/>
  <c r="B52" i="42"/>
  <c r="Z51" i="42"/>
  <c r="X51" i="42"/>
  <c r="N51" i="42"/>
  <c r="L51" i="42"/>
  <c r="J51" i="42"/>
  <c r="B51" i="42"/>
  <c r="Z50" i="42"/>
  <c r="X50" i="42"/>
  <c r="N50" i="42"/>
  <c r="L50" i="42"/>
  <c r="J50" i="42"/>
  <c r="B50" i="42"/>
  <c r="X49" i="42"/>
  <c r="Z49" i="42" s="1"/>
  <c r="L49" i="42"/>
  <c r="N49" i="42" s="1"/>
  <c r="B49" i="42"/>
  <c r="Z48" i="42"/>
  <c r="X48" i="42"/>
  <c r="L48" i="42"/>
  <c r="N48" i="42" s="1"/>
  <c r="J48" i="42"/>
  <c r="B48" i="42"/>
  <c r="Z47" i="42"/>
  <c r="X47" i="42"/>
  <c r="N47" i="42"/>
  <c r="L47" i="42"/>
  <c r="J47" i="42"/>
  <c r="B47" i="42"/>
  <c r="X46" i="42"/>
  <c r="Z46" i="42" s="1"/>
  <c r="V46" i="42"/>
  <c r="L46" i="42"/>
  <c r="N46" i="42" s="1"/>
  <c r="J46" i="42"/>
  <c r="B46" i="42"/>
  <c r="X45" i="42"/>
  <c r="Z45" i="42" s="1"/>
  <c r="N45" i="42"/>
  <c r="L45" i="42"/>
  <c r="B45" i="42"/>
  <c r="T44" i="42"/>
  <c r="P44" i="42"/>
  <c r="X44" i="42" s="1"/>
  <c r="L44" i="42"/>
  <c r="N44" i="42" s="1"/>
  <c r="J44" i="42"/>
  <c r="H44" i="42"/>
  <c r="D44" i="42"/>
  <c r="B44" i="42"/>
  <c r="Z43" i="42"/>
  <c r="X43" i="42"/>
  <c r="L43" i="42"/>
  <c r="N43" i="42" s="1"/>
  <c r="J43" i="42"/>
  <c r="B43" i="42"/>
  <c r="X42" i="42"/>
  <c r="Z42" i="42" s="1"/>
  <c r="L42" i="42"/>
  <c r="N42" i="42" s="1"/>
  <c r="J42" i="42"/>
  <c r="B42" i="42"/>
  <c r="X41" i="42"/>
  <c r="Z41" i="42" s="1"/>
  <c r="N41" i="42"/>
  <c r="L41" i="42"/>
  <c r="B41" i="42"/>
  <c r="Z40" i="42"/>
  <c r="X40" i="42"/>
  <c r="N40" i="42"/>
  <c r="L40" i="42"/>
  <c r="B40" i="42"/>
  <c r="Z39" i="42"/>
  <c r="X39" i="42"/>
  <c r="N39" i="42"/>
  <c r="L39" i="42"/>
  <c r="J39" i="42"/>
  <c r="B39" i="42"/>
  <c r="X38" i="42"/>
  <c r="Z38" i="42" s="1"/>
  <c r="L38" i="42"/>
  <c r="N38" i="42" s="1"/>
  <c r="J38" i="42"/>
  <c r="B38" i="42"/>
  <c r="Z37" i="42"/>
  <c r="X37" i="42"/>
  <c r="N37" i="42"/>
  <c r="L37" i="42"/>
  <c r="B37" i="42"/>
  <c r="Z36" i="42"/>
  <c r="X36" i="42"/>
  <c r="N36" i="42"/>
  <c r="L36" i="42"/>
  <c r="B36" i="42"/>
  <c r="Z35" i="42"/>
  <c r="X35" i="42"/>
  <c r="L35" i="42"/>
  <c r="N35" i="42" s="1"/>
  <c r="J35" i="42"/>
  <c r="B35" i="42"/>
  <c r="X34" i="42"/>
  <c r="Z34" i="42" s="1"/>
  <c r="L34" i="42"/>
  <c r="N34" i="42" s="1"/>
  <c r="J34" i="42"/>
  <c r="B34" i="42"/>
  <c r="X33" i="42"/>
  <c r="Z33" i="42" s="1"/>
  <c r="T33" i="42"/>
  <c r="P33" i="42"/>
  <c r="H33" i="42"/>
  <c r="D33" i="42"/>
  <c r="B33" i="42"/>
  <c r="Z32" i="42"/>
  <c r="T32" i="42"/>
  <c r="P32" i="42"/>
  <c r="X32" i="42" s="1"/>
  <c r="H32" i="42"/>
  <c r="D32" i="42"/>
  <c r="L32" i="42" s="1"/>
  <c r="J30" i="42"/>
  <c r="H30" i="42"/>
  <c r="Z28" i="42"/>
  <c r="X28" i="42"/>
  <c r="N28" i="42"/>
  <c r="L28" i="42"/>
  <c r="B28" i="42"/>
  <c r="Z27" i="42"/>
  <c r="X27" i="42"/>
  <c r="V27" i="42"/>
  <c r="N27" i="42"/>
  <c r="L27" i="42"/>
  <c r="J27" i="42"/>
  <c r="B27" i="42"/>
  <c r="X26" i="42"/>
  <c r="Z26" i="42" s="1"/>
  <c r="L26" i="42"/>
  <c r="N26" i="42" s="1"/>
  <c r="J26" i="42"/>
  <c r="B26" i="42"/>
  <c r="T25" i="42"/>
  <c r="P25" i="42"/>
  <c r="X25" i="42" s="1"/>
  <c r="Z25" i="42" s="1"/>
  <c r="L25" i="42"/>
  <c r="N25" i="42" s="1"/>
  <c r="J25" i="42"/>
  <c r="H25" i="42"/>
  <c r="D25" i="42"/>
  <c r="Z23" i="42"/>
  <c r="P23" i="42"/>
  <c r="X23" i="42" s="1"/>
  <c r="N23" i="42"/>
  <c r="D23" i="42"/>
  <c r="L23" i="42" s="1"/>
  <c r="B23" i="42"/>
  <c r="Z22" i="42"/>
  <c r="X22" i="42"/>
  <c r="P22" i="42"/>
  <c r="N22" i="42"/>
  <c r="D22" i="42"/>
  <c r="L22" i="42" s="1"/>
  <c r="B22" i="42"/>
  <c r="Z21" i="42"/>
  <c r="P21" i="42"/>
  <c r="X21" i="42" s="1"/>
  <c r="N21" i="42"/>
  <c r="D21" i="42"/>
  <c r="L21" i="42" s="1"/>
  <c r="B21" i="42"/>
  <c r="Z20" i="42"/>
  <c r="X20" i="42"/>
  <c r="P20" i="42"/>
  <c r="N20" i="42"/>
  <c r="L20" i="42"/>
  <c r="D20" i="42"/>
  <c r="B20" i="42"/>
  <c r="P19" i="42"/>
  <c r="X19" i="42" s="1"/>
  <c r="Z19" i="42" s="1"/>
  <c r="D19" i="42"/>
  <c r="L19" i="42" s="1"/>
  <c r="N19" i="42" s="1"/>
  <c r="B19" i="42"/>
  <c r="Z18" i="42"/>
  <c r="X18" i="42"/>
  <c r="P18" i="42"/>
  <c r="N18" i="42"/>
  <c r="D18" i="42"/>
  <c r="L18" i="42" s="1"/>
  <c r="B18" i="42"/>
  <c r="Z17" i="42"/>
  <c r="P17" i="42"/>
  <c r="N17" i="42"/>
  <c r="L17" i="42"/>
  <c r="D17" i="42"/>
  <c r="B17" i="42"/>
  <c r="Z16" i="42"/>
  <c r="X16" i="42"/>
  <c r="P16" i="42"/>
  <c r="N16" i="42"/>
  <c r="D16" i="42"/>
  <c r="L16" i="42" s="1"/>
  <c r="B16" i="42"/>
  <c r="Z15" i="42"/>
  <c r="X15" i="42"/>
  <c r="P15" i="42"/>
  <c r="N15" i="42"/>
  <c r="L15" i="42"/>
  <c r="D15" i="42"/>
  <c r="B15" i="42"/>
  <c r="Z14" i="42"/>
  <c r="P14" i="42"/>
  <c r="X14" i="42" s="1"/>
  <c r="N14" i="42"/>
  <c r="D14" i="42"/>
  <c r="B14" i="42"/>
  <c r="P13" i="42"/>
  <c r="X13" i="42" s="1"/>
  <c r="Z13" i="42" s="1"/>
  <c r="L13" i="42"/>
  <c r="N13" i="42" s="1"/>
  <c r="D13" i="42"/>
  <c r="B13" i="42"/>
  <c r="T12" i="42"/>
  <c r="V85" i="42" s="1"/>
  <c r="H12" i="42"/>
  <c r="D4" i="42"/>
  <c r="X139" i="39"/>
  <c r="Z139" i="39" s="1"/>
  <c r="V139" i="39"/>
  <c r="L139" i="39"/>
  <c r="N139" i="39" s="1"/>
  <c r="Z135" i="39"/>
  <c r="P135" i="39"/>
  <c r="X135" i="39" s="1"/>
  <c r="N135" i="39"/>
  <c r="L135" i="39"/>
  <c r="D135" i="39"/>
  <c r="B135" i="39"/>
  <c r="Z134" i="39"/>
  <c r="X134" i="39"/>
  <c r="P134" i="39"/>
  <c r="N134" i="39"/>
  <c r="L134" i="39"/>
  <c r="J134" i="39"/>
  <c r="D134" i="39"/>
  <c r="B134" i="39"/>
  <c r="P133" i="39"/>
  <c r="X133" i="39" s="1"/>
  <c r="Z133" i="39" s="1"/>
  <c r="D133" i="39"/>
  <c r="L133" i="39" s="1"/>
  <c r="N133" i="39" s="1"/>
  <c r="B133" i="39"/>
  <c r="P132" i="39"/>
  <c r="X132" i="39" s="1"/>
  <c r="Z132" i="39" s="1"/>
  <c r="D132" i="39"/>
  <c r="B132" i="39"/>
  <c r="T131" i="39"/>
  <c r="H131" i="39"/>
  <c r="X129" i="39"/>
  <c r="Z129" i="39" s="1"/>
  <c r="N129" i="39"/>
  <c r="L129" i="39"/>
  <c r="B129" i="39"/>
  <c r="X128" i="39"/>
  <c r="Z128" i="39" s="1"/>
  <c r="V128" i="39"/>
  <c r="T128" i="39"/>
  <c r="P128" i="39"/>
  <c r="L128" i="39"/>
  <c r="H128" i="39"/>
  <c r="N128" i="39" s="1"/>
  <c r="D128" i="39"/>
  <c r="B128" i="39"/>
  <c r="Z127" i="39"/>
  <c r="X127" i="39"/>
  <c r="V127" i="39"/>
  <c r="N127" i="39"/>
  <c r="L127" i="39"/>
  <c r="B127" i="39"/>
  <c r="Z126" i="39"/>
  <c r="X126" i="39"/>
  <c r="V126" i="39"/>
  <c r="N126" i="39"/>
  <c r="L126" i="39"/>
  <c r="B126" i="39"/>
  <c r="Z125" i="39"/>
  <c r="X125" i="39"/>
  <c r="L125" i="39"/>
  <c r="N125" i="39" s="1"/>
  <c r="B125" i="39"/>
  <c r="T124" i="39"/>
  <c r="P124" i="39"/>
  <c r="X124" i="39" s="1"/>
  <c r="Z124" i="39" s="1"/>
  <c r="H124" i="39"/>
  <c r="D124" i="39"/>
  <c r="B124" i="39"/>
  <c r="X123" i="39"/>
  <c r="Z123" i="39" s="1"/>
  <c r="N123" i="39"/>
  <c r="L123" i="39"/>
  <c r="B123" i="39"/>
  <c r="X122" i="39"/>
  <c r="Z122" i="39" s="1"/>
  <c r="V122" i="39"/>
  <c r="T122" i="39"/>
  <c r="P122" i="39"/>
  <c r="H122" i="39"/>
  <c r="N122" i="39" s="1"/>
  <c r="D122" i="39"/>
  <c r="L122" i="39" s="1"/>
  <c r="B122" i="39"/>
  <c r="Z121" i="39"/>
  <c r="X121" i="39"/>
  <c r="N121" i="39"/>
  <c r="L121" i="39"/>
  <c r="B121" i="39"/>
  <c r="X120" i="39"/>
  <c r="Z120" i="39" s="1"/>
  <c r="V120" i="39"/>
  <c r="N120" i="39"/>
  <c r="L120" i="39"/>
  <c r="B120" i="39"/>
  <c r="T119" i="39"/>
  <c r="P119" i="39"/>
  <c r="L119" i="39"/>
  <c r="N119" i="39" s="1"/>
  <c r="H119" i="39"/>
  <c r="D119" i="39"/>
  <c r="B119" i="39"/>
  <c r="X118" i="39"/>
  <c r="Z118" i="39" s="1"/>
  <c r="V118" i="39"/>
  <c r="L118" i="39"/>
  <c r="N118" i="39" s="1"/>
  <c r="B118" i="39"/>
  <c r="Z117" i="39"/>
  <c r="X117" i="39"/>
  <c r="L117" i="39"/>
  <c r="N117" i="39" s="1"/>
  <c r="B117" i="39"/>
  <c r="Z116" i="39"/>
  <c r="X116" i="39"/>
  <c r="N116" i="39"/>
  <c r="L116" i="39"/>
  <c r="B116" i="39"/>
  <c r="Z115" i="39"/>
  <c r="X115" i="39"/>
  <c r="V115" i="39"/>
  <c r="L115" i="39"/>
  <c r="N115" i="39" s="1"/>
  <c r="B115" i="39"/>
  <c r="X114" i="39"/>
  <c r="Z114" i="39" s="1"/>
  <c r="V114" i="39"/>
  <c r="L114" i="39"/>
  <c r="N114" i="39" s="1"/>
  <c r="B114" i="39"/>
  <c r="Z113" i="39"/>
  <c r="X113" i="39"/>
  <c r="L113" i="39"/>
  <c r="N113" i="39" s="1"/>
  <c r="B113" i="39"/>
  <c r="Z112" i="39"/>
  <c r="X112" i="39"/>
  <c r="N112" i="39"/>
  <c r="L112" i="39"/>
  <c r="B112" i="39"/>
  <c r="Z111" i="39"/>
  <c r="X111" i="39"/>
  <c r="V111" i="39"/>
  <c r="L111" i="39"/>
  <c r="N111" i="39" s="1"/>
  <c r="B111" i="39"/>
  <c r="X110" i="39"/>
  <c r="Z110" i="39" s="1"/>
  <c r="V110" i="39"/>
  <c r="L110" i="39"/>
  <c r="N110" i="39" s="1"/>
  <c r="B110" i="39"/>
  <c r="Z109" i="39"/>
  <c r="X109" i="39"/>
  <c r="L109" i="39"/>
  <c r="N109" i="39" s="1"/>
  <c r="B109" i="39"/>
  <c r="T108" i="39"/>
  <c r="P108" i="39"/>
  <c r="X108" i="39" s="1"/>
  <c r="Z108" i="39" s="1"/>
  <c r="H108" i="39"/>
  <c r="D108" i="39"/>
  <c r="B108" i="39"/>
  <c r="X107" i="39"/>
  <c r="Z107" i="39" s="1"/>
  <c r="N107" i="39"/>
  <c r="L107" i="39"/>
  <c r="B107" i="39"/>
  <c r="X106" i="39"/>
  <c r="Z106" i="39" s="1"/>
  <c r="V106" i="39"/>
  <c r="T106" i="39"/>
  <c r="P106" i="39"/>
  <c r="H106" i="39"/>
  <c r="D106" i="39"/>
  <c r="L106" i="39" s="1"/>
  <c r="B106" i="39"/>
  <c r="Z105" i="39"/>
  <c r="X105" i="39"/>
  <c r="N105" i="39"/>
  <c r="L105" i="39"/>
  <c r="B105" i="39"/>
  <c r="Z104" i="39"/>
  <c r="X104" i="39"/>
  <c r="V104" i="39"/>
  <c r="N104" i="39"/>
  <c r="L104" i="39"/>
  <c r="B104" i="39"/>
  <c r="Z103" i="39"/>
  <c r="X103" i="39"/>
  <c r="L103" i="39"/>
  <c r="N103" i="39" s="1"/>
  <c r="B103" i="39"/>
  <c r="X102" i="39"/>
  <c r="Z102" i="39" s="1"/>
  <c r="L102" i="39"/>
  <c r="N102" i="39" s="1"/>
  <c r="F102" i="39"/>
  <c r="B102" i="39"/>
  <c r="Z101" i="39"/>
  <c r="X101" i="39"/>
  <c r="N101" i="39"/>
  <c r="L101" i="39"/>
  <c r="B101" i="39"/>
  <c r="Z100" i="39"/>
  <c r="X100" i="39"/>
  <c r="V100" i="39"/>
  <c r="N100" i="39"/>
  <c r="L100" i="39"/>
  <c r="B100" i="39"/>
  <c r="T99" i="39"/>
  <c r="P99" i="39"/>
  <c r="L99" i="39"/>
  <c r="N99" i="39" s="1"/>
  <c r="H99" i="39"/>
  <c r="D99" i="39"/>
  <c r="B99" i="39"/>
  <c r="X98" i="39"/>
  <c r="Z98" i="39" s="1"/>
  <c r="V98" i="39"/>
  <c r="N98" i="39"/>
  <c r="L98" i="39"/>
  <c r="B98" i="39"/>
  <c r="Z97" i="39"/>
  <c r="X97" i="39"/>
  <c r="L97" i="39"/>
  <c r="N97" i="39" s="1"/>
  <c r="B97" i="39"/>
  <c r="Z96" i="39"/>
  <c r="T96" i="39"/>
  <c r="P96" i="39"/>
  <c r="X96" i="39" s="1"/>
  <c r="H96" i="39"/>
  <c r="D96" i="39"/>
  <c r="L96" i="39" s="1"/>
  <c r="B96" i="39"/>
  <c r="X95" i="39"/>
  <c r="Z95" i="39" s="1"/>
  <c r="N95" i="39"/>
  <c r="L95" i="39"/>
  <c r="B95" i="39"/>
  <c r="Z94" i="39"/>
  <c r="X94" i="39"/>
  <c r="V94" i="39"/>
  <c r="L94" i="39"/>
  <c r="N94" i="39" s="1"/>
  <c r="B94" i="39"/>
  <c r="X93" i="39"/>
  <c r="Z93" i="39" s="1"/>
  <c r="V93" i="39"/>
  <c r="L93" i="39"/>
  <c r="N93" i="39" s="1"/>
  <c r="B93" i="39"/>
  <c r="X92" i="39"/>
  <c r="Z92" i="39" s="1"/>
  <c r="L92" i="39"/>
  <c r="N92" i="39" s="1"/>
  <c r="B92" i="39"/>
  <c r="T91" i="39"/>
  <c r="P91" i="39"/>
  <c r="X91" i="39" s="1"/>
  <c r="H91" i="39"/>
  <c r="D91" i="39"/>
  <c r="L91" i="39" s="1"/>
  <c r="B91" i="39"/>
  <c r="X90" i="39"/>
  <c r="Z90" i="39" s="1"/>
  <c r="L90" i="39"/>
  <c r="N90" i="39" s="1"/>
  <c r="B90" i="39"/>
  <c r="Z89" i="39"/>
  <c r="X89" i="39"/>
  <c r="T89" i="39"/>
  <c r="P89" i="39"/>
  <c r="H89" i="39"/>
  <c r="D89" i="39"/>
  <c r="L89" i="39" s="1"/>
  <c r="B89" i="39"/>
  <c r="Z88" i="39"/>
  <c r="X88" i="39"/>
  <c r="N88" i="39"/>
  <c r="L88" i="39"/>
  <c r="B88" i="39"/>
  <c r="T87" i="39"/>
  <c r="Z87" i="39" s="1"/>
  <c r="P87" i="39"/>
  <c r="N87" i="39"/>
  <c r="H87" i="39"/>
  <c r="D87" i="39"/>
  <c r="L87" i="39" s="1"/>
  <c r="B87" i="39"/>
  <c r="X86" i="39"/>
  <c r="Z86" i="39" s="1"/>
  <c r="V86" i="39"/>
  <c r="L86" i="39"/>
  <c r="N86" i="39" s="1"/>
  <c r="B86" i="39"/>
  <c r="T85" i="39"/>
  <c r="P85" i="39"/>
  <c r="H85" i="39"/>
  <c r="N85" i="39" s="1"/>
  <c r="D85" i="39"/>
  <c r="L85" i="39" s="1"/>
  <c r="B85" i="39"/>
  <c r="X84" i="39"/>
  <c r="Z84" i="39" s="1"/>
  <c r="V84" i="39"/>
  <c r="N84" i="39"/>
  <c r="L84" i="39"/>
  <c r="B84" i="39"/>
  <c r="T83" i="39"/>
  <c r="P83" i="39"/>
  <c r="N83" i="39"/>
  <c r="L83" i="39"/>
  <c r="H83" i="39"/>
  <c r="D83" i="39"/>
  <c r="B83" i="39"/>
  <c r="X82" i="39"/>
  <c r="Z82" i="39" s="1"/>
  <c r="V82" i="39"/>
  <c r="N82" i="39"/>
  <c r="L82" i="39"/>
  <c r="J82" i="39"/>
  <c r="B82" i="39"/>
  <c r="Z81" i="39"/>
  <c r="X81" i="39"/>
  <c r="L81" i="39"/>
  <c r="N81" i="39" s="1"/>
  <c r="B81" i="39"/>
  <c r="T80" i="39"/>
  <c r="P80" i="39"/>
  <c r="X80" i="39" s="1"/>
  <c r="Z80" i="39" s="1"/>
  <c r="H80" i="39"/>
  <c r="D80" i="39"/>
  <c r="B80" i="39"/>
  <c r="Z79" i="39"/>
  <c r="X79" i="39"/>
  <c r="N79" i="39"/>
  <c r="L79" i="39"/>
  <c r="B79" i="39"/>
  <c r="Z78" i="39"/>
  <c r="X78" i="39"/>
  <c r="V78" i="39"/>
  <c r="T78" i="39"/>
  <c r="P78" i="39"/>
  <c r="H78" i="39"/>
  <c r="N78" i="39" s="1"/>
  <c r="D78" i="39"/>
  <c r="L78" i="39" s="1"/>
  <c r="B78" i="39"/>
  <c r="X77" i="39"/>
  <c r="Z77" i="39" s="1"/>
  <c r="N77" i="39"/>
  <c r="L77" i="39"/>
  <c r="B77" i="39"/>
  <c r="Z76" i="39"/>
  <c r="X76" i="39"/>
  <c r="V76" i="39"/>
  <c r="T76" i="39"/>
  <c r="P76" i="39"/>
  <c r="L76" i="39"/>
  <c r="H76" i="39"/>
  <c r="N76" i="39" s="1"/>
  <c r="D76" i="39"/>
  <c r="B76" i="39"/>
  <c r="X75" i="39"/>
  <c r="Z75" i="39" s="1"/>
  <c r="V75" i="39"/>
  <c r="L75" i="39"/>
  <c r="N75" i="39" s="1"/>
  <c r="B75" i="39"/>
  <c r="T74" i="39"/>
  <c r="P74" i="39"/>
  <c r="H74" i="39"/>
  <c r="D74" i="39"/>
  <c r="L74" i="39" s="1"/>
  <c r="N74" i="39" s="1"/>
  <c r="B74" i="39"/>
  <c r="Z73" i="39"/>
  <c r="X73" i="39"/>
  <c r="V73" i="39"/>
  <c r="N73" i="39"/>
  <c r="L73" i="39"/>
  <c r="B73" i="39"/>
  <c r="T72" i="39"/>
  <c r="Z72" i="39" s="1"/>
  <c r="P72" i="39"/>
  <c r="X72" i="39" s="1"/>
  <c r="N72" i="39"/>
  <c r="L72" i="39"/>
  <c r="H72" i="39"/>
  <c r="D72" i="39"/>
  <c r="B72" i="39"/>
  <c r="Z71" i="39"/>
  <c r="X71" i="39"/>
  <c r="L71" i="39"/>
  <c r="N71" i="39" s="1"/>
  <c r="B71" i="39"/>
  <c r="X70" i="39"/>
  <c r="Z70" i="39" s="1"/>
  <c r="L70" i="39"/>
  <c r="N70" i="39" s="1"/>
  <c r="B70" i="39"/>
  <c r="Z69" i="39"/>
  <c r="X69" i="39"/>
  <c r="N69" i="39"/>
  <c r="L69" i="39"/>
  <c r="B69" i="39"/>
  <c r="Z68" i="39"/>
  <c r="X68" i="39"/>
  <c r="V68" i="39"/>
  <c r="N68" i="39"/>
  <c r="L68" i="39"/>
  <c r="B68" i="39"/>
  <c r="T67" i="39"/>
  <c r="P67" i="39"/>
  <c r="L67" i="39"/>
  <c r="N67" i="39" s="1"/>
  <c r="H67" i="39"/>
  <c r="D67" i="39"/>
  <c r="B67" i="39"/>
  <c r="X66" i="39"/>
  <c r="Z66" i="39" s="1"/>
  <c r="V66" i="39"/>
  <c r="L66" i="39"/>
  <c r="N66" i="39" s="1"/>
  <c r="B66" i="39"/>
  <c r="T65" i="39"/>
  <c r="P65" i="39"/>
  <c r="X65" i="39" s="1"/>
  <c r="Z65" i="39" s="1"/>
  <c r="H65" i="39"/>
  <c r="L65" i="39" s="1"/>
  <c r="N65" i="39" s="1"/>
  <c r="D65" i="39"/>
  <c r="B65" i="39"/>
  <c r="Z64" i="39"/>
  <c r="X64" i="39"/>
  <c r="N64" i="39"/>
  <c r="L64" i="39"/>
  <c r="B64" i="39"/>
  <c r="V63" i="39"/>
  <c r="T63" i="39"/>
  <c r="P63" i="39"/>
  <c r="H63" i="39"/>
  <c r="D63" i="39"/>
  <c r="B63" i="39"/>
  <c r="X62" i="39"/>
  <c r="Z62" i="39" s="1"/>
  <c r="L62" i="39"/>
  <c r="N62" i="39" s="1"/>
  <c r="B62" i="39"/>
  <c r="Z61" i="39"/>
  <c r="X61" i="39"/>
  <c r="T61" i="39"/>
  <c r="P61" i="39"/>
  <c r="H61" i="39"/>
  <c r="D61" i="39"/>
  <c r="B61" i="39"/>
  <c r="Z60" i="39"/>
  <c r="X60" i="39"/>
  <c r="N60" i="39"/>
  <c r="L60" i="39"/>
  <c r="B60" i="39"/>
  <c r="Z59" i="39"/>
  <c r="X59" i="39"/>
  <c r="V59" i="39"/>
  <c r="N59" i="39"/>
  <c r="L59" i="39"/>
  <c r="B59" i="39"/>
  <c r="X58" i="39"/>
  <c r="Z58" i="39" s="1"/>
  <c r="V58" i="39"/>
  <c r="L58" i="39"/>
  <c r="N58" i="39" s="1"/>
  <c r="B58" i="39"/>
  <c r="Z57" i="39"/>
  <c r="X57" i="39"/>
  <c r="L57" i="39"/>
  <c r="N57" i="39" s="1"/>
  <c r="B57" i="39"/>
  <c r="Z56" i="39"/>
  <c r="X56" i="39"/>
  <c r="N56" i="39"/>
  <c r="L56" i="39"/>
  <c r="B56" i="39"/>
  <c r="X55" i="39"/>
  <c r="Z55" i="39" s="1"/>
  <c r="V55" i="39"/>
  <c r="L55" i="39"/>
  <c r="N55" i="39" s="1"/>
  <c r="B55" i="39"/>
  <c r="X54" i="39"/>
  <c r="Z54" i="39" s="1"/>
  <c r="V54" i="39"/>
  <c r="N54" i="39"/>
  <c r="L54" i="39"/>
  <c r="B54" i="39"/>
  <c r="Z53" i="39"/>
  <c r="X53" i="39"/>
  <c r="N53" i="39"/>
  <c r="L53" i="39"/>
  <c r="J53" i="39"/>
  <c r="B53" i="39"/>
  <c r="Z52" i="39"/>
  <c r="X52" i="39"/>
  <c r="N52" i="39"/>
  <c r="L52" i="39"/>
  <c r="B52" i="39"/>
  <c r="X51" i="39"/>
  <c r="Z51" i="39" s="1"/>
  <c r="V51" i="39"/>
  <c r="L51" i="39"/>
  <c r="N51" i="39" s="1"/>
  <c r="B51" i="39"/>
  <c r="V50" i="39"/>
  <c r="T50" i="39"/>
  <c r="P50" i="39"/>
  <c r="H50" i="39"/>
  <c r="D50" i="39"/>
  <c r="B50" i="39"/>
  <c r="X49" i="39"/>
  <c r="Z49" i="39" s="1"/>
  <c r="V49" i="39"/>
  <c r="L49" i="39"/>
  <c r="N49" i="39" s="1"/>
  <c r="B49" i="39"/>
  <c r="X48" i="39"/>
  <c r="Z48" i="39" s="1"/>
  <c r="L48" i="39"/>
  <c r="N48" i="39" s="1"/>
  <c r="B48" i="39"/>
  <c r="X47" i="39"/>
  <c r="Z47" i="39" s="1"/>
  <c r="V47" i="39"/>
  <c r="N47" i="39"/>
  <c r="L47" i="39"/>
  <c r="B47" i="39"/>
  <c r="Z46" i="39"/>
  <c r="X46" i="39"/>
  <c r="V46" i="39"/>
  <c r="N46" i="39"/>
  <c r="L46" i="39"/>
  <c r="B46" i="39"/>
  <c r="Z45" i="39"/>
  <c r="X45" i="39"/>
  <c r="V45" i="39"/>
  <c r="N45" i="39"/>
  <c r="L45" i="39"/>
  <c r="B45" i="39"/>
  <c r="X44" i="39"/>
  <c r="Z44" i="39" s="1"/>
  <c r="L44" i="39"/>
  <c r="N44" i="39" s="1"/>
  <c r="J44" i="39"/>
  <c r="F44" i="39"/>
  <c r="B44" i="39"/>
  <c r="X43" i="39"/>
  <c r="Z43" i="39" s="1"/>
  <c r="V43" i="39"/>
  <c r="N43" i="39"/>
  <c r="L43" i="39"/>
  <c r="B43" i="39"/>
  <c r="X42" i="39"/>
  <c r="Z42" i="39" s="1"/>
  <c r="V42" i="39"/>
  <c r="L42" i="39"/>
  <c r="N42" i="39" s="1"/>
  <c r="B42" i="39"/>
  <c r="X41" i="39"/>
  <c r="Z41" i="39" s="1"/>
  <c r="V41" i="39"/>
  <c r="L41" i="39"/>
  <c r="N41" i="39" s="1"/>
  <c r="B41" i="39"/>
  <c r="X40" i="39"/>
  <c r="Z40" i="39" s="1"/>
  <c r="L40" i="39"/>
  <c r="N40" i="39" s="1"/>
  <c r="B40" i="39"/>
  <c r="V39" i="39"/>
  <c r="T39" i="39"/>
  <c r="Z39" i="39" s="1"/>
  <c r="P39" i="39"/>
  <c r="X39" i="39" s="1"/>
  <c r="H39" i="39"/>
  <c r="D39" i="39"/>
  <c r="B39" i="39"/>
  <c r="X38" i="39"/>
  <c r="T38" i="39"/>
  <c r="Z38" i="39" s="1"/>
  <c r="P38" i="39"/>
  <c r="N38" i="39"/>
  <c r="H38" i="39"/>
  <c r="L38" i="39" s="1"/>
  <c r="D38" i="39"/>
  <c r="H36" i="39"/>
  <c r="Z34" i="39"/>
  <c r="X34" i="39"/>
  <c r="N34" i="39"/>
  <c r="L34" i="39"/>
  <c r="B34" i="39"/>
  <c r="Z33" i="39"/>
  <c r="X33" i="39"/>
  <c r="N33" i="39"/>
  <c r="L33" i="39"/>
  <c r="B33" i="39"/>
  <c r="Z32" i="39"/>
  <c r="X32" i="39"/>
  <c r="V32" i="39"/>
  <c r="N32" i="39"/>
  <c r="L32" i="39"/>
  <c r="B32" i="39"/>
  <c r="V31" i="39"/>
  <c r="T31" i="39"/>
  <c r="P31" i="39"/>
  <c r="N31" i="39"/>
  <c r="L31" i="39"/>
  <c r="H31" i="39"/>
  <c r="D31" i="39"/>
  <c r="Z29" i="39"/>
  <c r="P29" i="39"/>
  <c r="X29" i="39" s="1"/>
  <c r="N29" i="39"/>
  <c r="D29" i="39"/>
  <c r="L29" i="39" s="1"/>
  <c r="B29" i="39"/>
  <c r="Z28" i="39"/>
  <c r="X28" i="39"/>
  <c r="P28" i="39"/>
  <c r="N28" i="39"/>
  <c r="D28" i="39"/>
  <c r="L28" i="39" s="1"/>
  <c r="B28" i="39"/>
  <c r="Z27" i="39"/>
  <c r="P27" i="39"/>
  <c r="X27" i="39" s="1"/>
  <c r="N27" i="39"/>
  <c r="D27" i="39"/>
  <c r="L27" i="39" s="1"/>
  <c r="B27" i="39"/>
  <c r="Z26" i="39"/>
  <c r="X26" i="39"/>
  <c r="P26" i="39"/>
  <c r="N26" i="39"/>
  <c r="D26" i="39"/>
  <c r="L26" i="39" s="1"/>
  <c r="B26" i="39"/>
  <c r="Z25" i="39"/>
  <c r="P25" i="39"/>
  <c r="X25" i="39" s="1"/>
  <c r="N25" i="39"/>
  <c r="L25" i="39"/>
  <c r="D25" i="39"/>
  <c r="B25" i="39"/>
  <c r="Z24" i="39"/>
  <c r="X24" i="39"/>
  <c r="P24" i="39"/>
  <c r="N24" i="39"/>
  <c r="D24" i="39"/>
  <c r="L24" i="39" s="1"/>
  <c r="B24" i="39"/>
  <c r="Z23" i="39"/>
  <c r="X23" i="39"/>
  <c r="P23" i="39"/>
  <c r="N23" i="39"/>
  <c r="L23" i="39"/>
  <c r="D23" i="39"/>
  <c r="B23" i="39"/>
  <c r="Z22" i="39"/>
  <c r="X22" i="39"/>
  <c r="P22" i="39"/>
  <c r="N22" i="39"/>
  <c r="D22" i="39"/>
  <c r="L22" i="39" s="1"/>
  <c r="B22" i="39"/>
  <c r="P21" i="39"/>
  <c r="X21" i="39" s="1"/>
  <c r="Z21" i="39" s="1"/>
  <c r="L21" i="39"/>
  <c r="N21" i="39" s="1"/>
  <c r="D21" i="39"/>
  <c r="B21" i="39"/>
  <c r="Z20" i="39"/>
  <c r="X20" i="39"/>
  <c r="P20" i="39"/>
  <c r="N20" i="39"/>
  <c r="L20" i="39"/>
  <c r="D20" i="39"/>
  <c r="B20" i="39"/>
  <c r="Z19" i="39"/>
  <c r="P19" i="39"/>
  <c r="X19" i="39" s="1"/>
  <c r="N19" i="39"/>
  <c r="L19" i="39"/>
  <c r="D19" i="39"/>
  <c r="B19" i="39"/>
  <c r="Z18" i="39"/>
  <c r="X18" i="39"/>
  <c r="P18" i="39"/>
  <c r="N18" i="39"/>
  <c r="D18" i="39"/>
  <c r="L18" i="39" s="1"/>
  <c r="B18" i="39"/>
  <c r="Z17" i="39"/>
  <c r="P17" i="39"/>
  <c r="X17" i="39" s="1"/>
  <c r="N17" i="39"/>
  <c r="L17" i="39"/>
  <c r="D17" i="39"/>
  <c r="B17" i="39"/>
  <c r="Z16" i="39"/>
  <c r="X16" i="39"/>
  <c r="P16" i="39"/>
  <c r="N16" i="39"/>
  <c r="D16" i="39"/>
  <c r="L16" i="39" s="1"/>
  <c r="B16" i="39"/>
  <c r="Z15" i="39"/>
  <c r="X15" i="39"/>
  <c r="P15" i="39"/>
  <c r="N15" i="39"/>
  <c r="D15" i="39"/>
  <c r="L15" i="39" s="1"/>
  <c r="B15" i="39"/>
  <c r="Z14" i="39"/>
  <c r="X14" i="39"/>
  <c r="P14" i="39"/>
  <c r="N14" i="39"/>
  <c r="D14" i="39"/>
  <c r="L14" i="39" s="1"/>
  <c r="B14" i="39"/>
  <c r="Z13" i="39"/>
  <c r="X13" i="39"/>
  <c r="P13" i="39"/>
  <c r="N13" i="39"/>
  <c r="L13" i="39"/>
  <c r="D13" i="39"/>
  <c r="B13" i="39"/>
  <c r="T12" i="39"/>
  <c r="V131" i="39" s="1"/>
  <c r="H12" i="39"/>
  <c r="D12" i="39"/>
  <c r="D4" i="39"/>
  <c r="Z134" i="36"/>
  <c r="X134" i="36"/>
  <c r="L134" i="36"/>
  <c r="N134" i="36" s="1"/>
  <c r="Z130" i="36"/>
  <c r="P130" i="36"/>
  <c r="X130" i="36" s="1"/>
  <c r="N130" i="36"/>
  <c r="D130" i="36"/>
  <c r="L130" i="36" s="1"/>
  <c r="B130" i="36"/>
  <c r="Z129" i="36"/>
  <c r="P129" i="36"/>
  <c r="X129" i="36" s="1"/>
  <c r="N129" i="36"/>
  <c r="D129" i="36"/>
  <c r="B129" i="36"/>
  <c r="X128" i="36"/>
  <c r="Z128" i="36" s="1"/>
  <c r="P128" i="36"/>
  <c r="P126" i="36" s="1"/>
  <c r="D128" i="36"/>
  <c r="L128" i="36" s="1"/>
  <c r="N128" i="36" s="1"/>
  <c r="B128" i="36"/>
  <c r="X127" i="36"/>
  <c r="Z127" i="36" s="1"/>
  <c r="V127" i="36"/>
  <c r="P127" i="36"/>
  <c r="L127" i="36"/>
  <c r="N127" i="36" s="1"/>
  <c r="D127" i="36"/>
  <c r="B127" i="36"/>
  <c r="T126" i="36"/>
  <c r="H126" i="36"/>
  <c r="X124" i="36"/>
  <c r="Z124" i="36" s="1"/>
  <c r="V124" i="36"/>
  <c r="L124" i="36"/>
  <c r="N124" i="36" s="1"/>
  <c r="B124" i="36"/>
  <c r="T123" i="36"/>
  <c r="P123" i="36"/>
  <c r="X123" i="36" s="1"/>
  <c r="N123" i="36"/>
  <c r="H123" i="36"/>
  <c r="D123" i="36"/>
  <c r="L123" i="36" s="1"/>
  <c r="B123" i="36"/>
  <c r="X122" i="36"/>
  <c r="Z122" i="36" s="1"/>
  <c r="V122" i="36"/>
  <c r="N122" i="36"/>
  <c r="L122" i="36"/>
  <c r="B122" i="36"/>
  <c r="Z121" i="36"/>
  <c r="X121" i="36"/>
  <c r="N121" i="36"/>
  <c r="L121" i="36"/>
  <c r="B121" i="36"/>
  <c r="X120" i="36"/>
  <c r="Z120" i="36" s="1"/>
  <c r="N120" i="36"/>
  <c r="L120" i="36"/>
  <c r="B120" i="36"/>
  <c r="X119" i="36"/>
  <c r="Z119" i="36" s="1"/>
  <c r="V119" i="36"/>
  <c r="T119" i="36"/>
  <c r="P119" i="36"/>
  <c r="H119" i="36"/>
  <c r="D119" i="36"/>
  <c r="L119" i="36" s="1"/>
  <c r="N119" i="36" s="1"/>
  <c r="B119" i="36"/>
  <c r="Z118" i="36"/>
  <c r="X118" i="36"/>
  <c r="N118" i="36"/>
  <c r="L118" i="36"/>
  <c r="B118" i="36"/>
  <c r="V117" i="36"/>
  <c r="T117" i="36"/>
  <c r="P117" i="36"/>
  <c r="L117" i="36"/>
  <c r="H117" i="36"/>
  <c r="N117" i="36" s="1"/>
  <c r="D117" i="36"/>
  <c r="B117" i="36"/>
  <c r="Z116" i="36"/>
  <c r="X116" i="36"/>
  <c r="V116" i="36"/>
  <c r="N116" i="36"/>
  <c r="L116" i="36"/>
  <c r="B116" i="36"/>
  <c r="X115" i="36"/>
  <c r="Z115" i="36" s="1"/>
  <c r="L115" i="36"/>
  <c r="N115" i="36" s="1"/>
  <c r="B115" i="36"/>
  <c r="Z114" i="36"/>
  <c r="X114" i="36"/>
  <c r="T114" i="36"/>
  <c r="P114" i="36"/>
  <c r="N114" i="36"/>
  <c r="L114" i="36"/>
  <c r="H114" i="36"/>
  <c r="D114" i="36"/>
  <c r="B114" i="36"/>
  <c r="Z113" i="36"/>
  <c r="X113" i="36"/>
  <c r="L113" i="36"/>
  <c r="N113" i="36" s="1"/>
  <c r="B113" i="36"/>
  <c r="X112" i="36"/>
  <c r="Z112" i="36" s="1"/>
  <c r="N112" i="36"/>
  <c r="L112" i="36"/>
  <c r="B112" i="36"/>
  <c r="X111" i="36"/>
  <c r="Z111" i="36" s="1"/>
  <c r="V111" i="36"/>
  <c r="L111" i="36"/>
  <c r="N111" i="36" s="1"/>
  <c r="B111" i="36"/>
  <c r="X110" i="36"/>
  <c r="Z110" i="36" s="1"/>
  <c r="V110" i="36"/>
  <c r="L110" i="36"/>
  <c r="N110" i="36" s="1"/>
  <c r="B110" i="36"/>
  <c r="Z109" i="36"/>
  <c r="X109" i="36"/>
  <c r="L109" i="36"/>
  <c r="N109" i="36" s="1"/>
  <c r="B109" i="36"/>
  <c r="X108" i="36"/>
  <c r="Z108" i="36" s="1"/>
  <c r="L108" i="36"/>
  <c r="N108" i="36" s="1"/>
  <c r="B108" i="36"/>
  <c r="X107" i="36"/>
  <c r="Z107" i="36" s="1"/>
  <c r="V107" i="36"/>
  <c r="L107" i="36"/>
  <c r="N107" i="36" s="1"/>
  <c r="B107" i="36"/>
  <c r="X106" i="36"/>
  <c r="Z106" i="36" s="1"/>
  <c r="V106" i="36"/>
  <c r="N106" i="36"/>
  <c r="L106" i="36"/>
  <c r="B106" i="36"/>
  <c r="Z105" i="36"/>
  <c r="X105" i="36"/>
  <c r="L105" i="36"/>
  <c r="N105" i="36" s="1"/>
  <c r="B105" i="36"/>
  <c r="X104" i="36"/>
  <c r="Z104" i="36" s="1"/>
  <c r="L104" i="36"/>
  <c r="N104" i="36" s="1"/>
  <c r="B104" i="36"/>
  <c r="Z103" i="36"/>
  <c r="X103" i="36"/>
  <c r="V103" i="36"/>
  <c r="T103" i="36"/>
  <c r="P103" i="36"/>
  <c r="H103" i="36"/>
  <c r="D103" i="36"/>
  <c r="L103" i="36" s="1"/>
  <c r="N103" i="36" s="1"/>
  <c r="B103" i="36"/>
  <c r="X102" i="36"/>
  <c r="Z102" i="36" s="1"/>
  <c r="N102" i="36"/>
  <c r="L102" i="36"/>
  <c r="B102" i="36"/>
  <c r="V101" i="36"/>
  <c r="T101" i="36"/>
  <c r="P101" i="36"/>
  <c r="L101" i="36"/>
  <c r="H101" i="36"/>
  <c r="N101" i="36" s="1"/>
  <c r="D101" i="36"/>
  <c r="B101" i="36"/>
  <c r="Z100" i="36"/>
  <c r="X100" i="36"/>
  <c r="V100" i="36"/>
  <c r="L100" i="36"/>
  <c r="N100" i="36" s="1"/>
  <c r="B100" i="36"/>
  <c r="X99" i="36"/>
  <c r="Z99" i="36" s="1"/>
  <c r="N99" i="36"/>
  <c r="L99" i="36"/>
  <c r="B99" i="36"/>
  <c r="Z98" i="36"/>
  <c r="X98" i="36"/>
  <c r="L98" i="36"/>
  <c r="N98" i="36" s="1"/>
  <c r="B98" i="36"/>
  <c r="Z97" i="36"/>
  <c r="X97" i="36"/>
  <c r="N97" i="36"/>
  <c r="L97" i="36"/>
  <c r="B97" i="36"/>
  <c r="Z96" i="36"/>
  <c r="X96" i="36"/>
  <c r="V96" i="36"/>
  <c r="L96" i="36"/>
  <c r="N96" i="36" s="1"/>
  <c r="B96" i="36"/>
  <c r="T95" i="36"/>
  <c r="P95" i="36"/>
  <c r="H95" i="36"/>
  <c r="D95" i="36"/>
  <c r="L95" i="36" s="1"/>
  <c r="N95" i="36" s="1"/>
  <c r="B95" i="36"/>
  <c r="X94" i="36"/>
  <c r="Z94" i="36" s="1"/>
  <c r="V94" i="36"/>
  <c r="L94" i="36"/>
  <c r="N94" i="36" s="1"/>
  <c r="B94" i="36"/>
  <c r="Z93" i="36"/>
  <c r="X93" i="36"/>
  <c r="L93" i="36"/>
  <c r="N93" i="36" s="1"/>
  <c r="B93" i="36"/>
  <c r="T92" i="36"/>
  <c r="Z92" i="36" s="1"/>
  <c r="P92" i="36"/>
  <c r="X92" i="36" s="1"/>
  <c r="H92" i="36"/>
  <c r="D92" i="36"/>
  <c r="L92" i="36" s="1"/>
  <c r="B92" i="36"/>
  <c r="X91" i="36"/>
  <c r="Z91" i="36" s="1"/>
  <c r="L91" i="36"/>
  <c r="N91" i="36" s="1"/>
  <c r="B91" i="36"/>
  <c r="Z90" i="36"/>
  <c r="X90" i="36"/>
  <c r="N90" i="36"/>
  <c r="L90" i="36"/>
  <c r="B90" i="36"/>
  <c r="X89" i="36"/>
  <c r="Z89" i="36" s="1"/>
  <c r="V89" i="36"/>
  <c r="N89" i="36"/>
  <c r="L89" i="36"/>
  <c r="B89" i="36"/>
  <c r="Z88" i="36"/>
  <c r="X88" i="36"/>
  <c r="N88" i="36"/>
  <c r="L88" i="36"/>
  <c r="B88" i="36"/>
  <c r="X87" i="36"/>
  <c r="T87" i="36"/>
  <c r="Z87" i="36" s="1"/>
  <c r="P87" i="36"/>
  <c r="H87" i="36"/>
  <c r="D87" i="36"/>
  <c r="B87" i="36"/>
  <c r="Z86" i="36"/>
  <c r="X86" i="36"/>
  <c r="L86" i="36"/>
  <c r="N86" i="36" s="1"/>
  <c r="J86" i="36"/>
  <c r="B86" i="36"/>
  <c r="Z85" i="36"/>
  <c r="T85" i="36"/>
  <c r="X85" i="36" s="1"/>
  <c r="P85" i="36"/>
  <c r="H85" i="36"/>
  <c r="D85" i="36"/>
  <c r="B85" i="36"/>
  <c r="Z84" i="36"/>
  <c r="X84" i="36"/>
  <c r="N84" i="36"/>
  <c r="L84" i="36"/>
  <c r="B84" i="36"/>
  <c r="Z83" i="36"/>
  <c r="X83" i="36"/>
  <c r="V83" i="36"/>
  <c r="T83" i="36"/>
  <c r="P83" i="36"/>
  <c r="H83" i="36"/>
  <c r="D83" i="36"/>
  <c r="L83" i="36" s="1"/>
  <c r="N83" i="36" s="1"/>
  <c r="B83" i="36"/>
  <c r="X82" i="36"/>
  <c r="Z82" i="36" s="1"/>
  <c r="N82" i="36"/>
  <c r="L82" i="36"/>
  <c r="B82" i="36"/>
  <c r="T81" i="36"/>
  <c r="P81" i="36"/>
  <c r="L81" i="36"/>
  <c r="H81" i="36"/>
  <c r="N81" i="36" s="1"/>
  <c r="D81" i="36"/>
  <c r="B81" i="36"/>
  <c r="Z80" i="36"/>
  <c r="X80" i="36"/>
  <c r="V80" i="36"/>
  <c r="N80" i="36"/>
  <c r="L80" i="36"/>
  <c r="B80" i="36"/>
  <c r="T79" i="36"/>
  <c r="P79" i="36"/>
  <c r="H79" i="36"/>
  <c r="D79" i="36"/>
  <c r="L79" i="36" s="1"/>
  <c r="N79" i="36" s="1"/>
  <c r="B79" i="36"/>
  <c r="Z78" i="36"/>
  <c r="X78" i="36"/>
  <c r="V78" i="36"/>
  <c r="L78" i="36"/>
  <c r="N78" i="36" s="1"/>
  <c r="B78" i="36"/>
  <c r="Z77" i="36"/>
  <c r="X77" i="36"/>
  <c r="L77" i="36"/>
  <c r="N77" i="36" s="1"/>
  <c r="B77" i="36"/>
  <c r="T76" i="36"/>
  <c r="P76" i="36"/>
  <c r="X76" i="36" s="1"/>
  <c r="H76" i="36"/>
  <c r="D76" i="36"/>
  <c r="B76" i="36"/>
  <c r="X75" i="36"/>
  <c r="Z75" i="36" s="1"/>
  <c r="L75" i="36"/>
  <c r="N75" i="36" s="1"/>
  <c r="B75" i="36"/>
  <c r="Z74" i="36"/>
  <c r="X74" i="36"/>
  <c r="T74" i="36"/>
  <c r="P74" i="36"/>
  <c r="H74" i="36"/>
  <c r="N74" i="36" s="1"/>
  <c r="D74" i="36"/>
  <c r="L74" i="36" s="1"/>
  <c r="B74" i="36"/>
  <c r="Z73" i="36"/>
  <c r="X73" i="36"/>
  <c r="N73" i="36"/>
  <c r="L73" i="36"/>
  <c r="B73" i="36"/>
  <c r="X72" i="36"/>
  <c r="Z72" i="36" s="1"/>
  <c r="V72" i="36"/>
  <c r="T72" i="36"/>
  <c r="P72" i="36"/>
  <c r="N72" i="36"/>
  <c r="L72" i="36"/>
  <c r="H72" i="36"/>
  <c r="D72" i="36"/>
  <c r="B72" i="36"/>
  <c r="Z71" i="36"/>
  <c r="X71" i="36"/>
  <c r="V71" i="36"/>
  <c r="L71" i="36"/>
  <c r="N71" i="36" s="1"/>
  <c r="B71" i="36"/>
  <c r="V70" i="36"/>
  <c r="T70" i="36"/>
  <c r="P70" i="36"/>
  <c r="H70" i="36"/>
  <c r="D70" i="36"/>
  <c r="L70" i="36" s="1"/>
  <c r="B70" i="36"/>
  <c r="X69" i="36"/>
  <c r="Z69" i="36" s="1"/>
  <c r="V69" i="36"/>
  <c r="N69" i="36"/>
  <c r="L69" i="36"/>
  <c r="B69" i="36"/>
  <c r="T68" i="36"/>
  <c r="Z68" i="36" s="1"/>
  <c r="P68" i="36"/>
  <c r="X68" i="36" s="1"/>
  <c r="N68" i="36"/>
  <c r="L68" i="36"/>
  <c r="H68" i="36"/>
  <c r="D68" i="36"/>
  <c r="B68" i="36"/>
  <c r="X67" i="36"/>
  <c r="Z67" i="36" s="1"/>
  <c r="N67" i="36"/>
  <c r="L67" i="36"/>
  <c r="B67" i="36"/>
  <c r="Z66" i="36"/>
  <c r="X66" i="36"/>
  <c r="L66" i="36"/>
  <c r="N66" i="36" s="1"/>
  <c r="B66" i="36"/>
  <c r="Z65" i="36"/>
  <c r="X65" i="36"/>
  <c r="N65" i="36"/>
  <c r="L65" i="36"/>
  <c r="B65" i="36"/>
  <c r="X64" i="36"/>
  <c r="Z64" i="36" s="1"/>
  <c r="V64" i="36"/>
  <c r="L64" i="36"/>
  <c r="N64" i="36" s="1"/>
  <c r="B64" i="36"/>
  <c r="T63" i="36"/>
  <c r="P63" i="36"/>
  <c r="X63" i="36" s="1"/>
  <c r="N63" i="36"/>
  <c r="H63" i="36"/>
  <c r="D63" i="36"/>
  <c r="L63" i="36" s="1"/>
  <c r="B63" i="36"/>
  <c r="X62" i="36"/>
  <c r="Z62" i="36" s="1"/>
  <c r="V62" i="36"/>
  <c r="L62" i="36"/>
  <c r="N62" i="36" s="1"/>
  <c r="B62" i="36"/>
  <c r="T61" i="36"/>
  <c r="P61" i="36"/>
  <c r="X61" i="36" s="1"/>
  <c r="Z61" i="36" s="1"/>
  <c r="N61" i="36"/>
  <c r="L61" i="36"/>
  <c r="H61" i="36"/>
  <c r="D61" i="36"/>
  <c r="B61" i="36"/>
  <c r="Z60" i="36"/>
  <c r="X60" i="36"/>
  <c r="N60" i="36"/>
  <c r="L60" i="36"/>
  <c r="B60" i="36"/>
  <c r="X59" i="36"/>
  <c r="Z59" i="36" s="1"/>
  <c r="L59" i="36"/>
  <c r="N59" i="36" s="1"/>
  <c r="B59" i="36"/>
  <c r="X58" i="36"/>
  <c r="Z58" i="36" s="1"/>
  <c r="T58" i="36"/>
  <c r="P58" i="36"/>
  <c r="H58" i="36"/>
  <c r="D58" i="36"/>
  <c r="L58" i="36" s="1"/>
  <c r="N58" i="36" s="1"/>
  <c r="B58" i="36"/>
  <c r="Z57" i="36"/>
  <c r="X57" i="36"/>
  <c r="N57" i="36"/>
  <c r="L57" i="36"/>
  <c r="B57" i="36"/>
  <c r="X56" i="36"/>
  <c r="Z56" i="36" s="1"/>
  <c r="V56" i="36"/>
  <c r="T56" i="36"/>
  <c r="P56" i="36"/>
  <c r="N56" i="36"/>
  <c r="L56" i="36"/>
  <c r="H56" i="36"/>
  <c r="D56" i="36"/>
  <c r="B56" i="36"/>
  <c r="Z55" i="36"/>
  <c r="X55" i="36"/>
  <c r="V55" i="36"/>
  <c r="N55" i="36"/>
  <c r="L55" i="36"/>
  <c r="B55" i="36"/>
  <c r="Z54" i="36"/>
  <c r="X54" i="36"/>
  <c r="V54" i="36"/>
  <c r="N54" i="36"/>
  <c r="L54" i="36"/>
  <c r="B54" i="36"/>
  <c r="Z53" i="36"/>
  <c r="X53" i="36"/>
  <c r="L53" i="36"/>
  <c r="N53" i="36" s="1"/>
  <c r="B53" i="36"/>
  <c r="X52" i="36"/>
  <c r="Z52" i="36" s="1"/>
  <c r="N52" i="36"/>
  <c r="L52" i="36"/>
  <c r="B52" i="36"/>
  <c r="Z51" i="36"/>
  <c r="X51" i="36"/>
  <c r="V51" i="36"/>
  <c r="N51" i="36"/>
  <c r="L51" i="36"/>
  <c r="B51" i="36"/>
  <c r="X50" i="36"/>
  <c r="Z50" i="36" s="1"/>
  <c r="V50" i="36"/>
  <c r="N50" i="36"/>
  <c r="L50" i="36"/>
  <c r="B50" i="36"/>
  <c r="Z49" i="36"/>
  <c r="X49" i="36"/>
  <c r="L49" i="36"/>
  <c r="N49" i="36" s="1"/>
  <c r="B49" i="36"/>
  <c r="Z48" i="36"/>
  <c r="X48" i="36"/>
  <c r="N48" i="36"/>
  <c r="L48" i="36"/>
  <c r="B48" i="36"/>
  <c r="Z47" i="36"/>
  <c r="X47" i="36"/>
  <c r="V47" i="36"/>
  <c r="L47" i="36"/>
  <c r="N47" i="36" s="1"/>
  <c r="B47" i="36"/>
  <c r="X46" i="36"/>
  <c r="Z46" i="36" s="1"/>
  <c r="V46" i="36"/>
  <c r="L46" i="36"/>
  <c r="N46" i="36" s="1"/>
  <c r="B46" i="36"/>
  <c r="T45" i="36"/>
  <c r="P45" i="36"/>
  <c r="X45" i="36" s="1"/>
  <c r="Z45" i="36" s="1"/>
  <c r="L45" i="36"/>
  <c r="N45" i="36" s="1"/>
  <c r="H45" i="36"/>
  <c r="D45" i="36"/>
  <c r="B45" i="36"/>
  <c r="Z44" i="36"/>
  <c r="X44" i="36"/>
  <c r="L44" i="36"/>
  <c r="N44" i="36" s="1"/>
  <c r="B44" i="36"/>
  <c r="X43" i="36"/>
  <c r="Z43" i="36" s="1"/>
  <c r="N43" i="36"/>
  <c r="L43" i="36"/>
  <c r="B43" i="36"/>
  <c r="Z42" i="36"/>
  <c r="X42" i="36"/>
  <c r="N42" i="36"/>
  <c r="L42" i="36"/>
  <c r="B42" i="36"/>
  <c r="Z41" i="36"/>
  <c r="X41" i="36"/>
  <c r="V41" i="36"/>
  <c r="N41" i="36"/>
  <c r="L41" i="36"/>
  <c r="B41" i="36"/>
  <c r="Z40" i="36"/>
  <c r="X40" i="36"/>
  <c r="N40" i="36"/>
  <c r="L40" i="36"/>
  <c r="B40" i="36"/>
  <c r="X39" i="36"/>
  <c r="Z39" i="36" s="1"/>
  <c r="N39" i="36"/>
  <c r="L39" i="36"/>
  <c r="B39" i="36"/>
  <c r="Z38" i="36"/>
  <c r="X38" i="36"/>
  <c r="N38" i="36"/>
  <c r="L38" i="36"/>
  <c r="B38" i="36"/>
  <c r="X37" i="36"/>
  <c r="Z37" i="36" s="1"/>
  <c r="V37" i="36"/>
  <c r="N37" i="36"/>
  <c r="L37" i="36"/>
  <c r="B37" i="36"/>
  <c r="X36" i="36"/>
  <c r="Z36" i="36" s="1"/>
  <c r="N36" i="36"/>
  <c r="L36" i="36"/>
  <c r="B36" i="36"/>
  <c r="X35" i="36"/>
  <c r="Z35" i="36" s="1"/>
  <c r="L35" i="36"/>
  <c r="N35" i="36" s="1"/>
  <c r="B35" i="36"/>
  <c r="Z34" i="36"/>
  <c r="X34" i="36"/>
  <c r="T34" i="36"/>
  <c r="P34" i="36"/>
  <c r="H34" i="36"/>
  <c r="D34" i="36"/>
  <c r="L34" i="36" s="1"/>
  <c r="B34" i="36"/>
  <c r="Z33" i="36"/>
  <c r="T33" i="36"/>
  <c r="P33" i="36"/>
  <c r="X33" i="36" s="1"/>
  <c r="H33" i="36"/>
  <c r="D33" i="36"/>
  <c r="T31" i="36"/>
  <c r="Z29" i="36"/>
  <c r="X29" i="36"/>
  <c r="N29" i="36"/>
  <c r="L29" i="36"/>
  <c r="B29" i="36"/>
  <c r="Z28" i="36"/>
  <c r="X28" i="36"/>
  <c r="V28" i="36"/>
  <c r="N28" i="36"/>
  <c r="L28" i="36"/>
  <c r="B28" i="36"/>
  <c r="X27" i="36"/>
  <c r="Z27" i="36" s="1"/>
  <c r="L27" i="36"/>
  <c r="N27" i="36" s="1"/>
  <c r="B27" i="36"/>
  <c r="Z26" i="36"/>
  <c r="X26" i="36"/>
  <c r="T26" i="36"/>
  <c r="P26" i="36"/>
  <c r="L26" i="36"/>
  <c r="N26" i="36" s="1"/>
  <c r="H26" i="36"/>
  <c r="D26" i="36"/>
  <c r="Z24" i="36"/>
  <c r="P24" i="36"/>
  <c r="X24" i="36" s="1"/>
  <c r="N24" i="36"/>
  <c r="L24" i="36"/>
  <c r="D24" i="36"/>
  <c r="B24" i="36"/>
  <c r="Z23" i="36"/>
  <c r="P23" i="36"/>
  <c r="X23" i="36" s="1"/>
  <c r="N23" i="36"/>
  <c r="D23" i="36"/>
  <c r="L23" i="36" s="1"/>
  <c r="B23" i="36"/>
  <c r="Z22" i="36"/>
  <c r="P22" i="36"/>
  <c r="X22" i="36" s="1"/>
  <c r="N22" i="36"/>
  <c r="L22" i="36"/>
  <c r="D22" i="36"/>
  <c r="B22" i="36"/>
  <c r="Z21" i="36"/>
  <c r="X21" i="36"/>
  <c r="P21" i="36"/>
  <c r="N21" i="36"/>
  <c r="D21" i="36"/>
  <c r="L21" i="36" s="1"/>
  <c r="B21" i="36"/>
  <c r="Z20" i="36"/>
  <c r="P20" i="36"/>
  <c r="X20" i="36" s="1"/>
  <c r="N20" i="36"/>
  <c r="L20" i="36"/>
  <c r="D20" i="36"/>
  <c r="D12" i="36" s="1"/>
  <c r="B20" i="36"/>
  <c r="X19" i="36"/>
  <c r="Z19" i="36" s="1"/>
  <c r="P19" i="36"/>
  <c r="L19" i="36"/>
  <c r="N19" i="36" s="1"/>
  <c r="D19" i="36"/>
  <c r="B19" i="36"/>
  <c r="Z18" i="36"/>
  <c r="P18" i="36"/>
  <c r="X18" i="36" s="1"/>
  <c r="N18" i="36"/>
  <c r="D18" i="36"/>
  <c r="L18" i="36" s="1"/>
  <c r="B18" i="36"/>
  <c r="Z17" i="36"/>
  <c r="P17" i="36"/>
  <c r="X17" i="36" s="1"/>
  <c r="N17" i="36"/>
  <c r="D17" i="36"/>
  <c r="L17" i="36" s="1"/>
  <c r="B17" i="36"/>
  <c r="Z16" i="36"/>
  <c r="X16" i="36"/>
  <c r="P16" i="36"/>
  <c r="N16" i="36"/>
  <c r="L16" i="36"/>
  <c r="D16" i="36"/>
  <c r="B16" i="36"/>
  <c r="Z15" i="36"/>
  <c r="X15" i="36"/>
  <c r="P15" i="36"/>
  <c r="N15" i="36"/>
  <c r="D15" i="36"/>
  <c r="L15" i="36" s="1"/>
  <c r="B15" i="36"/>
  <c r="Z14" i="36"/>
  <c r="P14" i="36"/>
  <c r="X14" i="36" s="1"/>
  <c r="N14" i="36"/>
  <c r="L14" i="36"/>
  <c r="D14" i="36"/>
  <c r="B14" i="36"/>
  <c r="P13" i="36"/>
  <c r="N13" i="36"/>
  <c r="L13" i="36"/>
  <c r="D13" i="36"/>
  <c r="B13" i="36"/>
  <c r="T12" i="36"/>
  <c r="V128" i="36" s="1"/>
  <c r="H12" i="36"/>
  <c r="J53" i="36" s="1"/>
  <c r="D4" i="36"/>
  <c r="X96" i="33"/>
  <c r="Z96" i="33" s="1"/>
  <c r="N96" i="33"/>
  <c r="L96" i="33"/>
  <c r="Z92" i="33"/>
  <c r="X92" i="33"/>
  <c r="V92" i="33"/>
  <c r="P92" i="33"/>
  <c r="D92" i="33"/>
  <c r="L92" i="33" s="1"/>
  <c r="N92" i="33" s="1"/>
  <c r="B92" i="33"/>
  <c r="X91" i="33"/>
  <c r="Z91" i="33" s="1"/>
  <c r="P91" i="33"/>
  <c r="L91" i="33"/>
  <c r="N91" i="33" s="1"/>
  <c r="D91" i="33"/>
  <c r="B91" i="33"/>
  <c r="Z90" i="33"/>
  <c r="X90" i="33"/>
  <c r="V90" i="33"/>
  <c r="P90" i="33"/>
  <c r="N90" i="33"/>
  <c r="L90" i="33"/>
  <c r="D90" i="33"/>
  <c r="B90" i="33"/>
  <c r="Z89" i="33"/>
  <c r="V89" i="33"/>
  <c r="P89" i="33"/>
  <c r="X89" i="33" s="1"/>
  <c r="N89" i="33"/>
  <c r="L89" i="33"/>
  <c r="D89" i="33"/>
  <c r="B89" i="33"/>
  <c r="Z88" i="33"/>
  <c r="P88" i="33"/>
  <c r="N88" i="33"/>
  <c r="L88" i="33"/>
  <c r="D88" i="33"/>
  <c r="D87" i="33" s="1"/>
  <c r="L87" i="33" s="1"/>
  <c r="N87" i="33" s="1"/>
  <c r="B88" i="33"/>
  <c r="T87" i="33"/>
  <c r="H87" i="33"/>
  <c r="Z85" i="33"/>
  <c r="X85" i="33"/>
  <c r="N85" i="33"/>
  <c r="L85" i="33"/>
  <c r="B85" i="33"/>
  <c r="X84" i="33"/>
  <c r="Z84" i="33" s="1"/>
  <c r="N84" i="33"/>
  <c r="L84" i="33"/>
  <c r="B84" i="33"/>
  <c r="Z83" i="33"/>
  <c r="T83" i="33"/>
  <c r="P83" i="33"/>
  <c r="X83" i="33" s="1"/>
  <c r="H83" i="33"/>
  <c r="D83" i="33"/>
  <c r="L83" i="33" s="1"/>
  <c r="N83" i="33" s="1"/>
  <c r="B83" i="33"/>
  <c r="Z82" i="33"/>
  <c r="X82" i="33"/>
  <c r="L82" i="33"/>
  <c r="N82" i="33" s="1"/>
  <c r="B82" i="33"/>
  <c r="Z81" i="33"/>
  <c r="X81" i="33"/>
  <c r="V81" i="33"/>
  <c r="N81" i="33"/>
  <c r="L81" i="33"/>
  <c r="B81" i="33"/>
  <c r="Z80" i="33"/>
  <c r="X80" i="33"/>
  <c r="N80" i="33"/>
  <c r="L80" i="33"/>
  <c r="B80" i="33"/>
  <c r="T79" i="33"/>
  <c r="P79" i="33"/>
  <c r="J79" i="33"/>
  <c r="H79" i="33"/>
  <c r="D79" i="33"/>
  <c r="L79" i="33" s="1"/>
  <c r="B79" i="33"/>
  <c r="Z78" i="33"/>
  <c r="X78" i="33"/>
  <c r="V78" i="33"/>
  <c r="N78" i="33"/>
  <c r="L78" i="33"/>
  <c r="F78" i="33"/>
  <c r="B78" i="33"/>
  <c r="Z77" i="33"/>
  <c r="X77" i="33"/>
  <c r="L77" i="33"/>
  <c r="N77" i="33" s="1"/>
  <c r="B77" i="33"/>
  <c r="X76" i="33"/>
  <c r="V76" i="33"/>
  <c r="T76" i="33"/>
  <c r="P76" i="33"/>
  <c r="L76" i="33"/>
  <c r="N76" i="33" s="1"/>
  <c r="H76" i="33"/>
  <c r="D76" i="33"/>
  <c r="B76" i="33"/>
  <c r="X75" i="33"/>
  <c r="Z75" i="33" s="1"/>
  <c r="V75" i="33"/>
  <c r="N75" i="33"/>
  <c r="L75" i="33"/>
  <c r="B75" i="33"/>
  <c r="T74" i="33"/>
  <c r="P74" i="33"/>
  <c r="X74" i="33" s="1"/>
  <c r="H74" i="33"/>
  <c r="L74" i="33" s="1"/>
  <c r="N74" i="33" s="1"/>
  <c r="D74" i="33"/>
  <c r="B74" i="33"/>
  <c r="X73" i="33"/>
  <c r="Z73" i="33" s="1"/>
  <c r="V73" i="33"/>
  <c r="N73" i="33"/>
  <c r="L73" i="33"/>
  <c r="B73" i="33"/>
  <c r="T72" i="33"/>
  <c r="P72" i="33"/>
  <c r="X72" i="33" s="1"/>
  <c r="Z72" i="33" s="1"/>
  <c r="L72" i="33"/>
  <c r="N72" i="33" s="1"/>
  <c r="H72" i="33"/>
  <c r="D72" i="33"/>
  <c r="B72" i="33"/>
  <c r="Z71" i="33"/>
  <c r="X71" i="33"/>
  <c r="N71" i="33"/>
  <c r="L71" i="33"/>
  <c r="J71" i="33"/>
  <c r="F71" i="33"/>
  <c r="B71" i="33"/>
  <c r="X70" i="33"/>
  <c r="Z70" i="33" s="1"/>
  <c r="V70" i="33"/>
  <c r="N70" i="33"/>
  <c r="L70" i="33"/>
  <c r="F70" i="33"/>
  <c r="B70" i="33"/>
  <c r="Z69" i="33"/>
  <c r="X69" i="33"/>
  <c r="V69" i="33"/>
  <c r="T69" i="33"/>
  <c r="P69" i="33"/>
  <c r="H69" i="33"/>
  <c r="D69" i="33"/>
  <c r="L69" i="33" s="1"/>
  <c r="N69" i="33" s="1"/>
  <c r="B69" i="33"/>
  <c r="Z68" i="33"/>
  <c r="X68" i="33"/>
  <c r="N68" i="33"/>
  <c r="L68" i="33"/>
  <c r="B68" i="33"/>
  <c r="X67" i="33"/>
  <c r="Z67" i="33" s="1"/>
  <c r="V67" i="33"/>
  <c r="T67" i="33"/>
  <c r="P67" i="33"/>
  <c r="L67" i="33"/>
  <c r="N67" i="33" s="1"/>
  <c r="H67" i="33"/>
  <c r="D67" i="33"/>
  <c r="B67" i="33"/>
  <c r="Z66" i="33"/>
  <c r="X66" i="33"/>
  <c r="V66" i="33"/>
  <c r="L66" i="33"/>
  <c r="N66" i="33" s="1"/>
  <c r="B66" i="33"/>
  <c r="V65" i="33"/>
  <c r="T65" i="33"/>
  <c r="P65" i="33"/>
  <c r="X65" i="33" s="1"/>
  <c r="H65" i="33"/>
  <c r="N65" i="33" s="1"/>
  <c r="D65" i="33"/>
  <c r="L65" i="33" s="1"/>
  <c r="B65" i="33"/>
  <c r="X64" i="33"/>
  <c r="Z64" i="33" s="1"/>
  <c r="V64" i="33"/>
  <c r="N64" i="33"/>
  <c r="L64" i="33"/>
  <c r="B64" i="33"/>
  <c r="T63" i="33"/>
  <c r="P63" i="33"/>
  <c r="X63" i="33" s="1"/>
  <c r="N63" i="33"/>
  <c r="L63" i="33"/>
  <c r="H63" i="33"/>
  <c r="D63" i="33"/>
  <c r="B63" i="33"/>
  <c r="Z62" i="33"/>
  <c r="X62" i="33"/>
  <c r="N62" i="33"/>
  <c r="L62" i="33"/>
  <c r="J62" i="33"/>
  <c r="B62" i="33"/>
  <c r="Z61" i="33"/>
  <c r="X61" i="33"/>
  <c r="T61" i="33"/>
  <c r="P61" i="33"/>
  <c r="H61" i="33"/>
  <c r="D61" i="33"/>
  <c r="B61" i="33"/>
  <c r="Z60" i="33"/>
  <c r="X60" i="33"/>
  <c r="L60" i="33"/>
  <c r="N60" i="33" s="1"/>
  <c r="J60" i="33"/>
  <c r="F60" i="33"/>
  <c r="B60" i="33"/>
  <c r="T59" i="33"/>
  <c r="P59" i="33"/>
  <c r="H59" i="33"/>
  <c r="F59" i="33"/>
  <c r="D59" i="33"/>
  <c r="B59" i="33"/>
  <c r="Z58" i="33"/>
  <c r="X58" i="33"/>
  <c r="V58" i="33"/>
  <c r="N58" i="33"/>
  <c r="L58" i="33"/>
  <c r="B58" i="33"/>
  <c r="Z57" i="33"/>
  <c r="X57" i="33"/>
  <c r="V57" i="33"/>
  <c r="N57" i="33"/>
  <c r="L57" i="33"/>
  <c r="B57" i="33"/>
  <c r="Z56" i="33"/>
  <c r="X56" i="33"/>
  <c r="V56" i="33"/>
  <c r="N56" i="33"/>
  <c r="L56" i="33"/>
  <c r="B56" i="33"/>
  <c r="X55" i="33"/>
  <c r="Z55" i="33" s="1"/>
  <c r="N55" i="33"/>
  <c r="L55" i="33"/>
  <c r="J55" i="33"/>
  <c r="B55" i="33"/>
  <c r="Z54" i="33"/>
  <c r="X54" i="33"/>
  <c r="V54" i="33"/>
  <c r="N54" i="33"/>
  <c r="L54" i="33"/>
  <c r="B54" i="33"/>
  <c r="Z53" i="33"/>
  <c r="X53" i="33"/>
  <c r="V53" i="33"/>
  <c r="N53" i="33"/>
  <c r="L53" i="33"/>
  <c r="B53" i="33"/>
  <c r="X52" i="33"/>
  <c r="Z52" i="33" s="1"/>
  <c r="V52" i="33"/>
  <c r="N52" i="33"/>
  <c r="L52" i="33"/>
  <c r="B52" i="33"/>
  <c r="Z51" i="33"/>
  <c r="X51" i="33"/>
  <c r="N51" i="33"/>
  <c r="L51" i="33"/>
  <c r="J51" i="33"/>
  <c r="B51" i="33"/>
  <c r="X50" i="33"/>
  <c r="Z50" i="33" s="1"/>
  <c r="V50" i="33"/>
  <c r="N50" i="33"/>
  <c r="L50" i="33"/>
  <c r="F50" i="33"/>
  <c r="B50" i="33"/>
  <c r="X49" i="33"/>
  <c r="Z49" i="33" s="1"/>
  <c r="V49" i="33"/>
  <c r="L49" i="33"/>
  <c r="N49" i="33" s="1"/>
  <c r="B49" i="33"/>
  <c r="X48" i="33"/>
  <c r="V48" i="33"/>
  <c r="T48" i="33"/>
  <c r="P48" i="33"/>
  <c r="L48" i="33"/>
  <c r="N48" i="33" s="1"/>
  <c r="H48" i="33"/>
  <c r="D48" i="33"/>
  <c r="B48" i="33"/>
  <c r="X47" i="33"/>
  <c r="Z47" i="33" s="1"/>
  <c r="V47" i="33"/>
  <c r="N47" i="33"/>
  <c r="L47" i="33"/>
  <c r="B47" i="33"/>
  <c r="X46" i="33"/>
  <c r="Z46" i="33" s="1"/>
  <c r="N46" i="33"/>
  <c r="L46" i="33"/>
  <c r="J46" i="33"/>
  <c r="B46" i="33"/>
  <c r="X45" i="33"/>
  <c r="Z45" i="33" s="1"/>
  <c r="N45" i="33"/>
  <c r="L45" i="33"/>
  <c r="J45" i="33"/>
  <c r="B45" i="33"/>
  <c r="Z44" i="33"/>
  <c r="X44" i="33"/>
  <c r="N44" i="33"/>
  <c r="L44" i="33"/>
  <c r="B44" i="33"/>
  <c r="X43" i="33"/>
  <c r="Z43" i="33" s="1"/>
  <c r="V43" i="33"/>
  <c r="N43" i="33"/>
  <c r="L43" i="33"/>
  <c r="B43" i="33"/>
  <c r="X42" i="33"/>
  <c r="Z42" i="33" s="1"/>
  <c r="N42" i="33"/>
  <c r="L42" i="33"/>
  <c r="J42" i="33"/>
  <c r="B42" i="33"/>
  <c r="X41" i="33"/>
  <c r="Z41" i="33" s="1"/>
  <c r="N41" i="33"/>
  <c r="L41" i="33"/>
  <c r="J41" i="33"/>
  <c r="B41" i="33"/>
  <c r="Z40" i="33"/>
  <c r="X40" i="33"/>
  <c r="N40" i="33"/>
  <c r="L40" i="33"/>
  <c r="B40" i="33"/>
  <c r="X39" i="33"/>
  <c r="Z39" i="33" s="1"/>
  <c r="V39" i="33"/>
  <c r="N39" i="33"/>
  <c r="L39" i="33"/>
  <c r="B39" i="33"/>
  <c r="T38" i="33"/>
  <c r="P38" i="33"/>
  <c r="X38" i="33" s="1"/>
  <c r="H38" i="33"/>
  <c r="L38" i="33" s="1"/>
  <c r="N38" i="33" s="1"/>
  <c r="D38" i="33"/>
  <c r="B38" i="33"/>
  <c r="T37" i="33"/>
  <c r="P37" i="33"/>
  <c r="H37" i="33"/>
  <c r="D37" i="33"/>
  <c r="L37" i="33" s="1"/>
  <c r="Z33" i="33"/>
  <c r="X33" i="33"/>
  <c r="V33" i="33"/>
  <c r="N33" i="33"/>
  <c r="L33" i="33"/>
  <c r="B33" i="33"/>
  <c r="Z32" i="33"/>
  <c r="X32" i="33"/>
  <c r="N32" i="33"/>
  <c r="L32" i="33"/>
  <c r="J32" i="33"/>
  <c r="B32" i="33"/>
  <c r="Z31" i="33"/>
  <c r="X31" i="33"/>
  <c r="V31" i="33"/>
  <c r="N31" i="33"/>
  <c r="L31" i="33"/>
  <c r="B31" i="33"/>
  <c r="Z30" i="33"/>
  <c r="X30" i="33"/>
  <c r="V30" i="33"/>
  <c r="N30" i="33"/>
  <c r="L30" i="33"/>
  <c r="B30" i="33"/>
  <c r="T29" i="33"/>
  <c r="P29" i="33"/>
  <c r="H29" i="33"/>
  <c r="N29" i="33" s="1"/>
  <c r="D29" i="33"/>
  <c r="L29" i="33" s="1"/>
  <c r="Z27" i="33"/>
  <c r="P27" i="33"/>
  <c r="X27" i="33" s="1"/>
  <c r="N27" i="33"/>
  <c r="L27" i="33"/>
  <c r="D27" i="33"/>
  <c r="B27" i="33"/>
  <c r="Z26" i="33"/>
  <c r="P26" i="33"/>
  <c r="X26" i="33" s="1"/>
  <c r="N26" i="33"/>
  <c r="L26" i="33"/>
  <c r="D26" i="33"/>
  <c r="B26" i="33"/>
  <c r="Z25" i="33"/>
  <c r="X25" i="33"/>
  <c r="P25" i="33"/>
  <c r="N25" i="33"/>
  <c r="L25" i="33"/>
  <c r="D25" i="33"/>
  <c r="B25" i="33"/>
  <c r="Z24" i="33"/>
  <c r="P24" i="33"/>
  <c r="X24" i="33" s="1"/>
  <c r="N24" i="33"/>
  <c r="D24" i="33"/>
  <c r="L24" i="33" s="1"/>
  <c r="B24" i="33"/>
  <c r="Z23" i="33"/>
  <c r="X23" i="33"/>
  <c r="P23" i="33"/>
  <c r="N23" i="33"/>
  <c r="D23" i="33"/>
  <c r="L23" i="33" s="1"/>
  <c r="B23" i="33"/>
  <c r="Z22" i="33"/>
  <c r="P22" i="33"/>
  <c r="X22" i="33" s="1"/>
  <c r="N22" i="33"/>
  <c r="L22" i="33"/>
  <c r="D22" i="33"/>
  <c r="B22" i="33"/>
  <c r="Z21" i="33"/>
  <c r="P21" i="33"/>
  <c r="X21" i="33" s="1"/>
  <c r="N21" i="33"/>
  <c r="D21" i="33"/>
  <c r="L21" i="33" s="1"/>
  <c r="B21" i="33"/>
  <c r="X20" i="33"/>
  <c r="Z20" i="33" s="1"/>
  <c r="P20" i="33"/>
  <c r="N20" i="33"/>
  <c r="L20" i="33"/>
  <c r="D20" i="33"/>
  <c r="B20" i="33"/>
  <c r="Z19" i="33"/>
  <c r="X19" i="33"/>
  <c r="P19" i="33"/>
  <c r="N19" i="33"/>
  <c r="D19" i="33"/>
  <c r="L19" i="33" s="1"/>
  <c r="B19" i="33"/>
  <c r="Z18" i="33"/>
  <c r="P18" i="33"/>
  <c r="X18" i="33" s="1"/>
  <c r="N18" i="33"/>
  <c r="D18" i="33"/>
  <c r="L18" i="33" s="1"/>
  <c r="B18" i="33"/>
  <c r="Z17" i="33"/>
  <c r="X17" i="33"/>
  <c r="P17" i="33"/>
  <c r="N17" i="33"/>
  <c r="L17" i="33"/>
  <c r="D17" i="33"/>
  <c r="B17" i="33"/>
  <c r="Z16" i="33"/>
  <c r="X16" i="33"/>
  <c r="P16" i="33"/>
  <c r="N16" i="33"/>
  <c r="L16" i="33"/>
  <c r="D16" i="33"/>
  <c r="B16" i="33"/>
  <c r="Z15" i="33"/>
  <c r="P15" i="33"/>
  <c r="X15" i="33" s="1"/>
  <c r="N15" i="33"/>
  <c r="D15" i="33"/>
  <c r="L15" i="33" s="1"/>
  <c r="B15" i="33"/>
  <c r="Z14" i="33"/>
  <c r="P14" i="33"/>
  <c r="X14" i="33" s="1"/>
  <c r="N14" i="33"/>
  <c r="L14" i="33"/>
  <c r="D14" i="33"/>
  <c r="B14" i="33"/>
  <c r="P13" i="33"/>
  <c r="N13" i="33"/>
  <c r="L13" i="33"/>
  <c r="D13" i="33"/>
  <c r="B13" i="33"/>
  <c r="T12" i="33"/>
  <c r="H12" i="33"/>
  <c r="D12" i="33"/>
  <c r="F87" i="33" s="1"/>
  <c r="D4" i="33"/>
  <c r="X139" i="30"/>
  <c r="Z139" i="30" s="1"/>
  <c r="L139" i="30"/>
  <c r="N139" i="30" s="1"/>
  <c r="J139" i="30"/>
  <c r="Z135" i="30"/>
  <c r="X135" i="30"/>
  <c r="P135" i="30"/>
  <c r="P132" i="30" s="1"/>
  <c r="X132" i="30" s="1"/>
  <c r="D135" i="30"/>
  <c r="L135" i="30" s="1"/>
  <c r="N135" i="30" s="1"/>
  <c r="B135" i="30"/>
  <c r="X134" i="30"/>
  <c r="Z134" i="30" s="1"/>
  <c r="V134" i="30"/>
  <c r="P134" i="30"/>
  <c r="L134" i="30"/>
  <c r="N134" i="30" s="1"/>
  <c r="D134" i="30"/>
  <c r="B134" i="30"/>
  <c r="Z133" i="30"/>
  <c r="X133" i="30"/>
  <c r="V133" i="30"/>
  <c r="P133" i="30"/>
  <c r="L133" i="30"/>
  <c r="N133" i="30" s="1"/>
  <c r="J133" i="30"/>
  <c r="D133" i="30"/>
  <c r="B133" i="30"/>
  <c r="T132" i="30"/>
  <c r="L132" i="30"/>
  <c r="J132" i="30"/>
  <c r="H132" i="30"/>
  <c r="N132" i="30" s="1"/>
  <c r="D132" i="30"/>
  <c r="X130" i="30"/>
  <c r="Z130" i="30" s="1"/>
  <c r="V130" i="30"/>
  <c r="N130" i="30"/>
  <c r="L130" i="30"/>
  <c r="B130" i="30"/>
  <c r="T129" i="30"/>
  <c r="Z129" i="30" s="1"/>
  <c r="P129" i="30"/>
  <c r="X129" i="30" s="1"/>
  <c r="N129" i="30"/>
  <c r="L129" i="30"/>
  <c r="H129" i="30"/>
  <c r="D129" i="30"/>
  <c r="B129" i="30"/>
  <c r="X128" i="30"/>
  <c r="Z128" i="30" s="1"/>
  <c r="L128" i="30"/>
  <c r="N128" i="30" s="1"/>
  <c r="J128" i="30"/>
  <c r="B128" i="30"/>
  <c r="X127" i="30"/>
  <c r="Z127" i="30" s="1"/>
  <c r="T127" i="30"/>
  <c r="P127" i="30"/>
  <c r="J127" i="30"/>
  <c r="H127" i="30"/>
  <c r="L127" i="30" s="1"/>
  <c r="N127" i="30" s="1"/>
  <c r="D127" i="30"/>
  <c r="B127" i="30"/>
  <c r="Z126" i="30"/>
  <c r="X126" i="30"/>
  <c r="L126" i="30"/>
  <c r="N126" i="30" s="1"/>
  <c r="J126" i="30"/>
  <c r="B126" i="30"/>
  <c r="T125" i="30"/>
  <c r="P125" i="30"/>
  <c r="J125" i="30"/>
  <c r="H125" i="30"/>
  <c r="D125" i="30"/>
  <c r="B125" i="30"/>
  <c r="X124" i="30"/>
  <c r="Z124" i="30" s="1"/>
  <c r="L124" i="30"/>
  <c r="N124" i="30" s="1"/>
  <c r="B124" i="30"/>
  <c r="X123" i="30"/>
  <c r="Z123" i="30" s="1"/>
  <c r="L123" i="30"/>
  <c r="N123" i="30" s="1"/>
  <c r="B123" i="30"/>
  <c r="X122" i="30"/>
  <c r="V122" i="30"/>
  <c r="T122" i="30"/>
  <c r="P122" i="30"/>
  <c r="L122" i="30"/>
  <c r="N122" i="30" s="1"/>
  <c r="J122" i="30"/>
  <c r="H122" i="30"/>
  <c r="D122" i="30"/>
  <c r="B122" i="30"/>
  <c r="Z121" i="30"/>
  <c r="X121" i="30"/>
  <c r="V121" i="30"/>
  <c r="N121" i="30"/>
  <c r="L121" i="30"/>
  <c r="B121" i="30"/>
  <c r="X120" i="30"/>
  <c r="Z120" i="30" s="1"/>
  <c r="N120" i="30"/>
  <c r="L120" i="30"/>
  <c r="J120" i="30"/>
  <c r="B120" i="30"/>
  <c r="X119" i="30"/>
  <c r="Z119" i="30" s="1"/>
  <c r="N119" i="30"/>
  <c r="L119" i="30"/>
  <c r="J119" i="30"/>
  <c r="B119" i="30"/>
  <c r="Z118" i="30"/>
  <c r="X118" i="30"/>
  <c r="N118" i="30"/>
  <c r="L118" i="30"/>
  <c r="B118" i="30"/>
  <c r="X117" i="30"/>
  <c r="Z117" i="30" s="1"/>
  <c r="V117" i="30"/>
  <c r="N117" i="30"/>
  <c r="L117" i="30"/>
  <c r="B117" i="30"/>
  <c r="T116" i="30"/>
  <c r="P116" i="30"/>
  <c r="H116" i="30"/>
  <c r="L116" i="30" s="1"/>
  <c r="N116" i="30" s="1"/>
  <c r="D116" i="30"/>
  <c r="B116" i="30"/>
  <c r="Z115" i="30"/>
  <c r="X115" i="30"/>
  <c r="V115" i="30"/>
  <c r="L115" i="30"/>
  <c r="N115" i="30" s="1"/>
  <c r="B115" i="30"/>
  <c r="Z114" i="30"/>
  <c r="X114" i="30"/>
  <c r="L114" i="30"/>
  <c r="N114" i="30" s="1"/>
  <c r="J114" i="30"/>
  <c r="B114" i="30"/>
  <c r="T113" i="30"/>
  <c r="Z113" i="30" s="1"/>
  <c r="P113" i="30"/>
  <c r="X113" i="30" s="1"/>
  <c r="J113" i="30"/>
  <c r="H113" i="30"/>
  <c r="D113" i="30"/>
  <c r="B113" i="30"/>
  <c r="X112" i="30"/>
  <c r="Z112" i="30" s="1"/>
  <c r="L112" i="30"/>
  <c r="N112" i="30" s="1"/>
  <c r="B112" i="30"/>
  <c r="Z111" i="30"/>
  <c r="X111" i="30"/>
  <c r="L111" i="30"/>
  <c r="N111" i="30" s="1"/>
  <c r="B111" i="30"/>
  <c r="X110" i="30"/>
  <c r="Z110" i="30" s="1"/>
  <c r="V110" i="30"/>
  <c r="N110" i="30"/>
  <c r="L110" i="30"/>
  <c r="B110" i="30"/>
  <c r="T109" i="30"/>
  <c r="P109" i="30"/>
  <c r="X109" i="30" s="1"/>
  <c r="N109" i="30"/>
  <c r="L109" i="30"/>
  <c r="H109" i="30"/>
  <c r="D109" i="30"/>
  <c r="B109" i="30"/>
  <c r="X108" i="30"/>
  <c r="Z108" i="30" s="1"/>
  <c r="L108" i="30"/>
  <c r="N108" i="30" s="1"/>
  <c r="J108" i="30"/>
  <c r="B108" i="30"/>
  <c r="X107" i="30"/>
  <c r="Z107" i="30" s="1"/>
  <c r="N107" i="30"/>
  <c r="L107" i="30"/>
  <c r="J107" i="30"/>
  <c r="B107" i="30"/>
  <c r="Z106" i="30"/>
  <c r="X106" i="30"/>
  <c r="N106" i="30"/>
  <c r="L106" i="30"/>
  <c r="B106" i="30"/>
  <c r="Z105" i="30"/>
  <c r="X105" i="30"/>
  <c r="V105" i="30"/>
  <c r="T105" i="30"/>
  <c r="P105" i="30"/>
  <c r="L105" i="30"/>
  <c r="N105" i="30" s="1"/>
  <c r="H105" i="30"/>
  <c r="D105" i="30"/>
  <c r="B105" i="30"/>
  <c r="X104" i="30"/>
  <c r="Z104" i="30" s="1"/>
  <c r="V104" i="30"/>
  <c r="L104" i="30"/>
  <c r="N104" i="30" s="1"/>
  <c r="J104" i="30"/>
  <c r="B104" i="30"/>
  <c r="Z103" i="30"/>
  <c r="X103" i="30"/>
  <c r="V103" i="30"/>
  <c r="N103" i="30"/>
  <c r="L103" i="30"/>
  <c r="B103" i="30"/>
  <c r="T102" i="30"/>
  <c r="P102" i="30"/>
  <c r="X102" i="30" s="1"/>
  <c r="Z102" i="30" s="1"/>
  <c r="N102" i="30"/>
  <c r="L102" i="30"/>
  <c r="J102" i="30"/>
  <c r="H102" i="30"/>
  <c r="D102" i="30"/>
  <c r="B102" i="30"/>
  <c r="X101" i="30"/>
  <c r="Z101" i="30" s="1"/>
  <c r="L101" i="30"/>
  <c r="N101" i="30" s="1"/>
  <c r="J101" i="30"/>
  <c r="B101" i="30"/>
  <c r="X100" i="30"/>
  <c r="T100" i="30"/>
  <c r="Z100" i="30" s="1"/>
  <c r="P100" i="30"/>
  <c r="H100" i="30"/>
  <c r="D100" i="30"/>
  <c r="B100" i="30"/>
  <c r="X99" i="30"/>
  <c r="Z99" i="30" s="1"/>
  <c r="L99" i="30"/>
  <c r="N99" i="30" s="1"/>
  <c r="J99" i="30"/>
  <c r="B99" i="30"/>
  <c r="Z98" i="30"/>
  <c r="T98" i="30"/>
  <c r="X98" i="30" s="1"/>
  <c r="P98" i="30"/>
  <c r="H98" i="30"/>
  <c r="D98" i="30"/>
  <c r="B98" i="30"/>
  <c r="Z97" i="30"/>
  <c r="X97" i="30"/>
  <c r="N97" i="30"/>
  <c r="L97" i="30"/>
  <c r="B97" i="30"/>
  <c r="Z96" i="30"/>
  <c r="X96" i="30"/>
  <c r="V96" i="30"/>
  <c r="T96" i="30"/>
  <c r="P96" i="30"/>
  <c r="H96" i="30"/>
  <c r="D96" i="30"/>
  <c r="L96" i="30" s="1"/>
  <c r="N96" i="30" s="1"/>
  <c r="B96" i="30"/>
  <c r="Z95" i="30"/>
  <c r="X95" i="30"/>
  <c r="L95" i="30"/>
  <c r="N95" i="30" s="1"/>
  <c r="B95" i="30"/>
  <c r="T94" i="30"/>
  <c r="P94" i="30"/>
  <c r="L94" i="30"/>
  <c r="J94" i="30"/>
  <c r="H94" i="30"/>
  <c r="N94" i="30" s="1"/>
  <c r="D94" i="30"/>
  <c r="B94" i="30"/>
  <c r="Z93" i="30"/>
  <c r="X93" i="30"/>
  <c r="V93" i="30"/>
  <c r="N93" i="30"/>
  <c r="L93" i="30"/>
  <c r="B93" i="30"/>
  <c r="T92" i="30"/>
  <c r="P92" i="30"/>
  <c r="X92" i="30" s="1"/>
  <c r="N92" i="30"/>
  <c r="H92" i="30"/>
  <c r="L92" i="30" s="1"/>
  <c r="D92" i="30"/>
  <c r="B92" i="30"/>
  <c r="Z91" i="30"/>
  <c r="X91" i="30"/>
  <c r="V91" i="30"/>
  <c r="N91" i="30"/>
  <c r="L91" i="30"/>
  <c r="B91" i="30"/>
  <c r="T90" i="30"/>
  <c r="P90" i="30"/>
  <c r="X90" i="30" s="1"/>
  <c r="Z90" i="30" s="1"/>
  <c r="L90" i="30"/>
  <c r="N90" i="30" s="1"/>
  <c r="J90" i="30"/>
  <c r="H90" i="30"/>
  <c r="D90" i="30"/>
  <c r="B90" i="30"/>
  <c r="Z89" i="30"/>
  <c r="X89" i="30"/>
  <c r="L89" i="30"/>
  <c r="N89" i="30" s="1"/>
  <c r="J89" i="30"/>
  <c r="B89" i="30"/>
  <c r="X88" i="30"/>
  <c r="T88" i="30"/>
  <c r="Z88" i="30" s="1"/>
  <c r="P88" i="30"/>
  <c r="J88" i="30"/>
  <c r="H88" i="30"/>
  <c r="D88" i="30"/>
  <c r="B88" i="30"/>
  <c r="X87" i="30"/>
  <c r="Z87" i="30" s="1"/>
  <c r="N87" i="30"/>
  <c r="L87" i="30"/>
  <c r="J87" i="30"/>
  <c r="B87" i="30"/>
  <c r="T86" i="30"/>
  <c r="X86" i="30" s="1"/>
  <c r="Z86" i="30" s="1"/>
  <c r="P86" i="30"/>
  <c r="H86" i="30"/>
  <c r="D86" i="30"/>
  <c r="B86" i="30"/>
  <c r="Z85" i="30"/>
  <c r="X85" i="30"/>
  <c r="N85" i="30"/>
  <c r="L85" i="30"/>
  <c r="B85" i="30"/>
  <c r="X84" i="30"/>
  <c r="Z84" i="30" s="1"/>
  <c r="V84" i="30"/>
  <c r="T84" i="30"/>
  <c r="P84" i="30"/>
  <c r="H84" i="30"/>
  <c r="D84" i="30"/>
  <c r="L84" i="30" s="1"/>
  <c r="N84" i="30" s="1"/>
  <c r="B84" i="30"/>
  <c r="X83" i="30"/>
  <c r="Z83" i="30" s="1"/>
  <c r="L83" i="30"/>
  <c r="N83" i="30" s="1"/>
  <c r="B83" i="30"/>
  <c r="V82" i="30"/>
  <c r="T82" i="30"/>
  <c r="P82" i="30"/>
  <c r="L82" i="30"/>
  <c r="J82" i="30"/>
  <c r="H82" i="30"/>
  <c r="N82" i="30" s="1"/>
  <c r="D82" i="30"/>
  <c r="B82" i="30"/>
  <c r="Z81" i="30"/>
  <c r="X81" i="30"/>
  <c r="V81" i="30"/>
  <c r="N81" i="30"/>
  <c r="L81" i="30"/>
  <c r="J81" i="30"/>
  <c r="B81" i="30"/>
  <c r="Z80" i="30"/>
  <c r="X80" i="30"/>
  <c r="N80" i="30"/>
  <c r="L80" i="30"/>
  <c r="J80" i="30"/>
  <c r="B80" i="30"/>
  <c r="X79" i="30"/>
  <c r="Z79" i="30" s="1"/>
  <c r="T79" i="30"/>
  <c r="P79" i="30"/>
  <c r="L79" i="30"/>
  <c r="H79" i="30"/>
  <c r="J79" i="30" s="1"/>
  <c r="D79" i="30"/>
  <c r="B79" i="30"/>
  <c r="Z78" i="30"/>
  <c r="X78" i="30"/>
  <c r="L78" i="30"/>
  <c r="N78" i="30" s="1"/>
  <c r="J78" i="30"/>
  <c r="B78" i="30"/>
  <c r="T77" i="30"/>
  <c r="P77" i="30"/>
  <c r="H77" i="30"/>
  <c r="D77" i="30"/>
  <c r="L77" i="30" s="1"/>
  <c r="B77" i="30"/>
  <c r="Z76" i="30"/>
  <c r="X76" i="30"/>
  <c r="N76" i="30"/>
  <c r="L76" i="30"/>
  <c r="B76" i="30"/>
  <c r="Z75" i="30"/>
  <c r="X75" i="30"/>
  <c r="N75" i="30"/>
  <c r="L75" i="30"/>
  <c r="B75" i="30"/>
  <c r="Z74" i="30"/>
  <c r="X74" i="30"/>
  <c r="V74" i="30"/>
  <c r="N74" i="30"/>
  <c r="L74" i="30"/>
  <c r="B74" i="30"/>
  <c r="X73" i="30"/>
  <c r="Z73" i="30" s="1"/>
  <c r="L73" i="30"/>
  <c r="N73" i="30" s="1"/>
  <c r="J73" i="30"/>
  <c r="B73" i="30"/>
  <c r="Z72" i="30"/>
  <c r="X72" i="30"/>
  <c r="N72" i="30"/>
  <c r="L72" i="30"/>
  <c r="B72" i="30"/>
  <c r="Z71" i="30"/>
  <c r="X71" i="30"/>
  <c r="N71" i="30"/>
  <c r="L71" i="30"/>
  <c r="B71" i="30"/>
  <c r="X70" i="30"/>
  <c r="Z70" i="30" s="1"/>
  <c r="V70" i="30"/>
  <c r="N70" i="30"/>
  <c r="L70" i="30"/>
  <c r="B70" i="30"/>
  <c r="Z69" i="30"/>
  <c r="X69" i="30"/>
  <c r="N69" i="30"/>
  <c r="L69" i="30"/>
  <c r="J69" i="30"/>
  <c r="B69" i="30"/>
  <c r="X68" i="30"/>
  <c r="Z68" i="30" s="1"/>
  <c r="L68" i="30"/>
  <c r="N68" i="30" s="1"/>
  <c r="B68" i="30"/>
  <c r="Z67" i="30"/>
  <c r="X67" i="30"/>
  <c r="N67" i="30"/>
  <c r="L67" i="30"/>
  <c r="B67" i="30"/>
  <c r="V66" i="30"/>
  <c r="T66" i="30"/>
  <c r="P66" i="30"/>
  <c r="L66" i="30"/>
  <c r="J66" i="30"/>
  <c r="H66" i="30"/>
  <c r="N66" i="30" s="1"/>
  <c r="D66" i="30"/>
  <c r="B66" i="30"/>
  <c r="Z65" i="30"/>
  <c r="X65" i="30"/>
  <c r="V65" i="30"/>
  <c r="N65" i="30"/>
  <c r="L65" i="30"/>
  <c r="J65" i="30"/>
  <c r="B65" i="30"/>
  <c r="X64" i="30"/>
  <c r="Z64" i="30" s="1"/>
  <c r="L64" i="30"/>
  <c r="N64" i="30" s="1"/>
  <c r="J64" i="30"/>
  <c r="B64" i="30"/>
  <c r="X63" i="30"/>
  <c r="Z63" i="30" s="1"/>
  <c r="N63" i="30"/>
  <c r="L63" i="30"/>
  <c r="J63" i="30"/>
  <c r="B63" i="30"/>
  <c r="Z62" i="30"/>
  <c r="X62" i="30"/>
  <c r="N62" i="30"/>
  <c r="L62" i="30"/>
  <c r="B62" i="30"/>
  <c r="Z61" i="30"/>
  <c r="X61" i="30"/>
  <c r="V61" i="30"/>
  <c r="N61" i="30"/>
  <c r="L61" i="30"/>
  <c r="J61" i="30"/>
  <c r="B61" i="30"/>
  <c r="X60" i="30"/>
  <c r="Z60" i="30" s="1"/>
  <c r="N60" i="30"/>
  <c r="L60" i="30"/>
  <c r="J60" i="30"/>
  <c r="B60" i="30"/>
  <c r="X59" i="30"/>
  <c r="Z59" i="30" s="1"/>
  <c r="N59" i="30"/>
  <c r="L59" i="30"/>
  <c r="J59" i="30"/>
  <c r="B59" i="30"/>
  <c r="Z58" i="30"/>
  <c r="X58" i="30"/>
  <c r="N58" i="30"/>
  <c r="L58" i="30"/>
  <c r="B58" i="30"/>
  <c r="X57" i="30"/>
  <c r="Z57" i="30" s="1"/>
  <c r="V57" i="30"/>
  <c r="N57" i="30"/>
  <c r="L57" i="30"/>
  <c r="J57" i="30"/>
  <c r="B57" i="30"/>
  <c r="T56" i="30"/>
  <c r="P56" i="30"/>
  <c r="X56" i="30" s="1"/>
  <c r="H56" i="30"/>
  <c r="D56" i="30"/>
  <c r="L56" i="30" s="1"/>
  <c r="N56" i="30" s="1"/>
  <c r="B56" i="30"/>
  <c r="V55" i="30"/>
  <c r="T55" i="30"/>
  <c r="P55" i="30"/>
  <c r="X55" i="30" s="1"/>
  <c r="H55" i="30"/>
  <c r="N55" i="30" s="1"/>
  <c r="D55" i="30"/>
  <c r="L55" i="30" s="1"/>
  <c r="V53" i="30"/>
  <c r="T53" i="30"/>
  <c r="Z51" i="30"/>
  <c r="X51" i="30"/>
  <c r="V51" i="30"/>
  <c r="N51" i="30"/>
  <c r="L51" i="30"/>
  <c r="B51" i="30"/>
  <c r="Z50" i="30"/>
  <c r="X50" i="30"/>
  <c r="N50" i="30"/>
  <c r="L50" i="30"/>
  <c r="J50" i="30"/>
  <c r="B50" i="30"/>
  <c r="Z49" i="30"/>
  <c r="X49" i="30"/>
  <c r="N49" i="30"/>
  <c r="L49" i="30"/>
  <c r="B49" i="30"/>
  <c r="Z48" i="30"/>
  <c r="X48" i="30"/>
  <c r="V48" i="30"/>
  <c r="N48" i="30"/>
  <c r="L48" i="30"/>
  <c r="J48" i="30"/>
  <c r="B48" i="30"/>
  <c r="Z47" i="30"/>
  <c r="X47" i="30"/>
  <c r="V47" i="30"/>
  <c r="N47" i="30"/>
  <c r="L47" i="30"/>
  <c r="B47" i="30"/>
  <c r="Z46" i="30"/>
  <c r="X46" i="30"/>
  <c r="N46" i="30"/>
  <c r="L46" i="30"/>
  <c r="J46" i="30"/>
  <c r="B46" i="30"/>
  <c r="Z45" i="30"/>
  <c r="X45" i="30"/>
  <c r="N45" i="30"/>
  <c r="L45" i="30"/>
  <c r="B45" i="30"/>
  <c r="Z44" i="30"/>
  <c r="X44" i="30"/>
  <c r="V44" i="30"/>
  <c r="N44" i="30"/>
  <c r="L44" i="30"/>
  <c r="J44" i="30"/>
  <c r="B44" i="30"/>
  <c r="Z43" i="30"/>
  <c r="X43" i="30"/>
  <c r="V43" i="30"/>
  <c r="N43" i="30"/>
  <c r="L43" i="30"/>
  <c r="B43" i="30"/>
  <c r="Z42" i="30"/>
  <c r="X42" i="30"/>
  <c r="N42" i="30"/>
  <c r="L42" i="30"/>
  <c r="J42" i="30"/>
  <c r="B42" i="30"/>
  <c r="Z41" i="30"/>
  <c r="X41" i="30"/>
  <c r="N41" i="30"/>
  <c r="L41" i="30"/>
  <c r="B41" i="30"/>
  <c r="Z40" i="30"/>
  <c r="X40" i="30"/>
  <c r="V40" i="30"/>
  <c r="N40" i="30"/>
  <c r="L40" i="30"/>
  <c r="J40" i="30"/>
  <c r="B40" i="30"/>
  <c r="Z39" i="30"/>
  <c r="X39" i="30"/>
  <c r="V39" i="30"/>
  <c r="N39" i="30"/>
  <c r="L39" i="30"/>
  <c r="B39" i="30"/>
  <c r="Z38" i="30"/>
  <c r="X38" i="30"/>
  <c r="N38" i="30"/>
  <c r="L38" i="30"/>
  <c r="J38" i="30"/>
  <c r="B38" i="30"/>
  <c r="Z37" i="30"/>
  <c r="X37" i="30"/>
  <c r="N37" i="30"/>
  <c r="L37" i="30"/>
  <c r="B37" i="30"/>
  <c r="Z36" i="30"/>
  <c r="X36" i="30"/>
  <c r="V36" i="30"/>
  <c r="N36" i="30"/>
  <c r="L36" i="30"/>
  <c r="J36" i="30"/>
  <c r="B36" i="30"/>
  <c r="Z35" i="30"/>
  <c r="X35" i="30"/>
  <c r="V35" i="30"/>
  <c r="N35" i="30"/>
  <c r="L35" i="30"/>
  <c r="B35" i="30"/>
  <c r="Z34" i="30"/>
  <c r="X34" i="30"/>
  <c r="L34" i="30"/>
  <c r="N34" i="30" s="1"/>
  <c r="J34" i="30"/>
  <c r="B34" i="30"/>
  <c r="T33" i="30"/>
  <c r="P33" i="30"/>
  <c r="X33" i="30" s="1"/>
  <c r="H33" i="30"/>
  <c r="D33" i="30"/>
  <c r="Z31" i="30"/>
  <c r="P31" i="30"/>
  <c r="X31" i="30" s="1"/>
  <c r="N31" i="30"/>
  <c r="L31" i="30"/>
  <c r="D31" i="30"/>
  <c r="B31" i="30"/>
  <c r="Z30" i="30"/>
  <c r="X30" i="30"/>
  <c r="P30" i="30"/>
  <c r="N30" i="30"/>
  <c r="L30" i="30"/>
  <c r="D30" i="30"/>
  <c r="B30" i="30"/>
  <c r="Z29" i="30"/>
  <c r="X29" i="30"/>
  <c r="P29" i="30"/>
  <c r="N29" i="30"/>
  <c r="L29" i="30"/>
  <c r="D29" i="30"/>
  <c r="B29" i="30"/>
  <c r="Z28" i="30"/>
  <c r="X28" i="30"/>
  <c r="P28" i="30"/>
  <c r="N28" i="30"/>
  <c r="D28" i="30"/>
  <c r="L28" i="30" s="1"/>
  <c r="B28" i="30"/>
  <c r="Z27" i="30"/>
  <c r="X27" i="30"/>
  <c r="P27" i="30"/>
  <c r="N27" i="30"/>
  <c r="D27" i="30"/>
  <c r="L27" i="30" s="1"/>
  <c r="B27" i="30"/>
  <c r="Z26" i="30"/>
  <c r="X26" i="30"/>
  <c r="P26" i="30"/>
  <c r="N26" i="30"/>
  <c r="L26" i="30"/>
  <c r="D26" i="30"/>
  <c r="B26" i="30"/>
  <c r="Z25" i="30"/>
  <c r="P25" i="30"/>
  <c r="X25" i="30" s="1"/>
  <c r="N25" i="30"/>
  <c r="L25" i="30"/>
  <c r="D25" i="30"/>
  <c r="B25" i="30"/>
  <c r="Z24" i="30"/>
  <c r="P24" i="30"/>
  <c r="X24" i="30" s="1"/>
  <c r="N24" i="30"/>
  <c r="L24" i="30"/>
  <c r="D24" i="30"/>
  <c r="B24" i="30"/>
  <c r="Z23" i="30"/>
  <c r="X23" i="30"/>
  <c r="P23" i="30"/>
  <c r="N23" i="30"/>
  <c r="L23" i="30"/>
  <c r="D23" i="30"/>
  <c r="B23" i="30"/>
  <c r="Z22" i="30"/>
  <c r="X22" i="30"/>
  <c r="P22" i="30"/>
  <c r="N22" i="30"/>
  <c r="D22" i="30"/>
  <c r="L22" i="30" s="1"/>
  <c r="B22" i="30"/>
  <c r="Z21" i="30"/>
  <c r="X21" i="30"/>
  <c r="P21" i="30"/>
  <c r="N21" i="30"/>
  <c r="D21" i="30"/>
  <c r="L21" i="30" s="1"/>
  <c r="B21" i="30"/>
  <c r="Z20" i="30"/>
  <c r="P20" i="30"/>
  <c r="X20" i="30" s="1"/>
  <c r="N20" i="30"/>
  <c r="L20" i="30"/>
  <c r="D20" i="30"/>
  <c r="B20" i="30"/>
  <c r="Z19" i="30"/>
  <c r="P19" i="30"/>
  <c r="X19" i="30" s="1"/>
  <c r="N19" i="30"/>
  <c r="L19" i="30"/>
  <c r="D19" i="30"/>
  <c r="B19" i="30"/>
  <c r="Z18" i="30"/>
  <c r="P18" i="30"/>
  <c r="X18" i="30" s="1"/>
  <c r="N18" i="30"/>
  <c r="L18" i="30"/>
  <c r="D18" i="30"/>
  <c r="B18" i="30"/>
  <c r="Z17" i="30"/>
  <c r="X17" i="30"/>
  <c r="P17" i="30"/>
  <c r="N17" i="30"/>
  <c r="D17" i="30"/>
  <c r="L17" i="30" s="1"/>
  <c r="B17" i="30"/>
  <c r="Z16" i="30"/>
  <c r="P16" i="30"/>
  <c r="X16" i="30" s="1"/>
  <c r="N16" i="30"/>
  <c r="D16" i="30"/>
  <c r="L16" i="30" s="1"/>
  <c r="B16" i="30"/>
  <c r="Z15" i="30"/>
  <c r="X15" i="30"/>
  <c r="P15" i="30"/>
  <c r="N15" i="30"/>
  <c r="L15" i="30"/>
  <c r="D15" i="30"/>
  <c r="B15" i="30"/>
  <c r="Z14" i="30"/>
  <c r="X14" i="30"/>
  <c r="P14" i="30"/>
  <c r="N14" i="30"/>
  <c r="L14" i="30"/>
  <c r="D14" i="30"/>
  <c r="B14" i="30"/>
  <c r="P13" i="30"/>
  <c r="N13" i="30"/>
  <c r="L13" i="30"/>
  <c r="D13" i="30"/>
  <c r="B13" i="30"/>
  <c r="T12" i="30"/>
  <c r="H12" i="30"/>
  <c r="J129" i="30" s="1"/>
  <c r="D12" i="30"/>
  <c r="F76" i="30" s="1"/>
  <c r="D4" i="30"/>
  <c r="X109" i="27"/>
  <c r="Z109" i="27" s="1"/>
  <c r="N109" i="27"/>
  <c r="L109" i="27"/>
  <c r="X105" i="27"/>
  <c r="Z105" i="27" s="1"/>
  <c r="P105" i="27"/>
  <c r="L105" i="27"/>
  <c r="N105" i="27" s="1"/>
  <c r="D105" i="27"/>
  <c r="B105" i="27"/>
  <c r="Z104" i="27"/>
  <c r="X104" i="27"/>
  <c r="P104" i="27"/>
  <c r="N104" i="27"/>
  <c r="D104" i="27"/>
  <c r="L104" i="27" s="1"/>
  <c r="B104" i="27"/>
  <c r="T103" i="27"/>
  <c r="P103" i="27"/>
  <c r="X103" i="27" s="1"/>
  <c r="H103" i="27"/>
  <c r="X101" i="27"/>
  <c r="Z101" i="27" s="1"/>
  <c r="L101" i="27"/>
  <c r="N101" i="27" s="1"/>
  <c r="B101" i="27"/>
  <c r="T100" i="27"/>
  <c r="P100" i="27"/>
  <c r="X100" i="27" s="1"/>
  <c r="Z100" i="27" s="1"/>
  <c r="N100" i="27"/>
  <c r="L100" i="27"/>
  <c r="H100" i="27"/>
  <c r="D100" i="27"/>
  <c r="B100" i="27"/>
  <c r="Z99" i="27"/>
  <c r="X99" i="27"/>
  <c r="N99" i="27"/>
  <c r="L99" i="27"/>
  <c r="B99" i="27"/>
  <c r="T98" i="27"/>
  <c r="P98" i="27"/>
  <c r="L98" i="27"/>
  <c r="H98" i="27"/>
  <c r="D98" i="27"/>
  <c r="B98" i="27"/>
  <c r="X97" i="27"/>
  <c r="Z97" i="27" s="1"/>
  <c r="N97" i="27"/>
  <c r="L97" i="27"/>
  <c r="B97" i="27"/>
  <c r="Z96" i="27"/>
  <c r="X96" i="27"/>
  <c r="N96" i="27"/>
  <c r="L96" i="27"/>
  <c r="B96" i="27"/>
  <c r="X95" i="27"/>
  <c r="T95" i="27"/>
  <c r="Z95" i="27" s="1"/>
  <c r="P95" i="27"/>
  <c r="L95" i="27"/>
  <c r="N95" i="27" s="1"/>
  <c r="H95" i="27"/>
  <c r="D95" i="27"/>
  <c r="B95" i="27"/>
  <c r="Z94" i="27"/>
  <c r="X94" i="27"/>
  <c r="L94" i="27"/>
  <c r="N94" i="27" s="1"/>
  <c r="B94" i="27"/>
  <c r="X93" i="27"/>
  <c r="Z93" i="27" s="1"/>
  <c r="N93" i="27"/>
  <c r="L93" i="27"/>
  <c r="B93" i="27"/>
  <c r="Z92" i="27"/>
  <c r="X92" i="27"/>
  <c r="L92" i="27"/>
  <c r="N92" i="27" s="1"/>
  <c r="B92" i="27"/>
  <c r="T91" i="27"/>
  <c r="P91" i="27"/>
  <c r="H91" i="27"/>
  <c r="D91" i="27"/>
  <c r="B91" i="27"/>
  <c r="X90" i="27"/>
  <c r="Z90" i="27" s="1"/>
  <c r="N90" i="27"/>
  <c r="L90" i="27"/>
  <c r="B90" i="27"/>
  <c r="T89" i="27"/>
  <c r="P89" i="27"/>
  <c r="X89" i="27" s="1"/>
  <c r="Z89" i="27" s="1"/>
  <c r="H89" i="27"/>
  <c r="D89" i="27"/>
  <c r="L89" i="27" s="1"/>
  <c r="N89" i="27" s="1"/>
  <c r="B89" i="27"/>
  <c r="Z88" i="27"/>
  <c r="X88" i="27"/>
  <c r="N88" i="27"/>
  <c r="L88" i="27"/>
  <c r="B88" i="27"/>
  <c r="Z87" i="27"/>
  <c r="X87" i="27"/>
  <c r="L87" i="27"/>
  <c r="N87" i="27" s="1"/>
  <c r="B87" i="27"/>
  <c r="T86" i="27"/>
  <c r="P86" i="27"/>
  <c r="X86" i="27" s="1"/>
  <c r="H86" i="27"/>
  <c r="D86" i="27"/>
  <c r="L86" i="27" s="1"/>
  <c r="N86" i="27" s="1"/>
  <c r="B86" i="27"/>
  <c r="X85" i="27"/>
  <c r="Z85" i="27" s="1"/>
  <c r="N85" i="27"/>
  <c r="L85" i="27"/>
  <c r="B85" i="27"/>
  <c r="T84" i="27"/>
  <c r="P84" i="27"/>
  <c r="X84" i="27" s="1"/>
  <c r="Z84" i="27" s="1"/>
  <c r="N84" i="27"/>
  <c r="L84" i="27"/>
  <c r="H84" i="27"/>
  <c r="D84" i="27"/>
  <c r="B84" i="27"/>
  <c r="Z83" i="27"/>
  <c r="X83" i="27"/>
  <c r="N83" i="27"/>
  <c r="L83" i="27"/>
  <c r="B83" i="27"/>
  <c r="V82" i="27"/>
  <c r="T82" i="27"/>
  <c r="P82" i="27"/>
  <c r="H82" i="27"/>
  <c r="N82" i="27" s="1"/>
  <c r="D82" i="27"/>
  <c r="B82" i="27"/>
  <c r="X81" i="27"/>
  <c r="Z81" i="27" s="1"/>
  <c r="L81" i="27"/>
  <c r="N81" i="27" s="1"/>
  <c r="B81" i="27"/>
  <c r="T80" i="27"/>
  <c r="P80" i="27"/>
  <c r="X80" i="27" s="1"/>
  <c r="Z80" i="27" s="1"/>
  <c r="H80" i="27"/>
  <c r="D80" i="27"/>
  <c r="B80" i="27"/>
  <c r="Z79" i="27"/>
  <c r="X79" i="27"/>
  <c r="N79" i="27"/>
  <c r="L79" i="27"/>
  <c r="B79" i="27"/>
  <c r="X78" i="27"/>
  <c r="Z78" i="27" s="1"/>
  <c r="T78" i="27"/>
  <c r="P78" i="27"/>
  <c r="N78" i="27"/>
  <c r="L78" i="27"/>
  <c r="H78" i="27"/>
  <c r="D78" i="27"/>
  <c r="B78" i="27"/>
  <c r="X77" i="27"/>
  <c r="Z77" i="27" s="1"/>
  <c r="L77" i="27"/>
  <c r="N77" i="27" s="1"/>
  <c r="B77" i="27"/>
  <c r="T76" i="27"/>
  <c r="P76" i="27"/>
  <c r="H76" i="27"/>
  <c r="D76" i="27"/>
  <c r="B76" i="27"/>
  <c r="X75" i="27"/>
  <c r="Z75" i="27" s="1"/>
  <c r="N75" i="27"/>
  <c r="L75" i="27"/>
  <c r="B75" i="27"/>
  <c r="T74" i="27"/>
  <c r="P74" i="27"/>
  <c r="N74" i="27"/>
  <c r="H74" i="27"/>
  <c r="D74" i="27"/>
  <c r="L74" i="27" s="1"/>
  <c r="B74" i="27"/>
  <c r="Z73" i="27"/>
  <c r="X73" i="27"/>
  <c r="V73" i="27"/>
  <c r="L73" i="27"/>
  <c r="N73" i="27" s="1"/>
  <c r="B73" i="27"/>
  <c r="T72" i="27"/>
  <c r="P72" i="27"/>
  <c r="X72" i="27" s="1"/>
  <c r="Z72" i="27" s="1"/>
  <c r="N72" i="27"/>
  <c r="L72" i="27"/>
  <c r="H72" i="27"/>
  <c r="D72" i="27"/>
  <c r="B72" i="27"/>
  <c r="Z71" i="27"/>
  <c r="X71" i="27"/>
  <c r="N71" i="27"/>
  <c r="L71" i="27"/>
  <c r="B71" i="27"/>
  <c r="Z70" i="27"/>
  <c r="X70" i="27"/>
  <c r="N70" i="27"/>
  <c r="L70" i="27"/>
  <c r="B70" i="27"/>
  <c r="Z69" i="27"/>
  <c r="X69" i="27"/>
  <c r="N69" i="27"/>
  <c r="L69" i="27"/>
  <c r="B69" i="27"/>
  <c r="X68" i="27"/>
  <c r="Z68" i="27" s="1"/>
  <c r="V68" i="27"/>
  <c r="N68" i="27"/>
  <c r="L68" i="27"/>
  <c r="B68" i="27"/>
  <c r="Z67" i="27"/>
  <c r="X67" i="27"/>
  <c r="N67" i="27"/>
  <c r="L67" i="27"/>
  <c r="B67" i="27"/>
  <c r="X66" i="27"/>
  <c r="Z66" i="27" s="1"/>
  <c r="N66" i="27"/>
  <c r="L66" i="27"/>
  <c r="B66" i="27"/>
  <c r="Z65" i="27"/>
  <c r="X65" i="27"/>
  <c r="L65" i="27"/>
  <c r="N65" i="27" s="1"/>
  <c r="J65" i="27"/>
  <c r="B65" i="27"/>
  <c r="Z64" i="27"/>
  <c r="X64" i="27"/>
  <c r="N64" i="27"/>
  <c r="L64" i="27"/>
  <c r="B64" i="27"/>
  <c r="Z63" i="27"/>
  <c r="X63" i="27"/>
  <c r="L63" i="27"/>
  <c r="N63" i="27" s="1"/>
  <c r="B63" i="27"/>
  <c r="Z62" i="27"/>
  <c r="X62" i="27"/>
  <c r="N62" i="27"/>
  <c r="L62" i="27"/>
  <c r="B62" i="27"/>
  <c r="X61" i="27"/>
  <c r="Z61" i="27" s="1"/>
  <c r="T61" i="27"/>
  <c r="P61" i="27"/>
  <c r="N61" i="27"/>
  <c r="H61" i="27"/>
  <c r="D61" i="27"/>
  <c r="L61" i="27" s="1"/>
  <c r="B61" i="27"/>
  <c r="Z60" i="27"/>
  <c r="X60" i="27"/>
  <c r="L60" i="27"/>
  <c r="N60" i="27" s="1"/>
  <c r="B60" i="27"/>
  <c r="Z59" i="27"/>
  <c r="X59" i="27"/>
  <c r="N59" i="27"/>
  <c r="L59" i="27"/>
  <c r="B59" i="27"/>
  <c r="Z58" i="27"/>
  <c r="X58" i="27"/>
  <c r="L58" i="27"/>
  <c r="N58" i="27" s="1"/>
  <c r="B58" i="27"/>
  <c r="Z57" i="27"/>
  <c r="X57" i="27"/>
  <c r="N57" i="27"/>
  <c r="L57" i="27"/>
  <c r="B57" i="27"/>
  <c r="Z56" i="27"/>
  <c r="X56" i="27"/>
  <c r="N56" i="27"/>
  <c r="L56" i="27"/>
  <c r="B56" i="27"/>
  <c r="Z55" i="27"/>
  <c r="X55" i="27"/>
  <c r="V55" i="27"/>
  <c r="N55" i="27"/>
  <c r="L55" i="27"/>
  <c r="B55" i="27"/>
  <c r="Z54" i="27"/>
  <c r="X54" i="27"/>
  <c r="L54" i="27"/>
  <c r="N54" i="27" s="1"/>
  <c r="B54" i="27"/>
  <c r="X53" i="27"/>
  <c r="Z53" i="27" s="1"/>
  <c r="N53" i="27"/>
  <c r="L53" i="27"/>
  <c r="B53" i="27"/>
  <c r="Z52" i="27"/>
  <c r="X52" i="27"/>
  <c r="N52" i="27"/>
  <c r="L52" i="27"/>
  <c r="B52" i="27"/>
  <c r="Z51" i="27"/>
  <c r="X51" i="27"/>
  <c r="N51" i="27"/>
  <c r="L51" i="27"/>
  <c r="B51" i="27"/>
  <c r="T50" i="27"/>
  <c r="P50" i="27"/>
  <c r="X50" i="27" s="1"/>
  <c r="N50" i="27"/>
  <c r="H50" i="27"/>
  <c r="D50" i="27"/>
  <c r="L50" i="27" s="1"/>
  <c r="B50" i="27"/>
  <c r="T49" i="27"/>
  <c r="P49" i="27"/>
  <c r="H49" i="27"/>
  <c r="D49" i="27"/>
  <c r="L49" i="27" s="1"/>
  <c r="Z45" i="27"/>
  <c r="X45" i="27"/>
  <c r="N45" i="27"/>
  <c r="L45" i="27"/>
  <c r="B45" i="27"/>
  <c r="Z44" i="27"/>
  <c r="X44" i="27"/>
  <c r="N44" i="27"/>
  <c r="L44" i="27"/>
  <c r="J44" i="27"/>
  <c r="B44" i="27"/>
  <c r="Z43" i="27"/>
  <c r="X43" i="27"/>
  <c r="N43" i="27"/>
  <c r="L43" i="27"/>
  <c r="B43" i="27"/>
  <c r="Z42" i="27"/>
  <c r="X42" i="27"/>
  <c r="N42" i="27"/>
  <c r="L42" i="27"/>
  <c r="B42" i="27"/>
  <c r="Z41" i="27"/>
  <c r="X41" i="27"/>
  <c r="V41" i="27"/>
  <c r="N41" i="27"/>
  <c r="L41" i="27"/>
  <c r="B41" i="27"/>
  <c r="Z40" i="27"/>
  <c r="X40" i="27"/>
  <c r="N40" i="27"/>
  <c r="L40" i="27"/>
  <c r="B40" i="27"/>
  <c r="Z39" i="27"/>
  <c r="X39" i="27"/>
  <c r="N39" i="27"/>
  <c r="L39" i="27"/>
  <c r="B39" i="27"/>
  <c r="Z38" i="27"/>
  <c r="X38" i="27"/>
  <c r="N38" i="27"/>
  <c r="L38" i="27"/>
  <c r="B38" i="27"/>
  <c r="Z37" i="27"/>
  <c r="X37" i="27"/>
  <c r="N37" i="27"/>
  <c r="L37" i="27"/>
  <c r="B37" i="27"/>
  <c r="Z36" i="27"/>
  <c r="X36" i="27"/>
  <c r="N36" i="27"/>
  <c r="L36" i="27"/>
  <c r="B36" i="27"/>
  <c r="Z35" i="27"/>
  <c r="X35" i="27"/>
  <c r="N35" i="27"/>
  <c r="L35" i="27"/>
  <c r="B35" i="27"/>
  <c r="Z34" i="27"/>
  <c r="X34" i="27"/>
  <c r="V34" i="27"/>
  <c r="N34" i="27"/>
  <c r="L34" i="27"/>
  <c r="B34" i="27"/>
  <c r="X33" i="27"/>
  <c r="Z33" i="27" s="1"/>
  <c r="L33" i="27"/>
  <c r="N33" i="27" s="1"/>
  <c r="B33" i="27"/>
  <c r="Z32" i="27"/>
  <c r="X32" i="27"/>
  <c r="T32" i="27"/>
  <c r="P32" i="27"/>
  <c r="N32" i="27"/>
  <c r="L32" i="27"/>
  <c r="H32" i="27"/>
  <c r="D32" i="27"/>
  <c r="Z30" i="27"/>
  <c r="X30" i="27"/>
  <c r="P30" i="27"/>
  <c r="N30" i="27"/>
  <c r="D30" i="27"/>
  <c r="L30" i="27" s="1"/>
  <c r="B30" i="27"/>
  <c r="Z29" i="27"/>
  <c r="X29" i="27"/>
  <c r="P29" i="27"/>
  <c r="N29" i="27"/>
  <c r="D29" i="27"/>
  <c r="L29" i="27" s="1"/>
  <c r="B29" i="27"/>
  <c r="Z28" i="27"/>
  <c r="P28" i="27"/>
  <c r="X28" i="27" s="1"/>
  <c r="N28" i="27"/>
  <c r="L28" i="27"/>
  <c r="D28" i="27"/>
  <c r="B28" i="27"/>
  <c r="Z27" i="27"/>
  <c r="P27" i="27"/>
  <c r="X27" i="27" s="1"/>
  <c r="N27" i="27"/>
  <c r="L27" i="27"/>
  <c r="D27" i="27"/>
  <c r="B27" i="27"/>
  <c r="Z26" i="27"/>
  <c r="X26" i="27"/>
  <c r="P26" i="27"/>
  <c r="N26" i="27"/>
  <c r="L26" i="27"/>
  <c r="D26" i="27"/>
  <c r="B26" i="27"/>
  <c r="Z25" i="27"/>
  <c r="X25" i="27"/>
  <c r="P25" i="27"/>
  <c r="N25" i="27"/>
  <c r="L25" i="27"/>
  <c r="D25" i="27"/>
  <c r="B25" i="27"/>
  <c r="Z24" i="27"/>
  <c r="X24" i="27"/>
  <c r="P24" i="27"/>
  <c r="N24" i="27"/>
  <c r="D24" i="27"/>
  <c r="L24" i="27" s="1"/>
  <c r="B24" i="27"/>
  <c r="Z23" i="27"/>
  <c r="X23" i="27"/>
  <c r="P23" i="27"/>
  <c r="N23" i="27"/>
  <c r="D23" i="27"/>
  <c r="L23" i="27" s="1"/>
  <c r="B23" i="27"/>
  <c r="Z22" i="27"/>
  <c r="P22" i="27"/>
  <c r="X22" i="27" s="1"/>
  <c r="N22" i="27"/>
  <c r="D22" i="27"/>
  <c r="L22" i="27" s="1"/>
  <c r="B22" i="27"/>
  <c r="Z21" i="27"/>
  <c r="P21" i="27"/>
  <c r="X21" i="27" s="1"/>
  <c r="N21" i="27"/>
  <c r="D21" i="27"/>
  <c r="L21" i="27" s="1"/>
  <c r="B21" i="27"/>
  <c r="P20" i="27"/>
  <c r="X20" i="27" s="1"/>
  <c r="Z20" i="27" s="1"/>
  <c r="N20" i="27"/>
  <c r="L20" i="27"/>
  <c r="D20" i="27"/>
  <c r="B20" i="27"/>
  <c r="Z19" i="27"/>
  <c r="X19" i="27"/>
  <c r="P19" i="27"/>
  <c r="N19" i="27"/>
  <c r="L19" i="27"/>
  <c r="D19" i="27"/>
  <c r="B19" i="27"/>
  <c r="Z18" i="27"/>
  <c r="X18" i="27"/>
  <c r="P18" i="27"/>
  <c r="N18" i="27"/>
  <c r="D18" i="27"/>
  <c r="B18" i="27"/>
  <c r="Z17" i="27"/>
  <c r="X17" i="27"/>
  <c r="P17" i="27"/>
  <c r="N17" i="27"/>
  <c r="D17" i="27"/>
  <c r="L17" i="27" s="1"/>
  <c r="B17" i="27"/>
  <c r="Z16" i="27"/>
  <c r="P16" i="27"/>
  <c r="X16" i="27" s="1"/>
  <c r="N16" i="27"/>
  <c r="D16" i="27"/>
  <c r="L16" i="27" s="1"/>
  <c r="B16" i="27"/>
  <c r="Z15" i="27"/>
  <c r="P15" i="27"/>
  <c r="X15" i="27" s="1"/>
  <c r="N15" i="27"/>
  <c r="L15" i="27"/>
  <c r="D15" i="27"/>
  <c r="B15" i="27"/>
  <c r="Z14" i="27"/>
  <c r="X14" i="27"/>
  <c r="P14" i="27"/>
  <c r="N14" i="27"/>
  <c r="L14" i="27"/>
  <c r="D14" i="27"/>
  <c r="B14" i="27"/>
  <c r="Z13" i="27"/>
  <c r="X13" i="27"/>
  <c r="P13" i="27"/>
  <c r="N13" i="27"/>
  <c r="L13" i="27"/>
  <c r="D13" i="27"/>
  <c r="B13" i="27"/>
  <c r="T12" i="27"/>
  <c r="V81" i="27" s="1"/>
  <c r="H12" i="27"/>
  <c r="J99" i="27" s="1"/>
  <c r="D4" i="27"/>
  <c r="T113" i="24"/>
  <c r="Z111" i="24"/>
  <c r="X111" i="24"/>
  <c r="L111" i="24"/>
  <c r="N111" i="24" s="1"/>
  <c r="Z107" i="24"/>
  <c r="T107" i="24"/>
  <c r="P107" i="24"/>
  <c r="X107" i="24" s="1"/>
  <c r="N107" i="24"/>
  <c r="L107" i="24"/>
  <c r="H107" i="24"/>
  <c r="D107" i="24"/>
  <c r="Z105" i="24"/>
  <c r="X105" i="24"/>
  <c r="N105" i="24"/>
  <c r="L105" i="24"/>
  <c r="J105" i="24"/>
  <c r="B105" i="24"/>
  <c r="T104" i="24"/>
  <c r="P104" i="24"/>
  <c r="H104" i="24"/>
  <c r="D104" i="24"/>
  <c r="B104" i="24"/>
  <c r="X103" i="24"/>
  <c r="Z103" i="24" s="1"/>
  <c r="L103" i="24"/>
  <c r="N103" i="24" s="1"/>
  <c r="J103" i="24"/>
  <c r="B103" i="24"/>
  <c r="T102" i="24"/>
  <c r="P102" i="24"/>
  <c r="X102" i="24" s="1"/>
  <c r="Z102" i="24" s="1"/>
  <c r="H102" i="24"/>
  <c r="D102" i="24"/>
  <c r="B102" i="24"/>
  <c r="X101" i="24"/>
  <c r="Z101" i="24" s="1"/>
  <c r="N101" i="24"/>
  <c r="L101" i="24"/>
  <c r="B101" i="24"/>
  <c r="X100" i="24"/>
  <c r="Z100" i="24" s="1"/>
  <c r="V100" i="24"/>
  <c r="T100" i="24"/>
  <c r="P100" i="24"/>
  <c r="H100" i="24"/>
  <c r="D100" i="24"/>
  <c r="L100" i="24" s="1"/>
  <c r="N100" i="24" s="1"/>
  <c r="B100" i="24"/>
  <c r="Z99" i="24"/>
  <c r="X99" i="24"/>
  <c r="L99" i="24"/>
  <c r="N99" i="24" s="1"/>
  <c r="J99" i="24"/>
  <c r="B99" i="24"/>
  <c r="X98" i="24"/>
  <c r="Z98" i="24" s="1"/>
  <c r="N98" i="24"/>
  <c r="L98" i="24"/>
  <c r="B98" i="24"/>
  <c r="Z97" i="24"/>
  <c r="T97" i="24"/>
  <c r="P97" i="24"/>
  <c r="X97" i="24" s="1"/>
  <c r="N97" i="24"/>
  <c r="L97" i="24"/>
  <c r="H97" i="24"/>
  <c r="D97" i="24"/>
  <c r="B97" i="24"/>
  <c r="X96" i="24"/>
  <c r="Z96" i="24" s="1"/>
  <c r="L96" i="24"/>
  <c r="N96" i="24" s="1"/>
  <c r="J96" i="24"/>
  <c r="B96" i="24"/>
  <c r="X95" i="24"/>
  <c r="Z95" i="24" s="1"/>
  <c r="V95" i="24"/>
  <c r="T95" i="24"/>
  <c r="P95" i="24"/>
  <c r="L95" i="24"/>
  <c r="H95" i="24"/>
  <c r="J95" i="24" s="1"/>
  <c r="D95" i="24"/>
  <c r="B95" i="24"/>
  <c r="Z94" i="24"/>
  <c r="X94" i="24"/>
  <c r="L94" i="24"/>
  <c r="N94" i="24" s="1"/>
  <c r="J94" i="24"/>
  <c r="B94" i="24"/>
  <c r="T93" i="24"/>
  <c r="P93" i="24"/>
  <c r="J93" i="24"/>
  <c r="H93" i="24"/>
  <c r="D93" i="24"/>
  <c r="L93" i="24" s="1"/>
  <c r="B93" i="24"/>
  <c r="X92" i="24"/>
  <c r="Z92" i="24" s="1"/>
  <c r="V92" i="24"/>
  <c r="N92" i="24"/>
  <c r="L92" i="24"/>
  <c r="B92" i="24"/>
  <c r="T91" i="24"/>
  <c r="P91" i="24"/>
  <c r="X91" i="24" s="1"/>
  <c r="Z91" i="24" s="1"/>
  <c r="H91" i="24"/>
  <c r="D91" i="24"/>
  <c r="L91" i="24" s="1"/>
  <c r="N91" i="24" s="1"/>
  <c r="B91" i="24"/>
  <c r="Z90" i="24"/>
  <c r="X90" i="24"/>
  <c r="L90" i="24"/>
  <c r="N90" i="24" s="1"/>
  <c r="B90" i="24"/>
  <c r="Z89" i="24"/>
  <c r="X89" i="24"/>
  <c r="T89" i="24"/>
  <c r="P89" i="24"/>
  <c r="L89" i="24"/>
  <c r="N89" i="24" s="1"/>
  <c r="J89" i="24"/>
  <c r="H89" i="24"/>
  <c r="D89" i="24"/>
  <c r="B89" i="24"/>
  <c r="Z88" i="24"/>
  <c r="X88" i="24"/>
  <c r="V88" i="24"/>
  <c r="L88" i="24"/>
  <c r="N88" i="24" s="1"/>
  <c r="J88" i="24"/>
  <c r="B88" i="24"/>
  <c r="T87" i="24"/>
  <c r="P87" i="24"/>
  <c r="H87" i="24"/>
  <c r="D87" i="24"/>
  <c r="L87" i="24" s="1"/>
  <c r="B87" i="24"/>
  <c r="Z86" i="24"/>
  <c r="X86" i="24"/>
  <c r="N86" i="24"/>
  <c r="L86" i="24"/>
  <c r="B86" i="24"/>
  <c r="Z85" i="24"/>
  <c r="T85" i="24"/>
  <c r="P85" i="24"/>
  <c r="X85" i="24" s="1"/>
  <c r="N85" i="24"/>
  <c r="L85" i="24"/>
  <c r="H85" i="24"/>
  <c r="D85" i="24"/>
  <c r="B85" i="24"/>
  <c r="Z84" i="24"/>
  <c r="X84" i="24"/>
  <c r="N84" i="24"/>
  <c r="L84" i="24"/>
  <c r="J84" i="24"/>
  <c r="B84" i="24"/>
  <c r="X83" i="24"/>
  <c r="T83" i="24"/>
  <c r="P83" i="24"/>
  <c r="L83" i="24"/>
  <c r="N83" i="24" s="1"/>
  <c r="J83" i="24"/>
  <c r="H83" i="24"/>
  <c r="D83" i="24"/>
  <c r="B83" i="24"/>
  <c r="Z82" i="24"/>
  <c r="X82" i="24"/>
  <c r="N82" i="24"/>
  <c r="L82" i="24"/>
  <c r="J82" i="24"/>
  <c r="B82" i="24"/>
  <c r="Z81" i="24"/>
  <c r="X81" i="24"/>
  <c r="N81" i="24"/>
  <c r="L81" i="24"/>
  <c r="B81" i="24"/>
  <c r="X80" i="24"/>
  <c r="Z80" i="24" s="1"/>
  <c r="L80" i="24"/>
  <c r="N80" i="24" s="1"/>
  <c r="J80" i="24"/>
  <c r="B80" i="24"/>
  <c r="X79" i="24"/>
  <c r="Z79" i="24" s="1"/>
  <c r="L79" i="24"/>
  <c r="N79" i="24" s="1"/>
  <c r="B79" i="24"/>
  <c r="Z78" i="24"/>
  <c r="X78" i="24"/>
  <c r="N78" i="24"/>
  <c r="L78" i="24"/>
  <c r="J78" i="24"/>
  <c r="B78" i="24"/>
  <c r="Z77" i="24"/>
  <c r="X77" i="24"/>
  <c r="N77" i="24"/>
  <c r="L77" i="24"/>
  <c r="B77" i="24"/>
  <c r="Z76" i="24"/>
  <c r="X76" i="24"/>
  <c r="N76" i="24"/>
  <c r="L76" i="24"/>
  <c r="J76" i="24"/>
  <c r="B76" i="24"/>
  <c r="Z75" i="24"/>
  <c r="X75" i="24"/>
  <c r="N75" i="24"/>
  <c r="L75" i="24"/>
  <c r="B75" i="24"/>
  <c r="Z74" i="24"/>
  <c r="X74" i="24"/>
  <c r="N74" i="24"/>
  <c r="L74" i="24"/>
  <c r="J74" i="24"/>
  <c r="B74" i="24"/>
  <c r="X73" i="24"/>
  <c r="Z73" i="24" s="1"/>
  <c r="N73" i="24"/>
  <c r="L73" i="24"/>
  <c r="B73" i="24"/>
  <c r="X72" i="24"/>
  <c r="Z72" i="24" s="1"/>
  <c r="V72" i="24"/>
  <c r="T72" i="24"/>
  <c r="P72" i="24"/>
  <c r="H72" i="24"/>
  <c r="D72" i="24"/>
  <c r="L72" i="24" s="1"/>
  <c r="N72" i="24" s="1"/>
  <c r="B72" i="24"/>
  <c r="Z71" i="24"/>
  <c r="X71" i="24"/>
  <c r="N71" i="24"/>
  <c r="L71" i="24"/>
  <c r="J71" i="24"/>
  <c r="B71" i="24"/>
  <c r="X70" i="24"/>
  <c r="Z70" i="24" s="1"/>
  <c r="N70" i="24"/>
  <c r="L70" i="24"/>
  <c r="B70" i="24"/>
  <c r="Z69" i="24"/>
  <c r="X69" i="24"/>
  <c r="N69" i="24"/>
  <c r="L69" i="24"/>
  <c r="J69" i="24"/>
  <c r="B69" i="24"/>
  <c r="Z68" i="24"/>
  <c r="X68" i="24"/>
  <c r="N68" i="24"/>
  <c r="L68" i="24"/>
  <c r="B68" i="24"/>
  <c r="Z67" i="24"/>
  <c r="X67" i="24"/>
  <c r="L67" i="24"/>
  <c r="N67" i="24" s="1"/>
  <c r="J67" i="24"/>
  <c r="B67" i="24"/>
  <c r="X66" i="24"/>
  <c r="Z66" i="24" s="1"/>
  <c r="N66" i="24"/>
  <c r="L66" i="24"/>
  <c r="B66" i="24"/>
  <c r="Z65" i="24"/>
  <c r="X65" i="24"/>
  <c r="N65" i="24"/>
  <c r="L65" i="24"/>
  <c r="J65" i="24"/>
  <c r="B65" i="24"/>
  <c r="X64" i="24"/>
  <c r="Z64" i="24" s="1"/>
  <c r="V64" i="24"/>
  <c r="N64" i="24"/>
  <c r="L64" i="24"/>
  <c r="B64" i="24"/>
  <c r="Z63" i="24"/>
  <c r="X63" i="24"/>
  <c r="L63" i="24"/>
  <c r="N63" i="24" s="1"/>
  <c r="J63" i="24"/>
  <c r="B63" i="24"/>
  <c r="V62" i="24"/>
  <c r="T62" i="24"/>
  <c r="P62" i="24"/>
  <c r="H62" i="24"/>
  <c r="D62" i="24"/>
  <c r="B62" i="24"/>
  <c r="T61" i="24"/>
  <c r="X61" i="24" s="1"/>
  <c r="Z61" i="24" s="1"/>
  <c r="P61" i="24"/>
  <c r="L61" i="24"/>
  <c r="J61" i="24"/>
  <c r="H61" i="24"/>
  <c r="D61" i="24"/>
  <c r="T59" i="24"/>
  <c r="T109" i="24" s="1"/>
  <c r="Z57" i="24"/>
  <c r="X57" i="24"/>
  <c r="N57" i="24"/>
  <c r="L57" i="24"/>
  <c r="B57" i="24"/>
  <c r="Z56" i="24"/>
  <c r="X56" i="24"/>
  <c r="N56" i="24"/>
  <c r="L56" i="24"/>
  <c r="J56" i="24"/>
  <c r="B56" i="24"/>
  <c r="Z55" i="24"/>
  <c r="X55" i="24"/>
  <c r="V55" i="24"/>
  <c r="N55" i="24"/>
  <c r="L55" i="24"/>
  <c r="J55" i="24"/>
  <c r="B55" i="24"/>
  <c r="Z54" i="24"/>
  <c r="X54" i="24"/>
  <c r="N54" i="24"/>
  <c r="L54" i="24"/>
  <c r="B54" i="24"/>
  <c r="Z53" i="24"/>
  <c r="X53" i="24"/>
  <c r="V53" i="24"/>
  <c r="N53" i="24"/>
  <c r="L53" i="24"/>
  <c r="B53" i="24"/>
  <c r="Z52" i="24"/>
  <c r="X52" i="24"/>
  <c r="N52" i="24"/>
  <c r="L52" i="24"/>
  <c r="J52" i="24"/>
  <c r="B52" i="24"/>
  <c r="Z51" i="24"/>
  <c r="X51" i="24"/>
  <c r="V51" i="24"/>
  <c r="N51" i="24"/>
  <c r="L51" i="24"/>
  <c r="J51" i="24"/>
  <c r="B51" i="24"/>
  <c r="Z50" i="24"/>
  <c r="X50" i="24"/>
  <c r="N50" i="24"/>
  <c r="L50" i="24"/>
  <c r="B50" i="24"/>
  <c r="Z49" i="24"/>
  <c r="X49" i="24"/>
  <c r="N49" i="24"/>
  <c r="L49" i="24"/>
  <c r="B49" i="24"/>
  <c r="Z48" i="24"/>
  <c r="X48" i="24"/>
  <c r="N48" i="24"/>
  <c r="L48" i="24"/>
  <c r="J48" i="24"/>
  <c r="B48" i="24"/>
  <c r="Z47" i="24"/>
  <c r="X47" i="24"/>
  <c r="V47" i="24"/>
  <c r="N47" i="24"/>
  <c r="L47" i="24"/>
  <c r="J47" i="24"/>
  <c r="B47" i="24"/>
  <c r="Z46" i="24"/>
  <c r="X46" i="24"/>
  <c r="N46" i="24"/>
  <c r="L46" i="24"/>
  <c r="B46" i="24"/>
  <c r="Z45" i="24"/>
  <c r="X45" i="24"/>
  <c r="N45" i="24"/>
  <c r="L45" i="24"/>
  <c r="B45" i="24"/>
  <c r="Z44" i="24"/>
  <c r="X44" i="24"/>
  <c r="N44" i="24"/>
  <c r="L44" i="24"/>
  <c r="J44" i="24"/>
  <c r="B44" i="24"/>
  <c r="X43" i="24"/>
  <c r="T43" i="24"/>
  <c r="Z43" i="24" s="1"/>
  <c r="P43" i="24"/>
  <c r="N43" i="24"/>
  <c r="L43" i="24"/>
  <c r="J43" i="24"/>
  <c r="H43" i="24"/>
  <c r="D43" i="24"/>
  <c r="Z41" i="24"/>
  <c r="X41" i="24"/>
  <c r="P41" i="24"/>
  <c r="N41" i="24"/>
  <c r="D41" i="24"/>
  <c r="L41" i="24" s="1"/>
  <c r="B41" i="24"/>
  <c r="Z40" i="24"/>
  <c r="X40" i="24"/>
  <c r="P40" i="24"/>
  <c r="N40" i="24"/>
  <c r="L40" i="24"/>
  <c r="D40" i="24"/>
  <c r="B40" i="24"/>
  <c r="Z39" i="24"/>
  <c r="X39" i="24"/>
  <c r="P39" i="24"/>
  <c r="N39" i="24"/>
  <c r="L39" i="24"/>
  <c r="D39" i="24"/>
  <c r="B39" i="24"/>
  <c r="Z38" i="24"/>
  <c r="P38" i="24"/>
  <c r="X38" i="24" s="1"/>
  <c r="N38" i="24"/>
  <c r="L38" i="24"/>
  <c r="D38" i="24"/>
  <c r="B38" i="24"/>
  <c r="Z37" i="24"/>
  <c r="P37" i="24"/>
  <c r="X37" i="24" s="1"/>
  <c r="N37" i="24"/>
  <c r="L37" i="24"/>
  <c r="D37" i="24"/>
  <c r="B37" i="24"/>
  <c r="Z36" i="24"/>
  <c r="P36" i="24"/>
  <c r="X36" i="24" s="1"/>
  <c r="N36" i="24"/>
  <c r="L36" i="24"/>
  <c r="D36" i="24"/>
  <c r="B36" i="24"/>
  <c r="Z35" i="24"/>
  <c r="X35" i="24"/>
  <c r="P35" i="24"/>
  <c r="N35" i="24"/>
  <c r="D35" i="24"/>
  <c r="L35" i="24" s="1"/>
  <c r="B35" i="24"/>
  <c r="Z34" i="24"/>
  <c r="X34" i="24"/>
  <c r="P34" i="24"/>
  <c r="N34" i="24"/>
  <c r="D34" i="24"/>
  <c r="L34" i="24" s="1"/>
  <c r="B34" i="24"/>
  <c r="Z33" i="24"/>
  <c r="X33" i="24"/>
  <c r="P33" i="24"/>
  <c r="N33" i="24"/>
  <c r="D33" i="24"/>
  <c r="L33" i="24" s="1"/>
  <c r="B33" i="24"/>
  <c r="Z32" i="24"/>
  <c r="P32" i="24"/>
  <c r="X32" i="24" s="1"/>
  <c r="N32" i="24"/>
  <c r="L32" i="24"/>
  <c r="D32" i="24"/>
  <c r="B32" i="24"/>
  <c r="Z31" i="24"/>
  <c r="X31" i="24"/>
  <c r="P31" i="24"/>
  <c r="N31" i="24"/>
  <c r="L31" i="24"/>
  <c r="D31" i="24"/>
  <c r="B31" i="24"/>
  <c r="Z30" i="24"/>
  <c r="P30" i="24"/>
  <c r="X30" i="24" s="1"/>
  <c r="N30" i="24"/>
  <c r="L30" i="24"/>
  <c r="D30" i="24"/>
  <c r="B30" i="24"/>
  <c r="Z29" i="24"/>
  <c r="X29" i="24"/>
  <c r="P29" i="24"/>
  <c r="N29" i="24"/>
  <c r="D29" i="24"/>
  <c r="L29" i="24" s="1"/>
  <c r="B29" i="24"/>
  <c r="X28" i="24"/>
  <c r="Z28" i="24" s="1"/>
  <c r="P28" i="24"/>
  <c r="L28" i="24"/>
  <c r="N28" i="24" s="1"/>
  <c r="D28" i="24"/>
  <c r="B28" i="24"/>
  <c r="Z27" i="24"/>
  <c r="X27" i="24"/>
  <c r="P27" i="24"/>
  <c r="N27" i="24"/>
  <c r="D27" i="24"/>
  <c r="L27" i="24" s="1"/>
  <c r="B27" i="24"/>
  <c r="Z26" i="24"/>
  <c r="P26" i="24"/>
  <c r="X26" i="24" s="1"/>
  <c r="N26" i="24"/>
  <c r="L26" i="24"/>
  <c r="D26" i="24"/>
  <c r="B26" i="24"/>
  <c r="Z25" i="24"/>
  <c r="P25" i="24"/>
  <c r="X25" i="24" s="1"/>
  <c r="N25" i="24"/>
  <c r="D25" i="24"/>
  <c r="L25" i="24" s="1"/>
  <c r="B25" i="24"/>
  <c r="Z24" i="24"/>
  <c r="P24" i="24"/>
  <c r="X24" i="24" s="1"/>
  <c r="N24" i="24"/>
  <c r="L24" i="24"/>
  <c r="D24" i="24"/>
  <c r="B24" i="24"/>
  <c r="Z23" i="24"/>
  <c r="P23" i="24"/>
  <c r="X23" i="24" s="1"/>
  <c r="N23" i="24"/>
  <c r="D23" i="24"/>
  <c r="L23" i="24" s="1"/>
  <c r="B23" i="24"/>
  <c r="Z22" i="24"/>
  <c r="X22" i="24"/>
  <c r="P22" i="24"/>
  <c r="N22" i="24"/>
  <c r="D22" i="24"/>
  <c r="L22" i="24" s="1"/>
  <c r="B22" i="24"/>
  <c r="Z21" i="24"/>
  <c r="X21" i="24"/>
  <c r="P21" i="24"/>
  <c r="N21" i="24"/>
  <c r="D21" i="24"/>
  <c r="L21" i="24" s="1"/>
  <c r="B21" i="24"/>
  <c r="Z20" i="24"/>
  <c r="P20" i="24"/>
  <c r="X20" i="24" s="1"/>
  <c r="N20" i="24"/>
  <c r="L20" i="24"/>
  <c r="D20" i="24"/>
  <c r="B20" i="24"/>
  <c r="Z19" i="24"/>
  <c r="X19" i="24"/>
  <c r="P19" i="24"/>
  <c r="N19" i="24"/>
  <c r="L19" i="24"/>
  <c r="D19" i="24"/>
  <c r="B19" i="24"/>
  <c r="Z18" i="24"/>
  <c r="X18" i="24"/>
  <c r="P18" i="24"/>
  <c r="N18" i="24"/>
  <c r="L18" i="24"/>
  <c r="D18" i="24"/>
  <c r="B18" i="24"/>
  <c r="Z17" i="24"/>
  <c r="P17" i="24"/>
  <c r="X17" i="24" s="1"/>
  <c r="N17" i="24"/>
  <c r="D17" i="24"/>
  <c r="L17" i="24" s="1"/>
  <c r="B17" i="24"/>
  <c r="Z16" i="24"/>
  <c r="X16" i="24"/>
  <c r="P16" i="24"/>
  <c r="N16" i="24"/>
  <c r="L16" i="24"/>
  <c r="D16" i="24"/>
  <c r="B16" i="24"/>
  <c r="Z15" i="24"/>
  <c r="X15" i="24"/>
  <c r="P15" i="24"/>
  <c r="N15" i="24"/>
  <c r="D15" i="24"/>
  <c r="L15" i="24" s="1"/>
  <c r="B15" i="24"/>
  <c r="Z14" i="24"/>
  <c r="P14" i="24"/>
  <c r="X14" i="24" s="1"/>
  <c r="N14" i="24"/>
  <c r="D14" i="24"/>
  <c r="D12" i="24" s="1"/>
  <c r="B14" i="24"/>
  <c r="P13" i="24"/>
  <c r="D13" i="24"/>
  <c r="L13" i="24" s="1"/>
  <c r="N13" i="24" s="1"/>
  <c r="B13" i="24"/>
  <c r="T12" i="24"/>
  <c r="V89" i="24" s="1"/>
  <c r="H12" i="24"/>
  <c r="D4" i="24"/>
  <c r="Z108" i="21"/>
  <c r="X108" i="21"/>
  <c r="L108" i="21"/>
  <c r="N108" i="21" s="1"/>
  <c r="J108" i="21"/>
  <c r="Z104" i="21"/>
  <c r="T104" i="21"/>
  <c r="P104" i="21"/>
  <c r="X104" i="21" s="1"/>
  <c r="H104" i="21"/>
  <c r="N104" i="21" s="1"/>
  <c r="D104" i="21"/>
  <c r="L104" i="21" s="1"/>
  <c r="Z102" i="21"/>
  <c r="X102" i="21"/>
  <c r="N102" i="21"/>
  <c r="L102" i="21"/>
  <c r="B102" i="21"/>
  <c r="X101" i="21"/>
  <c r="Z101" i="21" s="1"/>
  <c r="T101" i="21"/>
  <c r="P101" i="21"/>
  <c r="H101" i="21"/>
  <c r="D101" i="21"/>
  <c r="L101" i="21" s="1"/>
  <c r="N101" i="21" s="1"/>
  <c r="B101" i="21"/>
  <c r="Z100" i="21"/>
  <c r="X100" i="21"/>
  <c r="L100" i="21"/>
  <c r="N100" i="21" s="1"/>
  <c r="J100" i="21"/>
  <c r="B100" i="21"/>
  <c r="T99" i="21"/>
  <c r="P99" i="21"/>
  <c r="X99" i="21" s="1"/>
  <c r="H99" i="21"/>
  <c r="D99" i="21"/>
  <c r="B99" i="21"/>
  <c r="X98" i="21"/>
  <c r="Z98" i="21" s="1"/>
  <c r="N98" i="21"/>
  <c r="L98" i="21"/>
  <c r="B98" i="21"/>
  <c r="Z97" i="21"/>
  <c r="X97" i="21"/>
  <c r="N97" i="21"/>
  <c r="L97" i="21"/>
  <c r="B97" i="21"/>
  <c r="X96" i="21"/>
  <c r="Z96" i="21" s="1"/>
  <c r="N96" i="21"/>
  <c r="L96" i="21"/>
  <c r="J96" i="21"/>
  <c r="B96" i="21"/>
  <c r="Z95" i="21"/>
  <c r="X95" i="21"/>
  <c r="N95" i="21"/>
  <c r="L95" i="21"/>
  <c r="B95" i="21"/>
  <c r="Z94" i="21"/>
  <c r="X94" i="21"/>
  <c r="N94" i="21"/>
  <c r="L94" i="21"/>
  <c r="B94" i="21"/>
  <c r="Z93" i="21"/>
  <c r="X93" i="21"/>
  <c r="N93" i="21"/>
  <c r="L93" i="21"/>
  <c r="B93" i="21"/>
  <c r="T92" i="21"/>
  <c r="P92" i="21"/>
  <c r="N92" i="21"/>
  <c r="L92" i="21"/>
  <c r="J92" i="21"/>
  <c r="H92" i="21"/>
  <c r="D92" i="21"/>
  <c r="B92" i="21"/>
  <c r="X91" i="21"/>
  <c r="Z91" i="21" s="1"/>
  <c r="L91" i="21"/>
  <c r="N91" i="21" s="1"/>
  <c r="J91" i="21"/>
  <c r="B91" i="21"/>
  <c r="Z90" i="21"/>
  <c r="T90" i="21"/>
  <c r="P90" i="21"/>
  <c r="X90" i="21" s="1"/>
  <c r="J90" i="21"/>
  <c r="H90" i="21"/>
  <c r="D90" i="21"/>
  <c r="B90" i="21"/>
  <c r="X89" i="21"/>
  <c r="Z89" i="21" s="1"/>
  <c r="N89" i="21"/>
  <c r="L89" i="21"/>
  <c r="B89" i="21"/>
  <c r="Z88" i="21"/>
  <c r="X88" i="21"/>
  <c r="V88" i="21"/>
  <c r="L88" i="21"/>
  <c r="N88" i="21" s="1"/>
  <c r="J88" i="21"/>
  <c r="B88" i="21"/>
  <c r="X87" i="21"/>
  <c r="Z87" i="21" s="1"/>
  <c r="L87" i="21"/>
  <c r="N87" i="21" s="1"/>
  <c r="B87" i="21"/>
  <c r="Z86" i="21"/>
  <c r="X86" i="21"/>
  <c r="N86" i="21"/>
  <c r="L86" i="21"/>
  <c r="J86" i="21"/>
  <c r="B86" i="21"/>
  <c r="Z85" i="21"/>
  <c r="X85" i="21"/>
  <c r="N85" i="21"/>
  <c r="L85" i="21"/>
  <c r="B85" i="21"/>
  <c r="Z84" i="21"/>
  <c r="V84" i="21"/>
  <c r="T84" i="21"/>
  <c r="P84" i="21"/>
  <c r="X84" i="21" s="1"/>
  <c r="H84" i="21"/>
  <c r="D84" i="21"/>
  <c r="L84" i="21" s="1"/>
  <c r="N84" i="21" s="1"/>
  <c r="B84" i="21"/>
  <c r="X83" i="21"/>
  <c r="Z83" i="21" s="1"/>
  <c r="L83" i="21"/>
  <c r="N83" i="21" s="1"/>
  <c r="B83" i="21"/>
  <c r="X82" i="21"/>
  <c r="Z82" i="21" s="1"/>
  <c r="V82" i="21"/>
  <c r="T82" i="21"/>
  <c r="P82" i="21"/>
  <c r="J82" i="21"/>
  <c r="H82" i="21"/>
  <c r="D82" i="21"/>
  <c r="B82" i="21"/>
  <c r="X81" i="21"/>
  <c r="Z81" i="21" s="1"/>
  <c r="L81" i="21"/>
  <c r="N81" i="21" s="1"/>
  <c r="B81" i="21"/>
  <c r="T80" i="21"/>
  <c r="P80" i="21"/>
  <c r="N80" i="21"/>
  <c r="H80" i="21"/>
  <c r="D80" i="21"/>
  <c r="L80" i="21" s="1"/>
  <c r="B80" i="21"/>
  <c r="X79" i="21"/>
  <c r="Z79" i="21" s="1"/>
  <c r="V79" i="21"/>
  <c r="L79" i="21"/>
  <c r="N79" i="21" s="1"/>
  <c r="B79" i="21"/>
  <c r="T78" i="21"/>
  <c r="P78" i="21"/>
  <c r="X78" i="21" s="1"/>
  <c r="Z78" i="21" s="1"/>
  <c r="J78" i="21"/>
  <c r="H78" i="21"/>
  <c r="D78" i="21"/>
  <c r="L78" i="21" s="1"/>
  <c r="N78" i="21" s="1"/>
  <c r="B78" i="21"/>
  <c r="Z77" i="21"/>
  <c r="X77" i="21"/>
  <c r="N77" i="21"/>
  <c r="L77" i="21"/>
  <c r="B77" i="21"/>
  <c r="T76" i="21"/>
  <c r="Z76" i="21" s="1"/>
  <c r="P76" i="21"/>
  <c r="N76" i="21"/>
  <c r="L76" i="21"/>
  <c r="J76" i="21"/>
  <c r="H76" i="21"/>
  <c r="D76" i="21"/>
  <c r="B76" i="21"/>
  <c r="X75" i="21"/>
  <c r="Z75" i="21" s="1"/>
  <c r="L75" i="21"/>
  <c r="N75" i="21" s="1"/>
  <c r="J75" i="21"/>
  <c r="B75" i="21"/>
  <c r="Z74" i="21"/>
  <c r="T74" i="21"/>
  <c r="P74" i="21"/>
  <c r="X74" i="21" s="1"/>
  <c r="J74" i="21"/>
  <c r="H74" i="21"/>
  <c r="D74" i="21"/>
  <c r="L74" i="21" s="1"/>
  <c r="B74" i="21"/>
  <c r="X73" i="21"/>
  <c r="Z73" i="21" s="1"/>
  <c r="N73" i="21"/>
  <c r="L73" i="21"/>
  <c r="B73" i="21"/>
  <c r="T72" i="21"/>
  <c r="P72" i="21"/>
  <c r="X72" i="21" s="1"/>
  <c r="Z72" i="21" s="1"/>
  <c r="N72" i="21"/>
  <c r="H72" i="21"/>
  <c r="D72" i="21"/>
  <c r="L72" i="21" s="1"/>
  <c r="B72" i="21"/>
  <c r="X71" i="21"/>
  <c r="Z71" i="21" s="1"/>
  <c r="L71" i="21"/>
  <c r="N71" i="21" s="1"/>
  <c r="B71" i="21"/>
  <c r="X70" i="21"/>
  <c r="Z70" i="21" s="1"/>
  <c r="T70" i="21"/>
  <c r="P70" i="21"/>
  <c r="J70" i="21"/>
  <c r="H70" i="21"/>
  <c r="D70" i="21"/>
  <c r="B70" i="21"/>
  <c r="Z69" i="21"/>
  <c r="X69" i="21"/>
  <c r="N69" i="21"/>
  <c r="L69" i="21"/>
  <c r="B69" i="21"/>
  <c r="T68" i="21"/>
  <c r="Z68" i="21" s="1"/>
  <c r="P68" i="21"/>
  <c r="X68" i="21" s="1"/>
  <c r="N68" i="21"/>
  <c r="H68" i="21"/>
  <c r="D68" i="21"/>
  <c r="L68" i="21" s="1"/>
  <c r="B68" i="21"/>
  <c r="X67" i="21"/>
  <c r="Z67" i="21" s="1"/>
  <c r="V67" i="21"/>
  <c r="L67" i="21"/>
  <c r="N67" i="21" s="1"/>
  <c r="B67" i="21"/>
  <c r="T66" i="21"/>
  <c r="P66" i="21"/>
  <c r="X66" i="21" s="1"/>
  <c r="Z66" i="21" s="1"/>
  <c r="J66" i="21"/>
  <c r="H66" i="21"/>
  <c r="D66" i="21"/>
  <c r="L66" i="21" s="1"/>
  <c r="N66" i="21" s="1"/>
  <c r="B66" i="21"/>
  <c r="Z65" i="21"/>
  <c r="X65" i="21"/>
  <c r="N65" i="21"/>
  <c r="L65" i="21"/>
  <c r="B65" i="21"/>
  <c r="T64" i="21"/>
  <c r="P64" i="21"/>
  <c r="L64" i="21"/>
  <c r="N64" i="21" s="1"/>
  <c r="J64" i="21"/>
  <c r="H64" i="21"/>
  <c r="D64" i="21"/>
  <c r="B64" i="21"/>
  <c r="Z63" i="21"/>
  <c r="X63" i="21"/>
  <c r="N63" i="21"/>
  <c r="L63" i="21"/>
  <c r="J63" i="21"/>
  <c r="B63" i="21"/>
  <c r="Z62" i="21"/>
  <c r="T62" i="21"/>
  <c r="P62" i="21"/>
  <c r="X62" i="21" s="1"/>
  <c r="H62" i="21"/>
  <c r="D62" i="21"/>
  <c r="B62" i="21"/>
  <c r="X61" i="21"/>
  <c r="Z61" i="21" s="1"/>
  <c r="N61" i="21"/>
  <c r="L61" i="21"/>
  <c r="B61" i="21"/>
  <c r="Z60" i="21"/>
  <c r="X60" i="21"/>
  <c r="V60" i="21"/>
  <c r="L60" i="21"/>
  <c r="N60" i="21" s="1"/>
  <c r="J60" i="21"/>
  <c r="B60" i="21"/>
  <c r="T59" i="21"/>
  <c r="P59" i="21"/>
  <c r="X59" i="21" s="1"/>
  <c r="H59" i="21"/>
  <c r="D59" i="21"/>
  <c r="B59" i="21"/>
  <c r="X58" i="21"/>
  <c r="Z58" i="21" s="1"/>
  <c r="V58" i="21"/>
  <c r="N58" i="21"/>
  <c r="L58" i="21"/>
  <c r="B58" i="21"/>
  <c r="T57" i="21"/>
  <c r="P57" i="21"/>
  <c r="X57" i="21" s="1"/>
  <c r="H57" i="21"/>
  <c r="D57" i="21"/>
  <c r="L57" i="21" s="1"/>
  <c r="B57" i="21"/>
  <c r="X56" i="21"/>
  <c r="Z56" i="21" s="1"/>
  <c r="V56" i="21"/>
  <c r="N56" i="21"/>
  <c r="L56" i="21"/>
  <c r="J56" i="21"/>
  <c r="B56" i="21"/>
  <c r="X55" i="21"/>
  <c r="Z55" i="21" s="1"/>
  <c r="T55" i="21"/>
  <c r="P55" i="21"/>
  <c r="H55" i="21"/>
  <c r="D55" i="21"/>
  <c r="B55" i="21"/>
  <c r="Z54" i="21"/>
  <c r="X54" i="21"/>
  <c r="L54" i="21"/>
  <c r="N54" i="21" s="1"/>
  <c r="J54" i="21"/>
  <c r="B54" i="21"/>
  <c r="T53" i="21"/>
  <c r="P53" i="21"/>
  <c r="H53" i="21"/>
  <c r="D53" i="21"/>
  <c r="B53" i="21"/>
  <c r="Z52" i="21"/>
  <c r="X52" i="21"/>
  <c r="V52" i="21"/>
  <c r="N52" i="21"/>
  <c r="L52" i="21"/>
  <c r="J52" i="21"/>
  <c r="B52" i="21"/>
  <c r="Z51" i="21"/>
  <c r="X51" i="21"/>
  <c r="N51" i="21"/>
  <c r="L51" i="21"/>
  <c r="B51" i="21"/>
  <c r="Z50" i="21"/>
  <c r="X50" i="21"/>
  <c r="V50" i="21"/>
  <c r="N50" i="21"/>
  <c r="L50" i="21"/>
  <c r="B50" i="21"/>
  <c r="Z49" i="21"/>
  <c r="X49" i="21"/>
  <c r="L49" i="21"/>
  <c r="N49" i="21" s="1"/>
  <c r="B49" i="21"/>
  <c r="Z48" i="21"/>
  <c r="X48" i="21"/>
  <c r="N48" i="21"/>
  <c r="L48" i="21"/>
  <c r="J48" i="21"/>
  <c r="B48" i="21"/>
  <c r="Z47" i="21"/>
  <c r="X47" i="21"/>
  <c r="N47" i="21"/>
  <c r="L47" i="21"/>
  <c r="B47" i="21"/>
  <c r="Z46" i="21"/>
  <c r="X46" i="21"/>
  <c r="N46" i="21"/>
  <c r="L46" i="21"/>
  <c r="B46" i="21"/>
  <c r="Z45" i="21"/>
  <c r="X45" i="21"/>
  <c r="N45" i="21"/>
  <c r="L45" i="21"/>
  <c r="B45" i="21"/>
  <c r="X44" i="21"/>
  <c r="Z44" i="21" s="1"/>
  <c r="L44" i="21"/>
  <c r="N44" i="21" s="1"/>
  <c r="J44" i="21"/>
  <c r="B44" i="21"/>
  <c r="X43" i="21"/>
  <c r="Z43" i="21" s="1"/>
  <c r="L43" i="21"/>
  <c r="N43" i="21" s="1"/>
  <c r="B43" i="21"/>
  <c r="X42" i="21"/>
  <c r="Z42" i="21" s="1"/>
  <c r="V42" i="21"/>
  <c r="T42" i="21"/>
  <c r="P42" i="21"/>
  <c r="J42" i="21"/>
  <c r="H42" i="21"/>
  <c r="D42" i="21"/>
  <c r="B42" i="21"/>
  <c r="Z41" i="21"/>
  <c r="X41" i="21"/>
  <c r="L41" i="21"/>
  <c r="N41" i="21" s="1"/>
  <c r="B41" i="21"/>
  <c r="X40" i="21"/>
  <c r="Z40" i="21" s="1"/>
  <c r="V40" i="21"/>
  <c r="N40" i="21"/>
  <c r="L40" i="21"/>
  <c r="J40" i="21"/>
  <c r="B40" i="21"/>
  <c r="X39" i="21"/>
  <c r="Z39" i="21" s="1"/>
  <c r="L39" i="21"/>
  <c r="N39" i="21" s="1"/>
  <c r="J39" i="21"/>
  <c r="B39" i="21"/>
  <c r="Z38" i="21"/>
  <c r="X38" i="21"/>
  <c r="N38" i="21"/>
  <c r="L38" i="21"/>
  <c r="B38" i="21"/>
  <c r="X37" i="21"/>
  <c r="Z37" i="21" s="1"/>
  <c r="L37" i="21"/>
  <c r="N37" i="21" s="1"/>
  <c r="B37" i="21"/>
  <c r="X36" i="21"/>
  <c r="Z36" i="21" s="1"/>
  <c r="N36" i="21"/>
  <c r="L36" i="21"/>
  <c r="J36" i="21"/>
  <c r="B36" i="21"/>
  <c r="X35" i="21"/>
  <c r="Z35" i="21" s="1"/>
  <c r="L35" i="21"/>
  <c r="N35" i="21" s="1"/>
  <c r="J35" i="21"/>
  <c r="B35" i="21"/>
  <c r="Z34" i="21"/>
  <c r="X34" i="21"/>
  <c r="N34" i="21"/>
  <c r="L34" i="21"/>
  <c r="B34" i="21"/>
  <c r="Z33" i="21"/>
  <c r="X33" i="21"/>
  <c r="L33" i="21"/>
  <c r="N33" i="21" s="1"/>
  <c r="J33" i="21"/>
  <c r="B33" i="21"/>
  <c r="T32" i="21"/>
  <c r="P32" i="21"/>
  <c r="X32" i="21" s="1"/>
  <c r="N32" i="21"/>
  <c r="H32" i="21"/>
  <c r="D32" i="21"/>
  <c r="L32" i="21" s="1"/>
  <c r="B32" i="21"/>
  <c r="T31" i="21"/>
  <c r="P31" i="21"/>
  <c r="X31" i="21" s="1"/>
  <c r="H31" i="21"/>
  <c r="D31" i="21"/>
  <c r="V29" i="21"/>
  <c r="T29" i="21"/>
  <c r="H29" i="21"/>
  <c r="Z27" i="21"/>
  <c r="X27" i="21"/>
  <c r="V27" i="21"/>
  <c r="N27" i="21"/>
  <c r="L27" i="21"/>
  <c r="B27" i="21"/>
  <c r="Z26" i="21"/>
  <c r="X26" i="21"/>
  <c r="N26" i="21"/>
  <c r="L26" i="21"/>
  <c r="J26" i="21"/>
  <c r="B26" i="21"/>
  <c r="X25" i="21"/>
  <c r="Z25" i="21" s="1"/>
  <c r="N25" i="21"/>
  <c r="L25" i="21"/>
  <c r="B25" i="21"/>
  <c r="Z24" i="21"/>
  <c r="V24" i="21"/>
  <c r="T24" i="21"/>
  <c r="P24" i="21"/>
  <c r="X24" i="21" s="1"/>
  <c r="H24" i="21"/>
  <c r="D24" i="21"/>
  <c r="L24" i="21" s="1"/>
  <c r="N24" i="21" s="1"/>
  <c r="Z22" i="21"/>
  <c r="P22" i="21"/>
  <c r="X22" i="21" s="1"/>
  <c r="N22" i="21"/>
  <c r="D22" i="21"/>
  <c r="L22" i="21" s="1"/>
  <c r="B22" i="21"/>
  <c r="Z21" i="21"/>
  <c r="X21" i="21"/>
  <c r="P21" i="21"/>
  <c r="N21" i="21"/>
  <c r="L21" i="21"/>
  <c r="D21" i="21"/>
  <c r="B21" i="21"/>
  <c r="Z20" i="21"/>
  <c r="P20" i="21"/>
  <c r="X20" i="21" s="1"/>
  <c r="N20" i="21"/>
  <c r="L20" i="21"/>
  <c r="D20" i="21"/>
  <c r="B20" i="21"/>
  <c r="Z19" i="21"/>
  <c r="P19" i="21"/>
  <c r="X19" i="21" s="1"/>
  <c r="N19" i="21"/>
  <c r="D19" i="21"/>
  <c r="L19" i="21" s="1"/>
  <c r="B19" i="21"/>
  <c r="Z18" i="21"/>
  <c r="P18" i="21"/>
  <c r="X18" i="21" s="1"/>
  <c r="N18" i="21"/>
  <c r="L18" i="21"/>
  <c r="D18" i="21"/>
  <c r="B18" i="21"/>
  <c r="Z17" i="21"/>
  <c r="X17" i="21"/>
  <c r="P17" i="21"/>
  <c r="N17" i="21"/>
  <c r="D17" i="21"/>
  <c r="L17" i="21" s="1"/>
  <c r="B17" i="21"/>
  <c r="Z16" i="21"/>
  <c r="X16" i="21"/>
  <c r="P16" i="21"/>
  <c r="N16" i="21"/>
  <c r="D16" i="21"/>
  <c r="L16" i="21" s="1"/>
  <c r="B16" i="21"/>
  <c r="Z15" i="21"/>
  <c r="X15" i="21"/>
  <c r="P15" i="21"/>
  <c r="N15" i="21"/>
  <c r="D15" i="21"/>
  <c r="B15" i="21"/>
  <c r="Z14" i="21"/>
  <c r="P14" i="21"/>
  <c r="X14" i="21" s="1"/>
  <c r="N14" i="21"/>
  <c r="L14" i="21"/>
  <c r="D14" i="21"/>
  <c r="B14" i="21"/>
  <c r="P13" i="21"/>
  <c r="X13" i="21" s="1"/>
  <c r="Z13" i="21" s="1"/>
  <c r="N13" i="21"/>
  <c r="L13" i="21"/>
  <c r="D13" i="21"/>
  <c r="B13" i="21"/>
  <c r="T12" i="21"/>
  <c r="V64" i="21" s="1"/>
  <c r="H12" i="21"/>
  <c r="J87" i="21" s="1"/>
  <c r="D4" i="21"/>
  <c r="X249" i="18"/>
  <c r="Z249" i="18" s="1"/>
  <c r="L249" i="18"/>
  <c r="N249" i="18" s="1"/>
  <c r="X245" i="18"/>
  <c r="Z245" i="18" s="1"/>
  <c r="P245" i="18"/>
  <c r="L245" i="18"/>
  <c r="N245" i="18" s="1"/>
  <c r="D245" i="18"/>
  <c r="B245" i="18"/>
  <c r="X244" i="18"/>
  <c r="Z244" i="18" s="1"/>
  <c r="P244" i="18"/>
  <c r="L244" i="18"/>
  <c r="N244" i="18" s="1"/>
  <c r="D244" i="18"/>
  <c r="B244" i="18"/>
  <c r="P243" i="18"/>
  <c r="X243" i="18" s="1"/>
  <c r="Z243" i="18" s="1"/>
  <c r="D243" i="18"/>
  <c r="L243" i="18" s="1"/>
  <c r="N243" i="18" s="1"/>
  <c r="B243" i="18"/>
  <c r="Z242" i="18"/>
  <c r="P242" i="18"/>
  <c r="X242" i="18" s="1"/>
  <c r="N242" i="18"/>
  <c r="D242" i="18"/>
  <c r="L242" i="18" s="1"/>
  <c r="B242" i="18"/>
  <c r="Z241" i="18"/>
  <c r="X241" i="18"/>
  <c r="P241" i="18"/>
  <c r="N241" i="18"/>
  <c r="D241" i="18"/>
  <c r="B241" i="18"/>
  <c r="Z240" i="18"/>
  <c r="P240" i="18"/>
  <c r="N240" i="18"/>
  <c r="L240" i="18"/>
  <c r="D240" i="18"/>
  <c r="B240" i="18"/>
  <c r="Z239" i="18"/>
  <c r="X239" i="18"/>
  <c r="P239" i="18"/>
  <c r="N239" i="18"/>
  <c r="L239" i="18"/>
  <c r="D239" i="18"/>
  <c r="B239" i="18"/>
  <c r="T238" i="18"/>
  <c r="H238" i="18"/>
  <c r="Z236" i="18"/>
  <c r="X236" i="18"/>
  <c r="N236" i="18"/>
  <c r="L236" i="18"/>
  <c r="B236" i="18"/>
  <c r="T235" i="18"/>
  <c r="P235" i="18"/>
  <c r="X235" i="18" s="1"/>
  <c r="H235" i="18"/>
  <c r="D235" i="18"/>
  <c r="L235" i="18" s="1"/>
  <c r="B235" i="18"/>
  <c r="X234" i="18"/>
  <c r="Z234" i="18" s="1"/>
  <c r="N234" i="18"/>
  <c r="L234" i="18"/>
  <c r="B234" i="18"/>
  <c r="X233" i="18"/>
  <c r="Z233" i="18" s="1"/>
  <c r="L233" i="18"/>
  <c r="N233" i="18" s="1"/>
  <c r="B233" i="18"/>
  <c r="Z232" i="18"/>
  <c r="X232" i="18"/>
  <c r="N232" i="18"/>
  <c r="L232" i="18"/>
  <c r="B232" i="18"/>
  <c r="X231" i="18"/>
  <c r="T231" i="18"/>
  <c r="Z231" i="18" s="1"/>
  <c r="P231" i="18"/>
  <c r="L231" i="18"/>
  <c r="N231" i="18" s="1"/>
  <c r="H231" i="18"/>
  <c r="D231" i="18"/>
  <c r="B231" i="18"/>
  <c r="Z230" i="18"/>
  <c r="X230" i="18"/>
  <c r="V230" i="18"/>
  <c r="L230" i="18"/>
  <c r="N230" i="18" s="1"/>
  <c r="B230" i="18"/>
  <c r="T229" i="18"/>
  <c r="P229" i="18"/>
  <c r="X229" i="18" s="1"/>
  <c r="H229" i="18"/>
  <c r="D229" i="18"/>
  <c r="B229" i="18"/>
  <c r="X228" i="18"/>
  <c r="Z228" i="18" s="1"/>
  <c r="V228" i="18"/>
  <c r="N228" i="18"/>
  <c r="L228" i="18"/>
  <c r="B228" i="18"/>
  <c r="Z227" i="18"/>
  <c r="X227" i="18"/>
  <c r="N227" i="18"/>
  <c r="L227" i="18"/>
  <c r="B227" i="18"/>
  <c r="V226" i="18"/>
  <c r="T226" i="18"/>
  <c r="P226" i="18"/>
  <c r="N226" i="18"/>
  <c r="L226" i="18"/>
  <c r="H226" i="18"/>
  <c r="D226" i="18"/>
  <c r="B226" i="18"/>
  <c r="X225" i="18"/>
  <c r="Z225" i="18" s="1"/>
  <c r="L225" i="18"/>
  <c r="N225" i="18" s="1"/>
  <c r="B225" i="18"/>
  <c r="Z224" i="18"/>
  <c r="X224" i="18"/>
  <c r="N224" i="18"/>
  <c r="L224" i="18"/>
  <c r="B224" i="18"/>
  <c r="Z223" i="18"/>
  <c r="X223" i="18"/>
  <c r="L223" i="18"/>
  <c r="N223" i="18" s="1"/>
  <c r="B223" i="18"/>
  <c r="X222" i="18"/>
  <c r="Z222" i="18" s="1"/>
  <c r="N222" i="18"/>
  <c r="L222" i="18"/>
  <c r="B222" i="18"/>
  <c r="X221" i="18"/>
  <c r="Z221" i="18" s="1"/>
  <c r="L221" i="18"/>
  <c r="N221" i="18" s="1"/>
  <c r="B221" i="18"/>
  <c r="Z220" i="18"/>
  <c r="X220" i="18"/>
  <c r="N220" i="18"/>
  <c r="L220" i="18"/>
  <c r="B220" i="18"/>
  <c r="Z219" i="18"/>
  <c r="X219" i="18"/>
  <c r="L219" i="18"/>
  <c r="N219" i="18" s="1"/>
  <c r="B219" i="18"/>
  <c r="V218" i="18"/>
  <c r="T218" i="18"/>
  <c r="P218" i="18"/>
  <c r="X218" i="18" s="1"/>
  <c r="H218" i="18"/>
  <c r="D218" i="18"/>
  <c r="L218" i="18" s="1"/>
  <c r="N218" i="18" s="1"/>
  <c r="B218" i="18"/>
  <c r="X217" i="18"/>
  <c r="Z217" i="18" s="1"/>
  <c r="L217" i="18"/>
  <c r="N217" i="18" s="1"/>
  <c r="B217" i="18"/>
  <c r="Z216" i="18"/>
  <c r="X216" i="18"/>
  <c r="L216" i="18"/>
  <c r="N216" i="18" s="1"/>
  <c r="B216" i="18"/>
  <c r="T215" i="18"/>
  <c r="P215" i="18"/>
  <c r="L215" i="18"/>
  <c r="H215" i="18"/>
  <c r="D215" i="18"/>
  <c r="B215" i="18"/>
  <c r="X214" i="18"/>
  <c r="Z214" i="18" s="1"/>
  <c r="N214" i="18"/>
  <c r="L214" i="18"/>
  <c r="B214" i="18"/>
  <c r="X213" i="18"/>
  <c r="Z213" i="18" s="1"/>
  <c r="L213" i="18"/>
  <c r="N213" i="18" s="1"/>
  <c r="B213" i="18"/>
  <c r="X212" i="18"/>
  <c r="Z212" i="18" s="1"/>
  <c r="N212" i="18"/>
  <c r="L212" i="18"/>
  <c r="B212" i="18"/>
  <c r="Z211" i="18"/>
  <c r="X211" i="18"/>
  <c r="L211" i="18"/>
  <c r="N211" i="18" s="1"/>
  <c r="B211" i="18"/>
  <c r="T210" i="18"/>
  <c r="P210" i="18"/>
  <c r="L210" i="18"/>
  <c r="N210" i="18" s="1"/>
  <c r="H210" i="18"/>
  <c r="D210" i="18"/>
  <c r="B210" i="18"/>
  <c r="Z209" i="18"/>
  <c r="X209" i="18"/>
  <c r="N209" i="18"/>
  <c r="L209" i="18"/>
  <c r="B209" i="18"/>
  <c r="Z208" i="18"/>
  <c r="X208" i="18"/>
  <c r="N208" i="18"/>
  <c r="L208" i="18"/>
  <c r="B208" i="18"/>
  <c r="Z207" i="18"/>
  <c r="X207" i="18"/>
  <c r="N207" i="18"/>
  <c r="L207" i="18"/>
  <c r="B207" i="18"/>
  <c r="X206" i="18"/>
  <c r="Z206" i="18" s="1"/>
  <c r="N206" i="18"/>
  <c r="L206" i="18"/>
  <c r="B206" i="18"/>
  <c r="X205" i="18"/>
  <c r="Z205" i="18" s="1"/>
  <c r="T205" i="18"/>
  <c r="P205" i="18"/>
  <c r="L205" i="18"/>
  <c r="N205" i="18" s="1"/>
  <c r="H205" i="18"/>
  <c r="D205" i="18"/>
  <c r="B205" i="18"/>
  <c r="Z204" i="18"/>
  <c r="X204" i="18"/>
  <c r="N204" i="18"/>
  <c r="L204" i="18"/>
  <c r="B204" i="18"/>
  <c r="X203" i="18"/>
  <c r="Z203" i="18" s="1"/>
  <c r="N203" i="18"/>
  <c r="L203" i="18"/>
  <c r="B203" i="18"/>
  <c r="Z202" i="18"/>
  <c r="X202" i="18"/>
  <c r="V202" i="18"/>
  <c r="L202" i="18"/>
  <c r="N202" i="18" s="1"/>
  <c r="B202" i="18"/>
  <c r="T201" i="18"/>
  <c r="P201" i="18"/>
  <c r="X201" i="18" s="1"/>
  <c r="H201" i="18"/>
  <c r="D201" i="18"/>
  <c r="B201" i="18"/>
  <c r="X200" i="18"/>
  <c r="Z200" i="18" s="1"/>
  <c r="N200" i="18"/>
  <c r="L200" i="18"/>
  <c r="B200" i="18"/>
  <c r="T199" i="18"/>
  <c r="P199" i="18"/>
  <c r="H199" i="18"/>
  <c r="D199" i="18"/>
  <c r="L199" i="18" s="1"/>
  <c r="B199" i="18"/>
  <c r="X198" i="18"/>
  <c r="Z198" i="18" s="1"/>
  <c r="N198" i="18"/>
  <c r="L198" i="18"/>
  <c r="B198" i="18"/>
  <c r="T197" i="18"/>
  <c r="P197" i="18"/>
  <c r="X197" i="18" s="1"/>
  <c r="Z197" i="18" s="1"/>
  <c r="H197" i="18"/>
  <c r="D197" i="18"/>
  <c r="B197" i="18"/>
  <c r="Z196" i="18"/>
  <c r="X196" i="18"/>
  <c r="L196" i="18"/>
  <c r="N196" i="18" s="1"/>
  <c r="B196" i="18"/>
  <c r="T195" i="18"/>
  <c r="P195" i="18"/>
  <c r="L195" i="18"/>
  <c r="H195" i="18"/>
  <c r="D195" i="18"/>
  <c r="B195" i="18"/>
  <c r="X194" i="18"/>
  <c r="Z194" i="18" s="1"/>
  <c r="L194" i="18"/>
  <c r="N194" i="18" s="1"/>
  <c r="B194" i="18"/>
  <c r="X193" i="18"/>
  <c r="T193" i="18"/>
  <c r="P193" i="18"/>
  <c r="H193" i="18"/>
  <c r="D193" i="18"/>
  <c r="L193" i="18" s="1"/>
  <c r="B193" i="18"/>
  <c r="Z192" i="18"/>
  <c r="X192" i="18"/>
  <c r="N192" i="18"/>
  <c r="L192" i="18"/>
  <c r="B192" i="18"/>
  <c r="Z191" i="18"/>
  <c r="X191" i="18"/>
  <c r="T191" i="18"/>
  <c r="P191" i="18"/>
  <c r="L191" i="18"/>
  <c r="N191" i="18" s="1"/>
  <c r="H191" i="18"/>
  <c r="D191" i="18"/>
  <c r="B191" i="18"/>
  <c r="Z190" i="18"/>
  <c r="X190" i="18"/>
  <c r="N190" i="18"/>
  <c r="L190" i="18"/>
  <c r="B190" i="18"/>
  <c r="X189" i="18"/>
  <c r="Z189" i="18" s="1"/>
  <c r="L189" i="18"/>
  <c r="N189" i="18" s="1"/>
  <c r="B189" i="18"/>
  <c r="Z188" i="18"/>
  <c r="T188" i="18"/>
  <c r="P188" i="18"/>
  <c r="X188" i="18" s="1"/>
  <c r="N188" i="18"/>
  <c r="H188" i="18"/>
  <c r="D188" i="18"/>
  <c r="L188" i="18" s="1"/>
  <c r="B188" i="18"/>
  <c r="Z187" i="18"/>
  <c r="X187" i="18"/>
  <c r="N187" i="18"/>
  <c r="L187" i="18"/>
  <c r="B187" i="18"/>
  <c r="V186" i="18"/>
  <c r="T186" i="18"/>
  <c r="P186" i="18"/>
  <c r="L186" i="18"/>
  <c r="N186" i="18" s="1"/>
  <c r="H186" i="18"/>
  <c r="D186" i="18"/>
  <c r="B186" i="18"/>
  <c r="X185" i="18"/>
  <c r="Z185" i="18" s="1"/>
  <c r="L185" i="18"/>
  <c r="N185" i="18" s="1"/>
  <c r="B185" i="18"/>
  <c r="T184" i="18"/>
  <c r="P184" i="18"/>
  <c r="X184" i="18" s="1"/>
  <c r="Z184" i="18" s="1"/>
  <c r="H184" i="18"/>
  <c r="D184" i="18"/>
  <c r="B184" i="18"/>
  <c r="Z183" i="18"/>
  <c r="X183" i="18"/>
  <c r="N183" i="18"/>
  <c r="L183" i="18"/>
  <c r="B183" i="18"/>
  <c r="Z182" i="18"/>
  <c r="X182" i="18"/>
  <c r="L182" i="18"/>
  <c r="N182" i="18" s="1"/>
  <c r="B182" i="18"/>
  <c r="X181" i="18"/>
  <c r="V181" i="18"/>
  <c r="T181" i="18"/>
  <c r="P181" i="18"/>
  <c r="H181" i="18"/>
  <c r="D181" i="18"/>
  <c r="B181" i="18"/>
  <c r="Z180" i="18"/>
  <c r="X180" i="18"/>
  <c r="N180" i="18"/>
  <c r="L180" i="18"/>
  <c r="B180" i="18"/>
  <c r="Z179" i="18"/>
  <c r="X179" i="18"/>
  <c r="N179" i="18"/>
  <c r="L179" i="18"/>
  <c r="B179" i="18"/>
  <c r="T178" i="18"/>
  <c r="P178" i="18"/>
  <c r="L178" i="18"/>
  <c r="N178" i="18" s="1"/>
  <c r="H178" i="18"/>
  <c r="D178" i="18"/>
  <c r="B178" i="18"/>
  <c r="X177" i="18"/>
  <c r="Z177" i="18" s="1"/>
  <c r="L177" i="18"/>
  <c r="N177" i="18" s="1"/>
  <c r="B177" i="18"/>
  <c r="Z176" i="18"/>
  <c r="X176" i="18"/>
  <c r="N176" i="18"/>
  <c r="L176" i="18"/>
  <c r="B176" i="18"/>
  <c r="Z175" i="18"/>
  <c r="X175" i="18"/>
  <c r="L175" i="18"/>
  <c r="N175" i="18" s="1"/>
  <c r="B175" i="18"/>
  <c r="T174" i="18"/>
  <c r="P174" i="18"/>
  <c r="H174" i="18"/>
  <c r="D174" i="18"/>
  <c r="L174" i="18" s="1"/>
  <c r="N174" i="18" s="1"/>
  <c r="B174" i="18"/>
  <c r="X173" i="18"/>
  <c r="Z173" i="18" s="1"/>
  <c r="L173" i="18"/>
  <c r="N173" i="18" s="1"/>
  <c r="B173" i="18"/>
  <c r="Z172" i="18"/>
  <c r="T172" i="18"/>
  <c r="P172" i="18"/>
  <c r="X172" i="18" s="1"/>
  <c r="H172" i="18"/>
  <c r="D172" i="18"/>
  <c r="L172" i="18" s="1"/>
  <c r="N172" i="18" s="1"/>
  <c r="B172" i="18"/>
  <c r="Z171" i="18"/>
  <c r="X171" i="18"/>
  <c r="L171" i="18"/>
  <c r="N171" i="18" s="1"/>
  <c r="B171" i="18"/>
  <c r="Z170" i="18"/>
  <c r="X170" i="18"/>
  <c r="L170" i="18"/>
  <c r="N170" i="18" s="1"/>
  <c r="B170" i="18"/>
  <c r="T169" i="18"/>
  <c r="P169" i="18"/>
  <c r="X169" i="18" s="1"/>
  <c r="H169" i="18"/>
  <c r="D169" i="18"/>
  <c r="L169" i="18" s="1"/>
  <c r="B169" i="18"/>
  <c r="Z168" i="18"/>
  <c r="X168" i="18"/>
  <c r="N168" i="18"/>
  <c r="L168" i="18"/>
  <c r="B168" i="18"/>
  <c r="T167" i="18"/>
  <c r="X167" i="18" s="1"/>
  <c r="Z167" i="18" s="1"/>
  <c r="P167" i="18"/>
  <c r="L167" i="18"/>
  <c r="N167" i="18" s="1"/>
  <c r="H167" i="18"/>
  <c r="D167" i="18"/>
  <c r="B167" i="18"/>
  <c r="Z166" i="18"/>
  <c r="X166" i="18"/>
  <c r="N166" i="18"/>
  <c r="L166" i="18"/>
  <c r="B166" i="18"/>
  <c r="Z165" i="18"/>
  <c r="X165" i="18"/>
  <c r="N165" i="18"/>
  <c r="L165" i="18"/>
  <c r="B165" i="18"/>
  <c r="Z164" i="18"/>
  <c r="X164" i="18"/>
  <c r="L164" i="18"/>
  <c r="N164" i="18" s="1"/>
  <c r="B164" i="18"/>
  <c r="X163" i="18"/>
  <c r="Z163" i="18" s="1"/>
  <c r="N163" i="18"/>
  <c r="L163" i="18"/>
  <c r="B163" i="18"/>
  <c r="Z162" i="18"/>
  <c r="X162" i="18"/>
  <c r="V162" i="18"/>
  <c r="N162" i="18"/>
  <c r="L162" i="18"/>
  <c r="B162" i="18"/>
  <c r="X161" i="18"/>
  <c r="Z161" i="18" s="1"/>
  <c r="L161" i="18"/>
  <c r="N161" i="18" s="1"/>
  <c r="B161" i="18"/>
  <c r="Z160" i="18"/>
  <c r="X160" i="18"/>
  <c r="L160" i="18"/>
  <c r="N160" i="18" s="1"/>
  <c r="B160" i="18"/>
  <c r="Z159" i="18"/>
  <c r="X159" i="18"/>
  <c r="N159" i="18"/>
  <c r="L159" i="18"/>
  <c r="B159" i="18"/>
  <c r="Z158" i="18"/>
  <c r="X158" i="18"/>
  <c r="V158" i="18"/>
  <c r="N158" i="18"/>
  <c r="L158" i="18"/>
  <c r="B158" i="18"/>
  <c r="X157" i="18"/>
  <c r="Z157" i="18" s="1"/>
  <c r="L157" i="18"/>
  <c r="N157" i="18" s="1"/>
  <c r="B157" i="18"/>
  <c r="T156" i="18"/>
  <c r="P156" i="18"/>
  <c r="X156" i="18" s="1"/>
  <c r="Z156" i="18" s="1"/>
  <c r="H156" i="18"/>
  <c r="D156" i="18"/>
  <c r="L156" i="18" s="1"/>
  <c r="N156" i="18" s="1"/>
  <c r="B156" i="18"/>
  <c r="Z155" i="18"/>
  <c r="X155" i="18"/>
  <c r="L155" i="18"/>
  <c r="N155" i="18" s="1"/>
  <c r="B155" i="18"/>
  <c r="X154" i="18"/>
  <c r="Z154" i="18" s="1"/>
  <c r="N154" i="18"/>
  <c r="L154" i="18"/>
  <c r="B154" i="18"/>
  <c r="X153" i="18"/>
  <c r="Z153" i="18" s="1"/>
  <c r="L153" i="18"/>
  <c r="N153" i="18" s="1"/>
  <c r="B153" i="18"/>
  <c r="Z152" i="18"/>
  <c r="X152" i="18"/>
  <c r="N152" i="18"/>
  <c r="L152" i="18"/>
  <c r="B152" i="18"/>
  <c r="Z151" i="18"/>
  <c r="X151" i="18"/>
  <c r="N151" i="18"/>
  <c r="L151" i="18"/>
  <c r="B151" i="18"/>
  <c r="X150" i="18"/>
  <c r="Z150" i="18" s="1"/>
  <c r="N150" i="18"/>
  <c r="L150" i="18"/>
  <c r="B150" i="18"/>
  <c r="X149" i="18"/>
  <c r="Z149" i="18" s="1"/>
  <c r="L149" i="18"/>
  <c r="N149" i="18" s="1"/>
  <c r="B149" i="18"/>
  <c r="X148" i="18"/>
  <c r="Z148" i="18" s="1"/>
  <c r="V148" i="18"/>
  <c r="N148" i="18"/>
  <c r="L148" i="18"/>
  <c r="B148" i="18"/>
  <c r="Z147" i="18"/>
  <c r="X147" i="18"/>
  <c r="N147" i="18"/>
  <c r="L147" i="18"/>
  <c r="B147" i="18"/>
  <c r="X146" i="18"/>
  <c r="Z146" i="18" s="1"/>
  <c r="V146" i="18"/>
  <c r="N146" i="18"/>
  <c r="L146" i="18"/>
  <c r="B146" i="18"/>
  <c r="X145" i="18"/>
  <c r="T145" i="18"/>
  <c r="P145" i="18"/>
  <c r="H145" i="18"/>
  <c r="D145" i="18"/>
  <c r="L145" i="18" s="1"/>
  <c r="B145" i="18"/>
  <c r="T144" i="18"/>
  <c r="P144" i="18"/>
  <c r="X144" i="18" s="1"/>
  <c r="Z144" i="18" s="1"/>
  <c r="H144" i="18"/>
  <c r="D144" i="18"/>
  <c r="Z140" i="18"/>
  <c r="X140" i="18"/>
  <c r="N140" i="18"/>
  <c r="L140" i="18"/>
  <c r="B140" i="18"/>
  <c r="Z139" i="18"/>
  <c r="X139" i="18"/>
  <c r="N139" i="18"/>
  <c r="L139" i="18"/>
  <c r="B139" i="18"/>
  <c r="Z138" i="18"/>
  <c r="X138" i="18"/>
  <c r="N138" i="18"/>
  <c r="L138" i="18"/>
  <c r="B138" i="18"/>
  <c r="Z137" i="18"/>
  <c r="X137" i="18"/>
  <c r="N137" i="18"/>
  <c r="L137" i="18"/>
  <c r="B137" i="18"/>
  <c r="Z136" i="18"/>
  <c r="X136" i="18"/>
  <c r="N136" i="18"/>
  <c r="L136" i="18"/>
  <c r="B136" i="18"/>
  <c r="Z135" i="18"/>
  <c r="X135" i="18"/>
  <c r="N135" i="18"/>
  <c r="L135" i="18"/>
  <c r="B135" i="18"/>
  <c r="Z134" i="18"/>
  <c r="X134" i="18"/>
  <c r="N134" i="18"/>
  <c r="L134" i="18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N131" i="18"/>
  <c r="L131" i="18"/>
  <c r="B131" i="18"/>
  <c r="Z130" i="18"/>
  <c r="X130" i="18"/>
  <c r="V130" i="18"/>
  <c r="N130" i="18"/>
  <c r="L130" i="18"/>
  <c r="B130" i="18"/>
  <c r="Z129" i="18"/>
  <c r="X129" i="18"/>
  <c r="N129" i="18"/>
  <c r="L129" i="18"/>
  <c r="B129" i="18"/>
  <c r="Z128" i="18"/>
  <c r="X128" i="18"/>
  <c r="N128" i="18"/>
  <c r="L128" i="18"/>
  <c r="B128" i="18"/>
  <c r="Z127" i="18"/>
  <c r="X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B125" i="18"/>
  <c r="Z124" i="18"/>
  <c r="X124" i="18"/>
  <c r="N124" i="18"/>
  <c r="L124" i="18"/>
  <c r="B124" i="18"/>
  <c r="Z123" i="18"/>
  <c r="X123" i="18"/>
  <c r="N123" i="18"/>
  <c r="L123" i="18"/>
  <c r="B123" i="18"/>
  <c r="Z122" i="18"/>
  <c r="X122" i="18"/>
  <c r="N122" i="18"/>
  <c r="L122" i="18"/>
  <c r="B122" i="18"/>
  <c r="Z121" i="18"/>
  <c r="X121" i="18"/>
  <c r="N121" i="18"/>
  <c r="L121" i="18"/>
  <c r="B121" i="18"/>
  <c r="Z120" i="18"/>
  <c r="X120" i="18"/>
  <c r="N120" i="18"/>
  <c r="L120" i="18"/>
  <c r="B120" i="18"/>
  <c r="Z119" i="18"/>
  <c r="X119" i="18"/>
  <c r="N119" i="18"/>
  <c r="L119" i="18"/>
  <c r="B119" i="18"/>
  <c r="Z118" i="18"/>
  <c r="X118" i="18"/>
  <c r="N118" i="18"/>
  <c r="L118" i="18"/>
  <c r="B118" i="18"/>
  <c r="Z117" i="18"/>
  <c r="X117" i="18"/>
  <c r="N117" i="18"/>
  <c r="L117" i="18"/>
  <c r="B117" i="18"/>
  <c r="Z116" i="18"/>
  <c r="X116" i="18"/>
  <c r="N116" i="18"/>
  <c r="L116" i="18"/>
  <c r="B116" i="18"/>
  <c r="Z115" i="18"/>
  <c r="X115" i="18"/>
  <c r="N115" i="18"/>
  <c r="L115" i="18"/>
  <c r="B115" i="18"/>
  <c r="Z114" i="18"/>
  <c r="X114" i="18"/>
  <c r="V114" i="18"/>
  <c r="N114" i="18"/>
  <c r="L114" i="18"/>
  <c r="B114" i="18"/>
  <c r="Z113" i="18"/>
  <c r="X113" i="18"/>
  <c r="N113" i="18"/>
  <c r="L113" i="18"/>
  <c r="B113" i="18"/>
  <c r="Z112" i="18"/>
  <c r="X112" i="18"/>
  <c r="N112" i="18"/>
  <c r="L112" i="18"/>
  <c r="B112" i="18"/>
  <c r="Z111" i="18"/>
  <c r="X111" i="18"/>
  <c r="N111" i="18"/>
  <c r="L111" i="18"/>
  <c r="B111" i="18"/>
  <c r="Z110" i="18"/>
  <c r="X110" i="18"/>
  <c r="N110" i="18"/>
  <c r="L110" i="18"/>
  <c r="B110" i="18"/>
  <c r="Z109" i="18"/>
  <c r="X109" i="18"/>
  <c r="N109" i="18"/>
  <c r="L109" i="18"/>
  <c r="B109" i="18"/>
  <c r="Z108" i="18"/>
  <c r="X108" i="18"/>
  <c r="N108" i="18"/>
  <c r="L108" i="18"/>
  <c r="B108" i="18"/>
  <c r="Z107" i="18"/>
  <c r="X107" i="18"/>
  <c r="N107" i="18"/>
  <c r="L107" i="18"/>
  <c r="B107" i="18"/>
  <c r="Z106" i="18"/>
  <c r="X106" i="18"/>
  <c r="N106" i="18"/>
  <c r="L106" i="18"/>
  <c r="B106" i="18"/>
  <c r="Z105" i="18"/>
  <c r="X105" i="18"/>
  <c r="N105" i="18"/>
  <c r="L105" i="18"/>
  <c r="B105" i="18"/>
  <c r="Z104" i="18"/>
  <c r="X104" i="18"/>
  <c r="N104" i="18"/>
  <c r="L104" i="18"/>
  <c r="B104" i="18"/>
  <c r="Z103" i="18"/>
  <c r="X103" i="18"/>
  <c r="N103" i="18"/>
  <c r="L103" i="18"/>
  <c r="B103" i="18"/>
  <c r="Z102" i="18"/>
  <c r="X102" i="18"/>
  <c r="N102" i="18"/>
  <c r="L102" i="18"/>
  <c r="B102" i="18"/>
  <c r="Z101" i="18"/>
  <c r="X101" i="18"/>
  <c r="N101" i="18"/>
  <c r="L101" i="18"/>
  <c r="B101" i="18"/>
  <c r="Z100" i="18"/>
  <c r="X100" i="18"/>
  <c r="N100" i="18"/>
  <c r="L100" i="18"/>
  <c r="B100" i="18"/>
  <c r="Z99" i="18"/>
  <c r="X99" i="18"/>
  <c r="N99" i="18"/>
  <c r="L99" i="18"/>
  <c r="B99" i="18"/>
  <c r="Z98" i="18"/>
  <c r="X98" i="18"/>
  <c r="V98" i="18"/>
  <c r="N98" i="18"/>
  <c r="L98" i="18"/>
  <c r="B98" i="18"/>
  <c r="X97" i="18"/>
  <c r="Z97" i="18" s="1"/>
  <c r="L97" i="18"/>
  <c r="N97" i="18" s="1"/>
  <c r="B97" i="18"/>
  <c r="T96" i="18"/>
  <c r="P96" i="18"/>
  <c r="X96" i="18" s="1"/>
  <c r="Z96" i="18" s="1"/>
  <c r="H96" i="18"/>
  <c r="D96" i="18"/>
  <c r="Z94" i="18"/>
  <c r="P94" i="18"/>
  <c r="X94" i="18" s="1"/>
  <c r="N94" i="18"/>
  <c r="L94" i="18"/>
  <c r="D94" i="18"/>
  <c r="B94" i="18"/>
  <c r="Z93" i="18"/>
  <c r="X93" i="18"/>
  <c r="P93" i="18"/>
  <c r="N93" i="18"/>
  <c r="D93" i="18"/>
  <c r="L93" i="18" s="1"/>
  <c r="B93" i="18"/>
  <c r="Z92" i="18"/>
  <c r="P92" i="18"/>
  <c r="X92" i="18" s="1"/>
  <c r="N92" i="18"/>
  <c r="L92" i="18"/>
  <c r="D92" i="18"/>
  <c r="B92" i="18"/>
  <c r="Z91" i="18"/>
  <c r="X91" i="18"/>
  <c r="P91" i="18"/>
  <c r="N91" i="18"/>
  <c r="D91" i="18"/>
  <c r="L91" i="18" s="1"/>
  <c r="B91" i="18"/>
  <c r="Z90" i="18"/>
  <c r="X90" i="18"/>
  <c r="P90" i="18"/>
  <c r="N90" i="18"/>
  <c r="D90" i="18"/>
  <c r="L90" i="18" s="1"/>
  <c r="B90" i="18"/>
  <c r="Z89" i="18"/>
  <c r="X89" i="18"/>
  <c r="P89" i="18"/>
  <c r="N89" i="18"/>
  <c r="D89" i="18"/>
  <c r="L89" i="18" s="1"/>
  <c r="B89" i="18"/>
  <c r="Z88" i="18"/>
  <c r="P88" i="18"/>
  <c r="X88" i="18" s="1"/>
  <c r="N88" i="18"/>
  <c r="L88" i="18"/>
  <c r="D88" i="18"/>
  <c r="B88" i="18"/>
  <c r="Z87" i="18"/>
  <c r="X87" i="18"/>
  <c r="P87" i="18"/>
  <c r="N87" i="18"/>
  <c r="L87" i="18"/>
  <c r="D87" i="18"/>
  <c r="B87" i="18"/>
  <c r="Z86" i="18"/>
  <c r="P86" i="18"/>
  <c r="X86" i="18" s="1"/>
  <c r="N86" i="18"/>
  <c r="L86" i="18"/>
  <c r="D86" i="18"/>
  <c r="B86" i="18"/>
  <c r="Z85" i="18"/>
  <c r="X85" i="18"/>
  <c r="P85" i="18"/>
  <c r="N85" i="18"/>
  <c r="D85" i="18"/>
  <c r="L85" i="18" s="1"/>
  <c r="B85" i="18"/>
  <c r="Z84" i="18"/>
  <c r="P84" i="18"/>
  <c r="X84" i="18" s="1"/>
  <c r="N84" i="18"/>
  <c r="L84" i="18"/>
  <c r="D84" i="18"/>
  <c r="B84" i="18"/>
  <c r="Z83" i="18"/>
  <c r="X83" i="18"/>
  <c r="P83" i="18"/>
  <c r="N83" i="18"/>
  <c r="L83" i="18"/>
  <c r="D83" i="18"/>
  <c r="B83" i="18"/>
  <c r="Z82" i="18"/>
  <c r="P82" i="18"/>
  <c r="X82" i="18" s="1"/>
  <c r="N82" i="18"/>
  <c r="L82" i="18"/>
  <c r="D82" i="18"/>
  <c r="B82" i="18"/>
  <c r="Z81" i="18"/>
  <c r="P81" i="18"/>
  <c r="X81" i="18" s="1"/>
  <c r="N81" i="18"/>
  <c r="D81" i="18"/>
  <c r="L81" i="18" s="1"/>
  <c r="B81" i="18"/>
  <c r="Z80" i="18"/>
  <c r="P80" i="18"/>
  <c r="X80" i="18" s="1"/>
  <c r="N80" i="18"/>
  <c r="L80" i="18"/>
  <c r="D80" i="18"/>
  <c r="B80" i="18"/>
  <c r="Z79" i="18"/>
  <c r="X79" i="18"/>
  <c r="P79" i="18"/>
  <c r="N79" i="18"/>
  <c r="D79" i="18"/>
  <c r="L79" i="18" s="1"/>
  <c r="B79" i="18"/>
  <c r="Z78" i="18"/>
  <c r="X78" i="18"/>
  <c r="P78" i="18"/>
  <c r="N78" i="18"/>
  <c r="D78" i="18"/>
  <c r="L78" i="18" s="1"/>
  <c r="B78" i="18"/>
  <c r="Z77" i="18"/>
  <c r="X77" i="18"/>
  <c r="P77" i="18"/>
  <c r="N77" i="18"/>
  <c r="D77" i="18"/>
  <c r="L77" i="18" s="1"/>
  <c r="B77" i="18"/>
  <c r="Z76" i="18"/>
  <c r="P76" i="18"/>
  <c r="X76" i="18" s="1"/>
  <c r="N76" i="18"/>
  <c r="L76" i="18"/>
  <c r="D76" i="18"/>
  <c r="B76" i="18"/>
  <c r="Z75" i="18"/>
  <c r="X75" i="18"/>
  <c r="P75" i="18"/>
  <c r="N75" i="18"/>
  <c r="L75" i="18"/>
  <c r="D75" i="18"/>
  <c r="B75" i="18"/>
  <c r="Z74" i="18"/>
  <c r="X74" i="18"/>
  <c r="P74" i="18"/>
  <c r="N74" i="18"/>
  <c r="L74" i="18"/>
  <c r="D74" i="18"/>
  <c r="B74" i="18"/>
  <c r="Z73" i="18"/>
  <c r="X73" i="18"/>
  <c r="P73" i="18"/>
  <c r="N73" i="18"/>
  <c r="D73" i="18"/>
  <c r="L73" i="18" s="1"/>
  <c r="B73" i="18"/>
  <c r="Z72" i="18"/>
  <c r="P72" i="18"/>
  <c r="X72" i="18" s="1"/>
  <c r="N72" i="18"/>
  <c r="L72" i="18"/>
  <c r="D72" i="18"/>
  <c r="B72" i="18"/>
  <c r="Z71" i="18"/>
  <c r="X71" i="18"/>
  <c r="P71" i="18"/>
  <c r="N71" i="18"/>
  <c r="D71" i="18"/>
  <c r="L71" i="18" s="1"/>
  <c r="B71" i="18"/>
  <c r="Z70" i="18"/>
  <c r="P70" i="18"/>
  <c r="X70" i="18" s="1"/>
  <c r="N70" i="18"/>
  <c r="L70" i="18"/>
  <c r="D70" i="18"/>
  <c r="B70" i="18"/>
  <c r="Z69" i="18"/>
  <c r="P69" i="18"/>
  <c r="X69" i="18" s="1"/>
  <c r="N69" i="18"/>
  <c r="D69" i="18"/>
  <c r="L69" i="18" s="1"/>
  <c r="B69" i="18"/>
  <c r="Z68" i="18"/>
  <c r="P68" i="18"/>
  <c r="X68" i="18" s="1"/>
  <c r="N68" i="18"/>
  <c r="L68" i="18"/>
  <c r="D68" i="18"/>
  <c r="B68" i="18"/>
  <c r="Z67" i="18"/>
  <c r="X67" i="18"/>
  <c r="P67" i="18"/>
  <c r="N67" i="18"/>
  <c r="D67" i="18"/>
  <c r="L67" i="18" s="1"/>
  <c r="B67" i="18"/>
  <c r="Z66" i="18"/>
  <c r="X66" i="18"/>
  <c r="P66" i="18"/>
  <c r="N66" i="18"/>
  <c r="D66" i="18"/>
  <c r="L66" i="18" s="1"/>
  <c r="B66" i="18"/>
  <c r="Z65" i="18"/>
  <c r="X65" i="18"/>
  <c r="P65" i="18"/>
  <c r="N65" i="18"/>
  <c r="D65" i="18"/>
  <c r="L65" i="18" s="1"/>
  <c r="B65" i="18"/>
  <c r="Z64" i="18"/>
  <c r="P64" i="18"/>
  <c r="X64" i="18" s="1"/>
  <c r="N64" i="18"/>
  <c r="L64" i="18"/>
  <c r="D64" i="18"/>
  <c r="B64" i="18"/>
  <c r="Z63" i="18"/>
  <c r="X63" i="18"/>
  <c r="P63" i="18"/>
  <c r="N63" i="18"/>
  <c r="L63" i="18"/>
  <c r="D63" i="18"/>
  <c r="B63" i="18"/>
  <c r="Z62" i="18"/>
  <c r="P62" i="18"/>
  <c r="X62" i="18" s="1"/>
  <c r="N62" i="18"/>
  <c r="L62" i="18"/>
  <c r="D62" i="18"/>
  <c r="B62" i="18"/>
  <c r="Z61" i="18"/>
  <c r="X61" i="18"/>
  <c r="P61" i="18"/>
  <c r="N61" i="18"/>
  <c r="D61" i="18"/>
  <c r="L61" i="18" s="1"/>
  <c r="B61" i="18"/>
  <c r="Z60" i="18"/>
  <c r="P60" i="18"/>
  <c r="X60" i="18" s="1"/>
  <c r="N60" i="18"/>
  <c r="L60" i="18"/>
  <c r="D60" i="18"/>
  <c r="B60" i="18"/>
  <c r="Z59" i="18"/>
  <c r="X59" i="18"/>
  <c r="P59" i="18"/>
  <c r="N59" i="18"/>
  <c r="D59" i="18"/>
  <c r="L59" i="18" s="1"/>
  <c r="B59" i="18"/>
  <c r="Z58" i="18"/>
  <c r="P58" i="18"/>
  <c r="X58" i="18" s="1"/>
  <c r="N58" i="18"/>
  <c r="L58" i="18"/>
  <c r="D58" i="18"/>
  <c r="B58" i="18"/>
  <c r="Z57" i="18"/>
  <c r="X57" i="18"/>
  <c r="P57" i="18"/>
  <c r="N57" i="18"/>
  <c r="D57" i="18"/>
  <c r="L57" i="18" s="1"/>
  <c r="B57" i="18"/>
  <c r="Z56" i="18"/>
  <c r="P56" i="18"/>
  <c r="X56" i="18" s="1"/>
  <c r="N56" i="18"/>
  <c r="L56" i="18"/>
  <c r="D56" i="18"/>
  <c r="B56" i="18"/>
  <c r="Z55" i="18"/>
  <c r="X55" i="18"/>
  <c r="P55" i="18"/>
  <c r="N55" i="18"/>
  <c r="D55" i="18"/>
  <c r="L55" i="18" s="1"/>
  <c r="B55" i="18"/>
  <c r="Z54" i="18"/>
  <c r="X54" i="18"/>
  <c r="P54" i="18"/>
  <c r="N54" i="18"/>
  <c r="D54" i="18"/>
  <c r="L54" i="18" s="1"/>
  <c r="B54" i="18"/>
  <c r="Z53" i="18"/>
  <c r="X53" i="18"/>
  <c r="P53" i="18"/>
  <c r="N53" i="18"/>
  <c r="D53" i="18"/>
  <c r="L53" i="18" s="1"/>
  <c r="B53" i="18"/>
  <c r="Z52" i="18"/>
  <c r="P52" i="18"/>
  <c r="X52" i="18" s="1"/>
  <c r="N52" i="18"/>
  <c r="L52" i="18"/>
  <c r="D52" i="18"/>
  <c r="B52" i="18"/>
  <c r="Z51" i="18"/>
  <c r="X51" i="18"/>
  <c r="P51" i="18"/>
  <c r="N51" i="18"/>
  <c r="L51" i="18"/>
  <c r="D51" i="18"/>
  <c r="B51" i="18"/>
  <c r="Z50" i="18"/>
  <c r="P50" i="18"/>
  <c r="X50" i="18" s="1"/>
  <c r="N50" i="18"/>
  <c r="L50" i="18"/>
  <c r="D50" i="18"/>
  <c r="B50" i="18"/>
  <c r="Z49" i="18"/>
  <c r="X49" i="18"/>
  <c r="P49" i="18"/>
  <c r="N49" i="18"/>
  <c r="D49" i="18"/>
  <c r="L49" i="18" s="1"/>
  <c r="B49" i="18"/>
  <c r="P48" i="18"/>
  <c r="X48" i="18" s="1"/>
  <c r="Z48" i="18" s="1"/>
  <c r="L48" i="18"/>
  <c r="N48" i="18" s="1"/>
  <c r="D48" i="18"/>
  <c r="B48" i="18"/>
  <c r="Z47" i="18"/>
  <c r="X47" i="18"/>
  <c r="P47" i="18"/>
  <c r="N47" i="18"/>
  <c r="D47" i="18"/>
  <c r="L47" i="18" s="1"/>
  <c r="B47" i="18"/>
  <c r="Z46" i="18"/>
  <c r="P46" i="18"/>
  <c r="X46" i="18" s="1"/>
  <c r="N46" i="18"/>
  <c r="L46" i="18"/>
  <c r="D46" i="18"/>
  <c r="B46" i="18"/>
  <c r="Z45" i="18"/>
  <c r="X45" i="18"/>
  <c r="P45" i="18"/>
  <c r="N45" i="18"/>
  <c r="D45" i="18"/>
  <c r="L45" i="18" s="1"/>
  <c r="B45" i="18"/>
  <c r="Z44" i="18"/>
  <c r="P44" i="18"/>
  <c r="X44" i="18" s="1"/>
  <c r="N44" i="18"/>
  <c r="L44" i="18"/>
  <c r="D44" i="18"/>
  <c r="B44" i="18"/>
  <c r="Z43" i="18"/>
  <c r="X43" i="18"/>
  <c r="P43" i="18"/>
  <c r="N43" i="18"/>
  <c r="D43" i="18"/>
  <c r="L43" i="18" s="1"/>
  <c r="B43" i="18"/>
  <c r="Z42" i="18"/>
  <c r="X42" i="18"/>
  <c r="P42" i="18"/>
  <c r="N42" i="18"/>
  <c r="L42" i="18"/>
  <c r="D42" i="18"/>
  <c r="B42" i="18"/>
  <c r="Z41" i="18"/>
  <c r="X41" i="18"/>
  <c r="P41" i="18"/>
  <c r="N41" i="18"/>
  <c r="D41" i="18"/>
  <c r="L41" i="18" s="1"/>
  <c r="B41" i="18"/>
  <c r="Z40" i="18"/>
  <c r="P40" i="18"/>
  <c r="X40" i="18" s="1"/>
  <c r="N40" i="18"/>
  <c r="L40" i="18"/>
  <c r="D40" i="18"/>
  <c r="B40" i="18"/>
  <c r="Z39" i="18"/>
  <c r="X39" i="18"/>
  <c r="P39" i="18"/>
  <c r="N39" i="18"/>
  <c r="L39" i="18"/>
  <c r="D39" i="18"/>
  <c r="B39" i="18"/>
  <c r="Z38" i="18"/>
  <c r="X38" i="18"/>
  <c r="P38" i="18"/>
  <c r="N38" i="18"/>
  <c r="L38" i="18"/>
  <c r="D38" i="18"/>
  <c r="B38" i="18"/>
  <c r="Z37" i="18"/>
  <c r="X37" i="18"/>
  <c r="P37" i="18"/>
  <c r="N37" i="18"/>
  <c r="D37" i="18"/>
  <c r="L37" i="18" s="1"/>
  <c r="B37" i="18"/>
  <c r="Z36" i="18"/>
  <c r="P36" i="18"/>
  <c r="X36" i="18" s="1"/>
  <c r="N36" i="18"/>
  <c r="L36" i="18"/>
  <c r="D36" i="18"/>
  <c r="B36" i="18"/>
  <c r="Z35" i="18"/>
  <c r="X35" i="18"/>
  <c r="P35" i="18"/>
  <c r="N35" i="18"/>
  <c r="D35" i="18"/>
  <c r="L35" i="18" s="1"/>
  <c r="B35" i="18"/>
  <c r="Z34" i="18"/>
  <c r="P34" i="18"/>
  <c r="X34" i="18" s="1"/>
  <c r="N34" i="18"/>
  <c r="L34" i="18"/>
  <c r="D34" i="18"/>
  <c r="B34" i="18"/>
  <c r="Z33" i="18"/>
  <c r="X33" i="18"/>
  <c r="P33" i="18"/>
  <c r="N33" i="18"/>
  <c r="D33" i="18"/>
  <c r="L33" i="18" s="1"/>
  <c r="B33" i="18"/>
  <c r="Z32" i="18"/>
  <c r="P32" i="18"/>
  <c r="X32" i="18" s="1"/>
  <c r="N32" i="18"/>
  <c r="L32" i="18"/>
  <c r="D32" i="18"/>
  <c r="B32" i="18"/>
  <c r="Z31" i="18"/>
  <c r="X31" i="18"/>
  <c r="P31" i="18"/>
  <c r="N31" i="18"/>
  <c r="D31" i="18"/>
  <c r="L31" i="18" s="1"/>
  <c r="B31" i="18"/>
  <c r="Z30" i="18"/>
  <c r="X30" i="18"/>
  <c r="P30" i="18"/>
  <c r="N30" i="18"/>
  <c r="D30" i="18"/>
  <c r="L30" i="18" s="1"/>
  <c r="B30" i="18"/>
  <c r="Z29" i="18"/>
  <c r="X29" i="18"/>
  <c r="P29" i="18"/>
  <c r="N29" i="18"/>
  <c r="D29" i="18"/>
  <c r="L29" i="18" s="1"/>
  <c r="B29" i="18"/>
  <c r="Z28" i="18"/>
  <c r="P28" i="18"/>
  <c r="X28" i="18" s="1"/>
  <c r="N28" i="18"/>
  <c r="L28" i="18"/>
  <c r="D28" i="18"/>
  <c r="B28" i="18"/>
  <c r="Z27" i="18"/>
  <c r="X27" i="18"/>
  <c r="P27" i="18"/>
  <c r="N27" i="18"/>
  <c r="L27" i="18"/>
  <c r="D27" i="18"/>
  <c r="B27" i="18"/>
  <c r="Z26" i="18"/>
  <c r="X26" i="18"/>
  <c r="P26" i="18"/>
  <c r="N26" i="18"/>
  <c r="L26" i="18"/>
  <c r="D26" i="18"/>
  <c r="B26" i="18"/>
  <c r="Z25" i="18"/>
  <c r="P25" i="18"/>
  <c r="X25" i="18" s="1"/>
  <c r="N25" i="18"/>
  <c r="D25" i="18"/>
  <c r="L25" i="18" s="1"/>
  <c r="B25" i="18"/>
  <c r="Z24" i="18"/>
  <c r="P24" i="18"/>
  <c r="X24" i="18" s="1"/>
  <c r="N24" i="18"/>
  <c r="L24" i="18"/>
  <c r="D24" i="18"/>
  <c r="B24" i="18"/>
  <c r="Z23" i="18"/>
  <c r="X23" i="18"/>
  <c r="P23" i="18"/>
  <c r="N23" i="18"/>
  <c r="D23" i="18"/>
  <c r="L23" i="18" s="1"/>
  <c r="B23" i="18"/>
  <c r="Z22" i="18"/>
  <c r="P22" i="18"/>
  <c r="X22" i="18" s="1"/>
  <c r="N22" i="18"/>
  <c r="D22" i="18"/>
  <c r="L22" i="18" s="1"/>
  <c r="B22" i="18"/>
  <c r="Z21" i="18"/>
  <c r="X21" i="18"/>
  <c r="P21" i="18"/>
  <c r="N21" i="18"/>
  <c r="L21" i="18"/>
  <c r="D21" i="18"/>
  <c r="B21" i="18"/>
  <c r="Z20" i="18"/>
  <c r="P20" i="18"/>
  <c r="X20" i="18" s="1"/>
  <c r="N20" i="18"/>
  <c r="L20" i="18"/>
  <c r="D20" i="18"/>
  <c r="B20" i="18"/>
  <c r="Z19" i="18"/>
  <c r="P19" i="18"/>
  <c r="X19" i="18" s="1"/>
  <c r="N19" i="18"/>
  <c r="D19" i="18"/>
  <c r="L19" i="18" s="1"/>
  <c r="B19" i="18"/>
  <c r="Z18" i="18"/>
  <c r="X18" i="18"/>
  <c r="P18" i="18"/>
  <c r="N18" i="18"/>
  <c r="L18" i="18"/>
  <c r="D18" i="18"/>
  <c r="B18" i="18"/>
  <c r="Z17" i="18"/>
  <c r="X17" i="18"/>
  <c r="P17" i="18"/>
  <c r="N17" i="18"/>
  <c r="D17" i="18"/>
  <c r="L17" i="18" s="1"/>
  <c r="B17" i="18"/>
  <c r="Z16" i="18"/>
  <c r="P16" i="18"/>
  <c r="X16" i="18" s="1"/>
  <c r="N16" i="18"/>
  <c r="L16" i="18"/>
  <c r="D16" i="18"/>
  <c r="B16" i="18"/>
  <c r="Z15" i="18"/>
  <c r="X15" i="18"/>
  <c r="P15" i="18"/>
  <c r="N15" i="18"/>
  <c r="L15" i="18"/>
  <c r="D15" i="18"/>
  <c r="B15" i="18"/>
  <c r="Z14" i="18"/>
  <c r="P14" i="18"/>
  <c r="X14" i="18" s="1"/>
  <c r="N14" i="18"/>
  <c r="L14" i="18"/>
  <c r="D14" i="18"/>
  <c r="B14" i="18"/>
  <c r="X13" i="18"/>
  <c r="Z13" i="18" s="1"/>
  <c r="P13" i="18"/>
  <c r="D13" i="18"/>
  <c r="L13" i="18" s="1"/>
  <c r="N13" i="18" s="1"/>
  <c r="B13" i="18"/>
  <c r="T12" i="18"/>
  <c r="H12" i="18"/>
  <c r="D12" i="18"/>
  <c r="F221" i="18" s="1"/>
  <c r="D4" i="18"/>
  <c r="X225" i="15"/>
  <c r="Z225" i="15" s="1"/>
  <c r="L225" i="15"/>
  <c r="N225" i="15" s="1"/>
  <c r="P221" i="15"/>
  <c r="X221" i="15" s="1"/>
  <c r="Z221" i="15" s="1"/>
  <c r="L221" i="15"/>
  <c r="N221" i="15" s="1"/>
  <c r="D221" i="15"/>
  <c r="B221" i="15"/>
  <c r="X220" i="15"/>
  <c r="Z220" i="15" s="1"/>
  <c r="P220" i="15"/>
  <c r="L220" i="15"/>
  <c r="N220" i="15" s="1"/>
  <c r="D220" i="15"/>
  <c r="B220" i="15"/>
  <c r="X219" i="15"/>
  <c r="Z219" i="15" s="1"/>
  <c r="P219" i="15"/>
  <c r="D219" i="15"/>
  <c r="L219" i="15" s="1"/>
  <c r="N219" i="15" s="1"/>
  <c r="B219" i="15"/>
  <c r="Z218" i="15"/>
  <c r="X218" i="15"/>
  <c r="P218" i="15"/>
  <c r="N218" i="15"/>
  <c r="D218" i="15"/>
  <c r="B218" i="15"/>
  <c r="Z217" i="15"/>
  <c r="P217" i="15"/>
  <c r="X217" i="15" s="1"/>
  <c r="N217" i="15"/>
  <c r="D217" i="15"/>
  <c r="L217" i="15" s="1"/>
  <c r="B217" i="15"/>
  <c r="T216" i="15"/>
  <c r="P216" i="15"/>
  <c r="X216" i="15" s="1"/>
  <c r="H216" i="15"/>
  <c r="Z214" i="15"/>
  <c r="X214" i="15"/>
  <c r="N214" i="15"/>
  <c r="L214" i="15"/>
  <c r="B214" i="15"/>
  <c r="X213" i="15"/>
  <c r="T213" i="15"/>
  <c r="Z213" i="15" s="1"/>
  <c r="P213" i="15"/>
  <c r="N213" i="15"/>
  <c r="L213" i="15"/>
  <c r="H213" i="15"/>
  <c r="D213" i="15"/>
  <c r="B213" i="15"/>
  <c r="X212" i="15"/>
  <c r="Z212" i="15" s="1"/>
  <c r="L212" i="15"/>
  <c r="N212" i="15" s="1"/>
  <c r="B212" i="15"/>
  <c r="X211" i="15"/>
  <c r="Z211" i="15" s="1"/>
  <c r="N211" i="15"/>
  <c r="L211" i="15"/>
  <c r="B211" i="15"/>
  <c r="Z210" i="15"/>
  <c r="X210" i="15"/>
  <c r="N210" i="15"/>
  <c r="L210" i="15"/>
  <c r="B210" i="15"/>
  <c r="T209" i="15"/>
  <c r="P209" i="15"/>
  <c r="H209" i="15"/>
  <c r="L209" i="15" s="1"/>
  <c r="D209" i="15"/>
  <c r="B209" i="15"/>
  <c r="X208" i="15"/>
  <c r="Z208" i="15" s="1"/>
  <c r="L208" i="15"/>
  <c r="N208" i="15" s="1"/>
  <c r="B208" i="15"/>
  <c r="Z207" i="15"/>
  <c r="T207" i="15"/>
  <c r="P207" i="15"/>
  <c r="X207" i="15" s="1"/>
  <c r="N207" i="15"/>
  <c r="H207" i="15"/>
  <c r="D207" i="15"/>
  <c r="L207" i="15" s="1"/>
  <c r="B207" i="15"/>
  <c r="Z206" i="15"/>
  <c r="X206" i="15"/>
  <c r="L206" i="15"/>
  <c r="N206" i="15" s="1"/>
  <c r="B206" i="15"/>
  <c r="X205" i="15"/>
  <c r="Z205" i="15" s="1"/>
  <c r="L205" i="15"/>
  <c r="N205" i="15" s="1"/>
  <c r="B205" i="15"/>
  <c r="T204" i="15"/>
  <c r="P204" i="15"/>
  <c r="X204" i="15" s="1"/>
  <c r="H204" i="15"/>
  <c r="D204" i="15"/>
  <c r="L204" i="15" s="1"/>
  <c r="B204" i="15"/>
  <c r="X203" i="15"/>
  <c r="Z203" i="15" s="1"/>
  <c r="N203" i="15"/>
  <c r="L203" i="15"/>
  <c r="B203" i="15"/>
  <c r="X202" i="15"/>
  <c r="Z202" i="15" s="1"/>
  <c r="N202" i="15"/>
  <c r="L202" i="15"/>
  <c r="B202" i="15"/>
  <c r="X201" i="15"/>
  <c r="Z201" i="15" s="1"/>
  <c r="V201" i="15"/>
  <c r="N201" i="15"/>
  <c r="L201" i="15"/>
  <c r="B201" i="15"/>
  <c r="X200" i="15"/>
  <c r="Z200" i="15" s="1"/>
  <c r="L200" i="15"/>
  <c r="N200" i="15" s="1"/>
  <c r="B200" i="15"/>
  <c r="X199" i="15"/>
  <c r="Z199" i="15" s="1"/>
  <c r="N199" i="15"/>
  <c r="L199" i="15"/>
  <c r="B199" i="15"/>
  <c r="X198" i="15"/>
  <c r="Z198" i="15" s="1"/>
  <c r="N198" i="15"/>
  <c r="L198" i="15"/>
  <c r="B198" i="15"/>
  <c r="X197" i="15"/>
  <c r="Z197" i="15" s="1"/>
  <c r="N197" i="15"/>
  <c r="L197" i="15"/>
  <c r="B197" i="15"/>
  <c r="X196" i="15"/>
  <c r="Z196" i="15" s="1"/>
  <c r="T196" i="15"/>
  <c r="P196" i="15"/>
  <c r="L196" i="15"/>
  <c r="N196" i="15" s="1"/>
  <c r="H196" i="15"/>
  <c r="D196" i="15"/>
  <c r="B196" i="15"/>
  <c r="Z195" i="15"/>
  <c r="X195" i="15"/>
  <c r="N195" i="15"/>
  <c r="L195" i="15"/>
  <c r="B195" i="15"/>
  <c r="Z194" i="15"/>
  <c r="X194" i="15"/>
  <c r="N194" i="15"/>
  <c r="L194" i="15"/>
  <c r="B194" i="15"/>
  <c r="Z193" i="15"/>
  <c r="T193" i="15"/>
  <c r="P193" i="15"/>
  <c r="X193" i="15" s="1"/>
  <c r="N193" i="15"/>
  <c r="H193" i="15"/>
  <c r="D193" i="15"/>
  <c r="L193" i="15" s="1"/>
  <c r="B193" i="15"/>
  <c r="X192" i="15"/>
  <c r="Z192" i="15" s="1"/>
  <c r="L192" i="15"/>
  <c r="N192" i="15" s="1"/>
  <c r="B192" i="15"/>
  <c r="Z191" i="15"/>
  <c r="X191" i="15"/>
  <c r="L191" i="15"/>
  <c r="N191" i="15" s="1"/>
  <c r="B191" i="15"/>
  <c r="Z190" i="15"/>
  <c r="X190" i="15"/>
  <c r="L190" i="15"/>
  <c r="N190" i="15" s="1"/>
  <c r="B190" i="15"/>
  <c r="X189" i="15"/>
  <c r="Z189" i="15" s="1"/>
  <c r="V189" i="15"/>
  <c r="L189" i="15"/>
  <c r="N189" i="15" s="1"/>
  <c r="B189" i="15"/>
  <c r="T188" i="15"/>
  <c r="Z188" i="15" s="1"/>
  <c r="P188" i="15"/>
  <c r="X188" i="15" s="1"/>
  <c r="H188" i="15"/>
  <c r="D188" i="15"/>
  <c r="L188" i="15" s="1"/>
  <c r="B188" i="15"/>
  <c r="Z187" i="15"/>
  <c r="X187" i="15"/>
  <c r="N187" i="15"/>
  <c r="L187" i="15"/>
  <c r="B187" i="15"/>
  <c r="X186" i="15"/>
  <c r="Z186" i="15" s="1"/>
  <c r="N186" i="15"/>
  <c r="L186" i="15"/>
  <c r="B186" i="15"/>
  <c r="X185" i="15"/>
  <c r="Z185" i="15" s="1"/>
  <c r="N185" i="15"/>
  <c r="L185" i="15"/>
  <c r="B185" i="15"/>
  <c r="X184" i="15"/>
  <c r="Z184" i="15" s="1"/>
  <c r="L184" i="15"/>
  <c r="N184" i="15" s="1"/>
  <c r="B184" i="15"/>
  <c r="T183" i="15"/>
  <c r="P183" i="15"/>
  <c r="H183" i="15"/>
  <c r="D183" i="15"/>
  <c r="B183" i="15"/>
  <c r="Z182" i="15"/>
  <c r="X182" i="15"/>
  <c r="V182" i="15"/>
  <c r="N182" i="15"/>
  <c r="L182" i="15"/>
  <c r="B182" i="15"/>
  <c r="Z181" i="15"/>
  <c r="X181" i="15"/>
  <c r="L181" i="15"/>
  <c r="N181" i="15" s="1"/>
  <c r="B181" i="15"/>
  <c r="X180" i="15"/>
  <c r="Z180" i="15" s="1"/>
  <c r="V180" i="15"/>
  <c r="L180" i="15"/>
  <c r="N180" i="15" s="1"/>
  <c r="B180" i="15"/>
  <c r="Z179" i="15"/>
  <c r="T179" i="15"/>
  <c r="P179" i="15"/>
  <c r="X179" i="15" s="1"/>
  <c r="H179" i="15"/>
  <c r="D179" i="15"/>
  <c r="L179" i="15" s="1"/>
  <c r="N179" i="15" s="1"/>
  <c r="B179" i="15"/>
  <c r="Z178" i="15"/>
  <c r="X178" i="15"/>
  <c r="N178" i="15"/>
  <c r="L178" i="15"/>
  <c r="B178" i="15"/>
  <c r="X177" i="15"/>
  <c r="T177" i="15"/>
  <c r="P177" i="15"/>
  <c r="L177" i="15"/>
  <c r="N177" i="15" s="1"/>
  <c r="J177" i="15"/>
  <c r="H177" i="15"/>
  <c r="D177" i="15"/>
  <c r="B177" i="15"/>
  <c r="Z176" i="15"/>
  <c r="X176" i="15"/>
  <c r="L176" i="15"/>
  <c r="N176" i="15" s="1"/>
  <c r="B176" i="15"/>
  <c r="T175" i="15"/>
  <c r="P175" i="15"/>
  <c r="J175" i="15"/>
  <c r="H175" i="15"/>
  <c r="D175" i="15"/>
  <c r="B175" i="15"/>
  <c r="Z174" i="15"/>
  <c r="X174" i="15"/>
  <c r="N174" i="15"/>
  <c r="L174" i="15"/>
  <c r="B174" i="15"/>
  <c r="T173" i="15"/>
  <c r="P173" i="15"/>
  <c r="H173" i="15"/>
  <c r="D173" i="15"/>
  <c r="L173" i="15" s="1"/>
  <c r="N173" i="15" s="1"/>
  <c r="B173" i="15"/>
  <c r="X172" i="15"/>
  <c r="Z172" i="15" s="1"/>
  <c r="L172" i="15"/>
  <c r="N172" i="15" s="1"/>
  <c r="B172" i="15"/>
  <c r="Z171" i="15"/>
  <c r="X171" i="15"/>
  <c r="T171" i="15"/>
  <c r="P171" i="15"/>
  <c r="L171" i="15"/>
  <c r="H171" i="15"/>
  <c r="N171" i="15" s="1"/>
  <c r="D171" i="15"/>
  <c r="B171" i="15"/>
  <c r="Z170" i="15"/>
  <c r="X170" i="15"/>
  <c r="N170" i="15"/>
  <c r="L170" i="15"/>
  <c r="B170" i="15"/>
  <c r="T169" i="15"/>
  <c r="P169" i="15"/>
  <c r="L169" i="15"/>
  <c r="H169" i="15"/>
  <c r="D169" i="15"/>
  <c r="B169" i="15"/>
  <c r="X168" i="15"/>
  <c r="Z168" i="15" s="1"/>
  <c r="L168" i="15"/>
  <c r="N168" i="15" s="1"/>
  <c r="B168" i="15"/>
  <c r="Z167" i="15"/>
  <c r="X167" i="15"/>
  <c r="L167" i="15"/>
  <c r="N167" i="15" s="1"/>
  <c r="B167" i="15"/>
  <c r="Z166" i="15"/>
  <c r="T166" i="15"/>
  <c r="X166" i="15" s="1"/>
  <c r="P166" i="15"/>
  <c r="H166" i="15"/>
  <c r="D166" i="15"/>
  <c r="B166" i="15"/>
  <c r="X165" i="15"/>
  <c r="Z165" i="15" s="1"/>
  <c r="L165" i="15"/>
  <c r="N165" i="15" s="1"/>
  <c r="B165" i="15"/>
  <c r="T164" i="15"/>
  <c r="P164" i="15"/>
  <c r="X164" i="15" s="1"/>
  <c r="H164" i="15"/>
  <c r="D164" i="15"/>
  <c r="B164" i="15"/>
  <c r="X163" i="15"/>
  <c r="Z163" i="15" s="1"/>
  <c r="N163" i="15"/>
  <c r="L163" i="15"/>
  <c r="B163" i="15"/>
  <c r="Z162" i="15"/>
  <c r="X162" i="15"/>
  <c r="T162" i="15"/>
  <c r="P162" i="15"/>
  <c r="H162" i="15"/>
  <c r="D162" i="15"/>
  <c r="L162" i="15" s="1"/>
  <c r="N162" i="15" s="1"/>
  <c r="B162" i="15"/>
  <c r="Z161" i="15"/>
  <c r="X161" i="15"/>
  <c r="N161" i="15"/>
  <c r="L161" i="15"/>
  <c r="B161" i="15"/>
  <c r="X160" i="15"/>
  <c r="Z160" i="15" s="1"/>
  <c r="L160" i="15"/>
  <c r="N160" i="15" s="1"/>
  <c r="J160" i="15"/>
  <c r="B160" i="15"/>
  <c r="T159" i="15"/>
  <c r="P159" i="15"/>
  <c r="N159" i="15"/>
  <c r="H159" i="15"/>
  <c r="D159" i="15"/>
  <c r="L159" i="15" s="1"/>
  <c r="B159" i="15"/>
  <c r="Z158" i="15"/>
  <c r="X158" i="15"/>
  <c r="V158" i="15"/>
  <c r="N158" i="15"/>
  <c r="L158" i="15"/>
  <c r="B158" i="15"/>
  <c r="X157" i="15"/>
  <c r="Z157" i="15" s="1"/>
  <c r="L157" i="15"/>
  <c r="N157" i="15" s="1"/>
  <c r="B157" i="15"/>
  <c r="T156" i="15"/>
  <c r="Z156" i="15" s="1"/>
  <c r="P156" i="15"/>
  <c r="X156" i="15" s="1"/>
  <c r="H156" i="15"/>
  <c r="D156" i="15"/>
  <c r="B156" i="15"/>
  <c r="X155" i="15"/>
  <c r="Z155" i="15" s="1"/>
  <c r="N155" i="15"/>
  <c r="L155" i="15"/>
  <c r="B155" i="15"/>
  <c r="X154" i="15"/>
  <c r="Z154" i="15" s="1"/>
  <c r="N154" i="15"/>
  <c r="L154" i="15"/>
  <c r="B154" i="15"/>
  <c r="X153" i="15"/>
  <c r="Z153" i="15" s="1"/>
  <c r="N153" i="15"/>
  <c r="L153" i="15"/>
  <c r="B153" i="15"/>
  <c r="T152" i="15"/>
  <c r="P152" i="15"/>
  <c r="X152" i="15" s="1"/>
  <c r="Z152" i="15" s="1"/>
  <c r="L152" i="15"/>
  <c r="N152" i="15" s="1"/>
  <c r="H152" i="15"/>
  <c r="D152" i="15"/>
  <c r="B152" i="15"/>
  <c r="Z151" i="15"/>
  <c r="X151" i="15"/>
  <c r="N151" i="15"/>
  <c r="L151" i="15"/>
  <c r="B151" i="15"/>
  <c r="T150" i="15"/>
  <c r="P150" i="15"/>
  <c r="L150" i="15"/>
  <c r="N150" i="15" s="1"/>
  <c r="H150" i="15"/>
  <c r="D150" i="15"/>
  <c r="B150" i="15"/>
  <c r="X149" i="15"/>
  <c r="Z149" i="15" s="1"/>
  <c r="L149" i="15"/>
  <c r="N149" i="15" s="1"/>
  <c r="B149" i="15"/>
  <c r="X148" i="15"/>
  <c r="Z148" i="15" s="1"/>
  <c r="N148" i="15"/>
  <c r="L148" i="15"/>
  <c r="B148" i="15"/>
  <c r="T147" i="15"/>
  <c r="P147" i="15"/>
  <c r="X147" i="15" s="1"/>
  <c r="Z147" i="15" s="1"/>
  <c r="L147" i="15"/>
  <c r="J147" i="15"/>
  <c r="H147" i="15"/>
  <c r="D147" i="15"/>
  <c r="B147" i="15"/>
  <c r="X146" i="15"/>
  <c r="Z146" i="15" s="1"/>
  <c r="N146" i="15"/>
  <c r="L146" i="15"/>
  <c r="B146" i="15"/>
  <c r="X145" i="15"/>
  <c r="V145" i="15"/>
  <c r="T145" i="15"/>
  <c r="P145" i="15"/>
  <c r="H145" i="15"/>
  <c r="D145" i="15"/>
  <c r="B145" i="15"/>
  <c r="Z144" i="15"/>
  <c r="X144" i="15"/>
  <c r="V144" i="15"/>
  <c r="N144" i="15"/>
  <c r="L144" i="15"/>
  <c r="B144" i="15"/>
  <c r="Z143" i="15"/>
  <c r="X143" i="15"/>
  <c r="N143" i="15"/>
  <c r="L143" i="15"/>
  <c r="B143" i="15"/>
  <c r="Z142" i="15"/>
  <c r="X142" i="15"/>
  <c r="N142" i="15"/>
  <c r="L142" i="15"/>
  <c r="B142" i="15"/>
  <c r="Z141" i="15"/>
  <c r="X141" i="15"/>
  <c r="L141" i="15"/>
  <c r="N141" i="15" s="1"/>
  <c r="B141" i="15"/>
  <c r="Z140" i="15"/>
  <c r="X140" i="15"/>
  <c r="N140" i="15"/>
  <c r="L140" i="15"/>
  <c r="B140" i="15"/>
  <c r="Z139" i="15"/>
  <c r="X139" i="15"/>
  <c r="N139" i="15"/>
  <c r="L139" i="15"/>
  <c r="B139" i="15"/>
  <c r="Z138" i="15"/>
  <c r="X138" i="15"/>
  <c r="N138" i="15"/>
  <c r="L138" i="15"/>
  <c r="J138" i="15"/>
  <c r="B138" i="15"/>
  <c r="Z137" i="15"/>
  <c r="X137" i="15"/>
  <c r="N137" i="15"/>
  <c r="L137" i="15"/>
  <c r="B137" i="15"/>
  <c r="X136" i="15"/>
  <c r="Z136" i="15" s="1"/>
  <c r="V136" i="15"/>
  <c r="L136" i="15"/>
  <c r="N136" i="15" s="1"/>
  <c r="B136" i="15"/>
  <c r="Z135" i="15"/>
  <c r="X135" i="15"/>
  <c r="L135" i="15"/>
  <c r="N135" i="15" s="1"/>
  <c r="B135" i="15"/>
  <c r="Z134" i="15"/>
  <c r="T134" i="15"/>
  <c r="X134" i="15" s="1"/>
  <c r="P134" i="15"/>
  <c r="L134" i="15"/>
  <c r="H134" i="15"/>
  <c r="N134" i="15" s="1"/>
  <c r="D134" i="15"/>
  <c r="B134" i="15"/>
  <c r="X133" i="15"/>
  <c r="Z133" i="15" s="1"/>
  <c r="V133" i="15"/>
  <c r="L133" i="15"/>
  <c r="N133" i="15" s="1"/>
  <c r="B133" i="15"/>
  <c r="X132" i="15"/>
  <c r="Z132" i="15" s="1"/>
  <c r="L132" i="15"/>
  <c r="N132" i="15" s="1"/>
  <c r="B132" i="15"/>
  <c r="Z131" i="15"/>
  <c r="X131" i="15"/>
  <c r="V131" i="15"/>
  <c r="L131" i="15"/>
  <c r="N131" i="15" s="1"/>
  <c r="B131" i="15"/>
  <c r="Z130" i="15"/>
  <c r="X130" i="15"/>
  <c r="N130" i="15"/>
  <c r="L130" i="15"/>
  <c r="B130" i="15"/>
  <c r="Z129" i="15"/>
  <c r="X129" i="15"/>
  <c r="V129" i="15"/>
  <c r="N129" i="15"/>
  <c r="L129" i="15"/>
  <c r="B129" i="15"/>
  <c r="X128" i="15"/>
  <c r="Z128" i="15" s="1"/>
  <c r="L128" i="15"/>
  <c r="N128" i="15" s="1"/>
  <c r="B128" i="15"/>
  <c r="Z127" i="15"/>
  <c r="X127" i="15"/>
  <c r="N127" i="15"/>
  <c r="L127" i="15"/>
  <c r="B127" i="15"/>
  <c r="Z126" i="15"/>
  <c r="X126" i="15"/>
  <c r="L126" i="15"/>
  <c r="N126" i="15" s="1"/>
  <c r="B126" i="15"/>
  <c r="X125" i="15"/>
  <c r="Z125" i="15" s="1"/>
  <c r="L125" i="15"/>
  <c r="N125" i="15" s="1"/>
  <c r="B125" i="15"/>
  <c r="X124" i="15"/>
  <c r="Z124" i="15" s="1"/>
  <c r="L124" i="15"/>
  <c r="N124" i="15" s="1"/>
  <c r="B124" i="15"/>
  <c r="X123" i="15"/>
  <c r="Z123" i="15" s="1"/>
  <c r="T123" i="15"/>
  <c r="P123" i="15"/>
  <c r="H123" i="15"/>
  <c r="D123" i="15"/>
  <c r="L123" i="15" s="1"/>
  <c r="B123" i="15"/>
  <c r="T122" i="15"/>
  <c r="X122" i="15" s="1"/>
  <c r="Z122" i="15" s="1"/>
  <c r="P122" i="15"/>
  <c r="H122" i="15"/>
  <c r="D122" i="15"/>
  <c r="L122" i="15" s="1"/>
  <c r="N122" i="15" s="1"/>
  <c r="Z118" i="15"/>
  <c r="X118" i="15"/>
  <c r="N118" i="15"/>
  <c r="L118" i="15"/>
  <c r="B118" i="15"/>
  <c r="Z117" i="15"/>
  <c r="X117" i="15"/>
  <c r="N117" i="15"/>
  <c r="L117" i="15"/>
  <c r="J117" i="15"/>
  <c r="B117" i="15"/>
  <c r="Z116" i="15"/>
  <c r="X116" i="15"/>
  <c r="N116" i="15"/>
  <c r="L116" i="15"/>
  <c r="B116" i="15"/>
  <c r="Z115" i="15"/>
  <c r="X115" i="15"/>
  <c r="V115" i="15"/>
  <c r="N115" i="15"/>
  <c r="L115" i="15"/>
  <c r="B115" i="15"/>
  <c r="Z114" i="15"/>
  <c r="X114" i="15"/>
  <c r="N114" i="15"/>
  <c r="L114" i="15"/>
  <c r="B114" i="15"/>
  <c r="Z113" i="15"/>
  <c r="X113" i="15"/>
  <c r="N113" i="15"/>
  <c r="L113" i="15"/>
  <c r="J113" i="15"/>
  <c r="B113" i="15"/>
  <c r="Z112" i="15"/>
  <c r="X112" i="15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B110" i="15"/>
  <c r="Z109" i="15"/>
  <c r="X109" i="15"/>
  <c r="N109" i="15"/>
  <c r="L109" i="15"/>
  <c r="B109" i="15"/>
  <c r="Z108" i="15"/>
  <c r="X108" i="15"/>
  <c r="N108" i="15"/>
  <c r="L108" i="15"/>
  <c r="B108" i="15"/>
  <c r="Z107" i="15"/>
  <c r="X107" i="15"/>
  <c r="V107" i="15"/>
  <c r="N107" i="15"/>
  <c r="L107" i="15"/>
  <c r="B107" i="15"/>
  <c r="Z106" i="15"/>
  <c r="X106" i="15"/>
  <c r="N106" i="15"/>
  <c r="L106" i="15"/>
  <c r="J106" i="15"/>
  <c r="B106" i="15"/>
  <c r="Z105" i="15"/>
  <c r="X105" i="15"/>
  <c r="N105" i="15"/>
  <c r="L105" i="15"/>
  <c r="B105" i="15"/>
  <c r="Z104" i="15"/>
  <c r="X104" i="15"/>
  <c r="V104" i="15"/>
  <c r="N104" i="15"/>
  <c r="L104" i="15"/>
  <c r="B104" i="15"/>
  <c r="Z103" i="15"/>
  <c r="X103" i="15"/>
  <c r="V103" i="15"/>
  <c r="N103" i="15"/>
  <c r="L103" i="15"/>
  <c r="B103" i="15"/>
  <c r="Z102" i="15"/>
  <c r="X102" i="15"/>
  <c r="N102" i="15"/>
  <c r="L102" i="15"/>
  <c r="J102" i="15"/>
  <c r="B102" i="15"/>
  <c r="Z101" i="15"/>
  <c r="X101" i="15"/>
  <c r="N101" i="15"/>
  <c r="L101" i="15"/>
  <c r="B101" i="15"/>
  <c r="Z100" i="15"/>
  <c r="X100" i="15"/>
  <c r="V100" i="15"/>
  <c r="N100" i="15"/>
  <c r="L100" i="15"/>
  <c r="B100" i="15"/>
  <c r="Z99" i="15"/>
  <c r="X99" i="15"/>
  <c r="V99" i="15"/>
  <c r="N99" i="15"/>
  <c r="L99" i="15"/>
  <c r="B99" i="15"/>
  <c r="Z98" i="15"/>
  <c r="X98" i="15"/>
  <c r="N98" i="15"/>
  <c r="L98" i="15"/>
  <c r="J98" i="15"/>
  <c r="B98" i="15"/>
  <c r="Z97" i="15"/>
  <c r="X97" i="15"/>
  <c r="N97" i="15"/>
  <c r="L97" i="15"/>
  <c r="B97" i="15"/>
  <c r="Z96" i="15"/>
  <c r="X96" i="15"/>
  <c r="V96" i="15"/>
  <c r="N96" i="15"/>
  <c r="L96" i="15"/>
  <c r="B96" i="15"/>
  <c r="Z95" i="15"/>
  <c r="X95" i="15"/>
  <c r="V95" i="15"/>
  <c r="N95" i="15"/>
  <c r="L95" i="15"/>
  <c r="B95" i="15"/>
  <c r="Z94" i="15"/>
  <c r="X94" i="15"/>
  <c r="N94" i="15"/>
  <c r="L94" i="15"/>
  <c r="J94" i="15"/>
  <c r="B94" i="15"/>
  <c r="Z93" i="15"/>
  <c r="X93" i="15"/>
  <c r="N93" i="15"/>
  <c r="L93" i="15"/>
  <c r="B93" i="15"/>
  <c r="Z92" i="15"/>
  <c r="X92" i="15"/>
  <c r="V92" i="15"/>
  <c r="N92" i="15"/>
  <c r="L92" i="15"/>
  <c r="B92" i="15"/>
  <c r="Z91" i="15"/>
  <c r="X91" i="15"/>
  <c r="V91" i="15"/>
  <c r="N91" i="15"/>
  <c r="L91" i="15"/>
  <c r="B91" i="15"/>
  <c r="Z90" i="15"/>
  <c r="X90" i="15"/>
  <c r="N90" i="15"/>
  <c r="L90" i="15"/>
  <c r="J90" i="15"/>
  <c r="B90" i="15"/>
  <c r="Z89" i="15"/>
  <c r="X89" i="15"/>
  <c r="N89" i="15"/>
  <c r="L89" i="15"/>
  <c r="B89" i="15"/>
  <c r="Z88" i="15"/>
  <c r="X88" i="15"/>
  <c r="V88" i="15"/>
  <c r="N88" i="15"/>
  <c r="L88" i="15"/>
  <c r="B88" i="15"/>
  <c r="Z87" i="15"/>
  <c r="X87" i="15"/>
  <c r="V87" i="15"/>
  <c r="N87" i="15"/>
  <c r="L87" i="15"/>
  <c r="B87" i="15"/>
  <c r="Z86" i="15"/>
  <c r="X86" i="15"/>
  <c r="N86" i="15"/>
  <c r="L86" i="15"/>
  <c r="J86" i="15"/>
  <c r="B86" i="15"/>
  <c r="Z85" i="15"/>
  <c r="X85" i="15"/>
  <c r="N85" i="15"/>
  <c r="L85" i="15"/>
  <c r="B85" i="15"/>
  <c r="Z84" i="15"/>
  <c r="X84" i="15"/>
  <c r="V84" i="15"/>
  <c r="N84" i="15"/>
  <c r="L84" i="15"/>
  <c r="B84" i="15"/>
  <c r="Z83" i="15"/>
  <c r="X83" i="15"/>
  <c r="V83" i="15"/>
  <c r="N83" i="15"/>
  <c r="L83" i="15"/>
  <c r="B83" i="15"/>
  <c r="X82" i="15"/>
  <c r="Z82" i="15" s="1"/>
  <c r="L82" i="15"/>
  <c r="N82" i="15" s="1"/>
  <c r="J82" i="15"/>
  <c r="B82" i="15"/>
  <c r="T81" i="15"/>
  <c r="P81" i="15"/>
  <c r="X81" i="15" s="1"/>
  <c r="Z81" i="15" s="1"/>
  <c r="H81" i="15"/>
  <c r="D81" i="15"/>
  <c r="Z79" i="15"/>
  <c r="P79" i="15"/>
  <c r="X79" i="15" s="1"/>
  <c r="N79" i="15"/>
  <c r="D79" i="15"/>
  <c r="L79" i="15" s="1"/>
  <c r="B79" i="15"/>
  <c r="Z78" i="15"/>
  <c r="X78" i="15"/>
  <c r="P78" i="15"/>
  <c r="N78" i="15"/>
  <c r="L78" i="15"/>
  <c r="D78" i="15"/>
  <c r="B78" i="15"/>
  <c r="Z77" i="15"/>
  <c r="X77" i="15"/>
  <c r="P77" i="15"/>
  <c r="N77" i="15"/>
  <c r="D77" i="15"/>
  <c r="L77" i="15" s="1"/>
  <c r="B77" i="15"/>
  <c r="Z76" i="15"/>
  <c r="P76" i="15"/>
  <c r="X76" i="15" s="1"/>
  <c r="N76" i="15"/>
  <c r="D76" i="15"/>
  <c r="L76" i="15" s="1"/>
  <c r="B76" i="15"/>
  <c r="Z75" i="15"/>
  <c r="P75" i="15"/>
  <c r="X75" i="15" s="1"/>
  <c r="N75" i="15"/>
  <c r="D75" i="15"/>
  <c r="L75" i="15" s="1"/>
  <c r="B75" i="15"/>
  <c r="Z74" i="15"/>
  <c r="X74" i="15"/>
  <c r="P74" i="15"/>
  <c r="N74" i="15"/>
  <c r="L74" i="15"/>
  <c r="D74" i="15"/>
  <c r="B74" i="15"/>
  <c r="Z73" i="15"/>
  <c r="P73" i="15"/>
  <c r="X73" i="15" s="1"/>
  <c r="N73" i="15"/>
  <c r="D73" i="15"/>
  <c r="L73" i="15" s="1"/>
  <c r="B73" i="15"/>
  <c r="Z72" i="15"/>
  <c r="X72" i="15"/>
  <c r="P72" i="15"/>
  <c r="N72" i="15"/>
  <c r="D72" i="15"/>
  <c r="L72" i="15" s="1"/>
  <c r="B72" i="15"/>
  <c r="Z71" i="15"/>
  <c r="X71" i="15"/>
  <c r="P71" i="15"/>
  <c r="N71" i="15"/>
  <c r="L71" i="15"/>
  <c r="D71" i="15"/>
  <c r="B71" i="15"/>
  <c r="Z70" i="15"/>
  <c r="P70" i="15"/>
  <c r="X70" i="15" s="1"/>
  <c r="N70" i="15"/>
  <c r="D70" i="15"/>
  <c r="L70" i="15" s="1"/>
  <c r="B70" i="15"/>
  <c r="Z69" i="15"/>
  <c r="X69" i="15"/>
  <c r="P69" i="15"/>
  <c r="N69" i="15"/>
  <c r="L69" i="15"/>
  <c r="D69" i="15"/>
  <c r="B69" i="15"/>
  <c r="Z68" i="15"/>
  <c r="P68" i="15"/>
  <c r="X68" i="15" s="1"/>
  <c r="N68" i="15"/>
  <c r="L68" i="15"/>
  <c r="D68" i="15"/>
  <c r="B68" i="15"/>
  <c r="Z67" i="15"/>
  <c r="P67" i="15"/>
  <c r="X67" i="15" s="1"/>
  <c r="N67" i="15"/>
  <c r="D67" i="15"/>
  <c r="L67" i="15" s="1"/>
  <c r="B67" i="15"/>
  <c r="Z66" i="15"/>
  <c r="X66" i="15"/>
  <c r="P66" i="15"/>
  <c r="N66" i="15"/>
  <c r="L66" i="15"/>
  <c r="D66" i="15"/>
  <c r="B66" i="15"/>
  <c r="Z65" i="15"/>
  <c r="X65" i="15"/>
  <c r="P65" i="15"/>
  <c r="N65" i="15"/>
  <c r="D65" i="15"/>
  <c r="L65" i="15" s="1"/>
  <c r="B65" i="15"/>
  <c r="Z64" i="15"/>
  <c r="P64" i="15"/>
  <c r="X64" i="15" s="1"/>
  <c r="N64" i="15"/>
  <c r="D64" i="15"/>
  <c r="L64" i="15" s="1"/>
  <c r="B64" i="15"/>
  <c r="Z63" i="15"/>
  <c r="P63" i="15"/>
  <c r="X63" i="15" s="1"/>
  <c r="N63" i="15"/>
  <c r="D63" i="15"/>
  <c r="L63" i="15" s="1"/>
  <c r="B63" i="15"/>
  <c r="Z62" i="15"/>
  <c r="X62" i="15"/>
  <c r="P62" i="15"/>
  <c r="N62" i="15"/>
  <c r="L62" i="15"/>
  <c r="D62" i="15"/>
  <c r="B62" i="15"/>
  <c r="Z61" i="15"/>
  <c r="P61" i="15"/>
  <c r="X61" i="15" s="1"/>
  <c r="N61" i="15"/>
  <c r="D61" i="15"/>
  <c r="L61" i="15" s="1"/>
  <c r="B61" i="15"/>
  <c r="Z60" i="15"/>
  <c r="X60" i="15"/>
  <c r="P60" i="15"/>
  <c r="N60" i="15"/>
  <c r="D60" i="15"/>
  <c r="L60" i="15" s="1"/>
  <c r="B60" i="15"/>
  <c r="Z59" i="15"/>
  <c r="X59" i="15"/>
  <c r="P59" i="15"/>
  <c r="N59" i="15"/>
  <c r="L59" i="15"/>
  <c r="D59" i="15"/>
  <c r="B59" i="15"/>
  <c r="Z58" i="15"/>
  <c r="P58" i="15"/>
  <c r="X58" i="15" s="1"/>
  <c r="N58" i="15"/>
  <c r="D58" i="15"/>
  <c r="L58" i="15" s="1"/>
  <c r="B58" i="15"/>
  <c r="Z57" i="15"/>
  <c r="X57" i="15"/>
  <c r="P57" i="15"/>
  <c r="N57" i="15"/>
  <c r="L57" i="15"/>
  <c r="D57" i="15"/>
  <c r="B57" i="15"/>
  <c r="Z56" i="15"/>
  <c r="P56" i="15"/>
  <c r="X56" i="15" s="1"/>
  <c r="N56" i="15"/>
  <c r="L56" i="15"/>
  <c r="D56" i="15"/>
  <c r="B56" i="15"/>
  <c r="Z55" i="15"/>
  <c r="P55" i="15"/>
  <c r="X55" i="15" s="1"/>
  <c r="N55" i="15"/>
  <c r="D55" i="15"/>
  <c r="L55" i="15" s="1"/>
  <c r="B55" i="15"/>
  <c r="Z54" i="15"/>
  <c r="X54" i="15"/>
  <c r="P54" i="15"/>
  <c r="N54" i="15"/>
  <c r="L54" i="15"/>
  <c r="D54" i="15"/>
  <c r="B54" i="15"/>
  <c r="Z53" i="15"/>
  <c r="P53" i="15"/>
  <c r="X53" i="15" s="1"/>
  <c r="N53" i="15"/>
  <c r="D53" i="15"/>
  <c r="L53" i="15" s="1"/>
  <c r="B53" i="15"/>
  <c r="Z52" i="15"/>
  <c r="P52" i="15"/>
  <c r="X52" i="15" s="1"/>
  <c r="N52" i="15"/>
  <c r="D52" i="15"/>
  <c r="L52" i="15" s="1"/>
  <c r="B52" i="15"/>
  <c r="Z51" i="15"/>
  <c r="P51" i="15"/>
  <c r="X51" i="15" s="1"/>
  <c r="N51" i="15"/>
  <c r="L51" i="15"/>
  <c r="D51" i="15"/>
  <c r="B51" i="15"/>
  <c r="Z50" i="15"/>
  <c r="X50" i="15"/>
  <c r="P50" i="15"/>
  <c r="N50" i="15"/>
  <c r="L50" i="15"/>
  <c r="D50" i="15"/>
  <c r="B50" i="15"/>
  <c r="Z49" i="15"/>
  <c r="P49" i="15"/>
  <c r="X49" i="15" s="1"/>
  <c r="N49" i="15"/>
  <c r="D49" i="15"/>
  <c r="L49" i="15" s="1"/>
  <c r="B49" i="15"/>
  <c r="Z48" i="15"/>
  <c r="X48" i="15"/>
  <c r="P48" i="15"/>
  <c r="N48" i="15"/>
  <c r="D48" i="15"/>
  <c r="L48" i="15" s="1"/>
  <c r="B48" i="15"/>
  <c r="Z47" i="15"/>
  <c r="X47" i="15"/>
  <c r="P47" i="15"/>
  <c r="N47" i="15"/>
  <c r="L47" i="15"/>
  <c r="D47" i="15"/>
  <c r="B47" i="15"/>
  <c r="Z46" i="15"/>
  <c r="P46" i="15"/>
  <c r="X46" i="15" s="1"/>
  <c r="N46" i="15"/>
  <c r="D46" i="15"/>
  <c r="L46" i="15" s="1"/>
  <c r="B46" i="15"/>
  <c r="Z45" i="15"/>
  <c r="X45" i="15"/>
  <c r="P45" i="15"/>
  <c r="N45" i="15"/>
  <c r="L45" i="15"/>
  <c r="D45" i="15"/>
  <c r="B45" i="15"/>
  <c r="P44" i="15"/>
  <c r="X44" i="15" s="1"/>
  <c r="Z44" i="15" s="1"/>
  <c r="N44" i="15"/>
  <c r="L44" i="15"/>
  <c r="D44" i="15"/>
  <c r="B44" i="15"/>
  <c r="Z43" i="15"/>
  <c r="P43" i="15"/>
  <c r="X43" i="15" s="1"/>
  <c r="N43" i="15"/>
  <c r="D43" i="15"/>
  <c r="L43" i="15" s="1"/>
  <c r="B43" i="15"/>
  <c r="Z42" i="15"/>
  <c r="X42" i="15"/>
  <c r="P42" i="15"/>
  <c r="N42" i="15"/>
  <c r="L42" i="15"/>
  <c r="D42" i="15"/>
  <c r="B42" i="15"/>
  <c r="Z41" i="15"/>
  <c r="P41" i="15"/>
  <c r="X41" i="15" s="1"/>
  <c r="N41" i="15"/>
  <c r="D41" i="15"/>
  <c r="L41" i="15" s="1"/>
  <c r="B41" i="15"/>
  <c r="Z40" i="15"/>
  <c r="P40" i="15"/>
  <c r="X40" i="15" s="1"/>
  <c r="N40" i="15"/>
  <c r="D40" i="15"/>
  <c r="L40" i="15" s="1"/>
  <c r="B40" i="15"/>
  <c r="Z39" i="15"/>
  <c r="P39" i="15"/>
  <c r="X39" i="15" s="1"/>
  <c r="N39" i="15"/>
  <c r="L39" i="15"/>
  <c r="D39" i="15"/>
  <c r="B39" i="15"/>
  <c r="Z38" i="15"/>
  <c r="X38" i="15"/>
  <c r="P38" i="15"/>
  <c r="N38" i="15"/>
  <c r="L38" i="15"/>
  <c r="D38" i="15"/>
  <c r="B38" i="15"/>
  <c r="Z37" i="15"/>
  <c r="P37" i="15"/>
  <c r="X37" i="15" s="1"/>
  <c r="N37" i="15"/>
  <c r="D37" i="15"/>
  <c r="L37" i="15" s="1"/>
  <c r="B37" i="15"/>
  <c r="Z36" i="15"/>
  <c r="P36" i="15"/>
  <c r="X36" i="15" s="1"/>
  <c r="N36" i="15"/>
  <c r="D36" i="15"/>
  <c r="L36" i="15" s="1"/>
  <c r="B36" i="15"/>
  <c r="Z35" i="15"/>
  <c r="X35" i="15"/>
  <c r="P35" i="15"/>
  <c r="N35" i="15"/>
  <c r="L35" i="15"/>
  <c r="D35" i="15"/>
  <c r="B35" i="15"/>
  <c r="Z34" i="15"/>
  <c r="X34" i="15"/>
  <c r="P34" i="15"/>
  <c r="N34" i="15"/>
  <c r="D34" i="15"/>
  <c r="L34" i="15" s="1"/>
  <c r="B34" i="15"/>
  <c r="Z33" i="15"/>
  <c r="X33" i="15"/>
  <c r="P33" i="15"/>
  <c r="N33" i="15"/>
  <c r="L33" i="15"/>
  <c r="D33" i="15"/>
  <c r="B33" i="15"/>
  <c r="Z32" i="15"/>
  <c r="P32" i="15"/>
  <c r="X32" i="15" s="1"/>
  <c r="N32" i="15"/>
  <c r="L32" i="15"/>
  <c r="D32" i="15"/>
  <c r="B32" i="15"/>
  <c r="Z31" i="15"/>
  <c r="P31" i="15"/>
  <c r="X31" i="15" s="1"/>
  <c r="N31" i="15"/>
  <c r="L31" i="15"/>
  <c r="D31" i="15"/>
  <c r="B31" i="15"/>
  <c r="Z30" i="15"/>
  <c r="X30" i="15"/>
  <c r="P30" i="15"/>
  <c r="N30" i="15"/>
  <c r="L30" i="15"/>
  <c r="D30" i="15"/>
  <c r="B30" i="15"/>
  <c r="Z29" i="15"/>
  <c r="X29" i="15"/>
  <c r="P29" i="15"/>
  <c r="N29" i="15"/>
  <c r="D29" i="15"/>
  <c r="L29" i="15" s="1"/>
  <c r="B29" i="15"/>
  <c r="Z28" i="15"/>
  <c r="P28" i="15"/>
  <c r="X28" i="15" s="1"/>
  <c r="N28" i="15"/>
  <c r="D28" i="15"/>
  <c r="L28" i="15" s="1"/>
  <c r="B28" i="15"/>
  <c r="Z27" i="15"/>
  <c r="P27" i="15"/>
  <c r="X27" i="15" s="1"/>
  <c r="N27" i="15"/>
  <c r="D27" i="15"/>
  <c r="L27" i="15" s="1"/>
  <c r="B27" i="15"/>
  <c r="Z26" i="15"/>
  <c r="X26" i="15"/>
  <c r="P26" i="15"/>
  <c r="N26" i="15"/>
  <c r="L26" i="15"/>
  <c r="D26" i="15"/>
  <c r="B26" i="15"/>
  <c r="Z25" i="15"/>
  <c r="P25" i="15"/>
  <c r="X25" i="15" s="1"/>
  <c r="N25" i="15"/>
  <c r="D25" i="15"/>
  <c r="L25" i="15" s="1"/>
  <c r="B25" i="15"/>
  <c r="Z24" i="15"/>
  <c r="P24" i="15"/>
  <c r="X24" i="15" s="1"/>
  <c r="N24" i="15"/>
  <c r="D24" i="15"/>
  <c r="L24" i="15" s="1"/>
  <c r="B24" i="15"/>
  <c r="Z23" i="15"/>
  <c r="X23" i="15"/>
  <c r="P23" i="15"/>
  <c r="N23" i="15"/>
  <c r="L23" i="15"/>
  <c r="D23" i="15"/>
  <c r="B23" i="15"/>
  <c r="Z22" i="15"/>
  <c r="X22" i="15"/>
  <c r="P22" i="15"/>
  <c r="N22" i="15"/>
  <c r="D22" i="15"/>
  <c r="L22" i="15" s="1"/>
  <c r="B22" i="15"/>
  <c r="Z21" i="15"/>
  <c r="X21" i="15"/>
  <c r="P21" i="15"/>
  <c r="N21" i="15"/>
  <c r="D21" i="15"/>
  <c r="L21" i="15" s="1"/>
  <c r="B21" i="15"/>
  <c r="Z20" i="15"/>
  <c r="P20" i="15"/>
  <c r="X20" i="15" s="1"/>
  <c r="N20" i="15"/>
  <c r="L20" i="15"/>
  <c r="D20" i="15"/>
  <c r="B20" i="15"/>
  <c r="Z19" i="15"/>
  <c r="P19" i="15"/>
  <c r="X19" i="15" s="1"/>
  <c r="N19" i="15"/>
  <c r="L19" i="15"/>
  <c r="D19" i="15"/>
  <c r="B19" i="15"/>
  <c r="Z18" i="15"/>
  <c r="X18" i="15"/>
  <c r="P18" i="15"/>
  <c r="N18" i="15"/>
  <c r="L18" i="15"/>
  <c r="D18" i="15"/>
  <c r="B18" i="15"/>
  <c r="Z17" i="15"/>
  <c r="P17" i="15"/>
  <c r="X17" i="15" s="1"/>
  <c r="N17" i="15"/>
  <c r="D17" i="15"/>
  <c r="L17" i="15" s="1"/>
  <c r="B17" i="15"/>
  <c r="Z16" i="15"/>
  <c r="P16" i="15"/>
  <c r="X16" i="15" s="1"/>
  <c r="N16" i="15"/>
  <c r="L16" i="15"/>
  <c r="D16" i="15"/>
  <c r="B16" i="15"/>
  <c r="Z15" i="15"/>
  <c r="P15" i="15"/>
  <c r="X15" i="15" s="1"/>
  <c r="N15" i="15"/>
  <c r="D15" i="15"/>
  <c r="L15" i="15" s="1"/>
  <c r="B15" i="15"/>
  <c r="Z14" i="15"/>
  <c r="P14" i="15"/>
  <c r="X14" i="15" s="1"/>
  <c r="N14" i="15"/>
  <c r="L14" i="15"/>
  <c r="D14" i="15"/>
  <c r="B14" i="15"/>
  <c r="P13" i="15"/>
  <c r="N13" i="15"/>
  <c r="D13" i="15"/>
  <c r="L13" i="15" s="1"/>
  <c r="B13" i="15"/>
  <c r="T12" i="15"/>
  <c r="V174" i="15" s="1"/>
  <c r="H12" i="15"/>
  <c r="D4" i="15"/>
  <c r="Z238" i="12"/>
  <c r="X238" i="12"/>
  <c r="L238" i="12"/>
  <c r="N238" i="12" s="1"/>
  <c r="Z234" i="12"/>
  <c r="X234" i="12"/>
  <c r="P234" i="12"/>
  <c r="N234" i="12"/>
  <c r="L234" i="12"/>
  <c r="D234" i="12"/>
  <c r="B234" i="12"/>
  <c r="X233" i="12"/>
  <c r="Z233" i="12" s="1"/>
  <c r="V233" i="12"/>
  <c r="P233" i="12"/>
  <c r="L233" i="12"/>
  <c r="N233" i="12" s="1"/>
  <c r="D233" i="12"/>
  <c r="B233" i="12"/>
  <c r="X232" i="12"/>
  <c r="Z232" i="12" s="1"/>
  <c r="V232" i="12"/>
  <c r="P232" i="12"/>
  <c r="D232" i="12"/>
  <c r="L232" i="12" s="1"/>
  <c r="N232" i="12" s="1"/>
  <c r="B232" i="12"/>
  <c r="Z231" i="12"/>
  <c r="P231" i="12"/>
  <c r="X231" i="12" s="1"/>
  <c r="N231" i="12"/>
  <c r="L231" i="12"/>
  <c r="D231" i="12"/>
  <c r="B231" i="12"/>
  <c r="Z230" i="12"/>
  <c r="P230" i="12"/>
  <c r="X230" i="12" s="1"/>
  <c r="N230" i="12"/>
  <c r="L230" i="12"/>
  <c r="D230" i="12"/>
  <c r="B230" i="12"/>
  <c r="T229" i="12"/>
  <c r="P229" i="12"/>
  <c r="X229" i="12" s="1"/>
  <c r="N229" i="12"/>
  <c r="L229" i="12"/>
  <c r="H229" i="12"/>
  <c r="D229" i="12"/>
  <c r="Z227" i="12"/>
  <c r="X227" i="12"/>
  <c r="L227" i="12"/>
  <c r="N227" i="12" s="1"/>
  <c r="B227" i="12"/>
  <c r="T226" i="12"/>
  <c r="Z226" i="12" s="1"/>
  <c r="P226" i="12"/>
  <c r="X226" i="12" s="1"/>
  <c r="H226" i="12"/>
  <c r="D226" i="12"/>
  <c r="B226" i="12"/>
  <c r="X225" i="12"/>
  <c r="Z225" i="12" s="1"/>
  <c r="L225" i="12"/>
  <c r="N225" i="12" s="1"/>
  <c r="B225" i="12"/>
  <c r="X224" i="12"/>
  <c r="Z224" i="12" s="1"/>
  <c r="L224" i="12"/>
  <c r="N224" i="12" s="1"/>
  <c r="B224" i="12"/>
  <c r="Z223" i="12"/>
  <c r="X223" i="12"/>
  <c r="V223" i="12"/>
  <c r="N223" i="12"/>
  <c r="L223" i="12"/>
  <c r="B223" i="12"/>
  <c r="T222" i="12"/>
  <c r="P222" i="12"/>
  <c r="X222" i="12" s="1"/>
  <c r="L222" i="12"/>
  <c r="H222" i="12"/>
  <c r="N222" i="12" s="1"/>
  <c r="D222" i="12"/>
  <c r="B222" i="12"/>
  <c r="X221" i="12"/>
  <c r="Z221" i="12" s="1"/>
  <c r="N221" i="12"/>
  <c r="L221" i="12"/>
  <c r="B221" i="12"/>
  <c r="T220" i="12"/>
  <c r="P220" i="12"/>
  <c r="X220" i="12" s="1"/>
  <c r="N220" i="12"/>
  <c r="L220" i="12"/>
  <c r="H220" i="12"/>
  <c r="D220" i="12"/>
  <c r="B220" i="12"/>
  <c r="Z219" i="12"/>
  <c r="X219" i="12"/>
  <c r="L219" i="12"/>
  <c r="N219" i="12" s="1"/>
  <c r="J219" i="12"/>
  <c r="B219" i="12"/>
  <c r="X218" i="12"/>
  <c r="Z218" i="12" s="1"/>
  <c r="N218" i="12"/>
  <c r="L218" i="12"/>
  <c r="B218" i="12"/>
  <c r="T217" i="12"/>
  <c r="P217" i="12"/>
  <c r="X217" i="12" s="1"/>
  <c r="Z217" i="12" s="1"/>
  <c r="H217" i="12"/>
  <c r="D217" i="12"/>
  <c r="L217" i="12" s="1"/>
  <c r="N217" i="12" s="1"/>
  <c r="B217" i="12"/>
  <c r="X216" i="12"/>
  <c r="Z216" i="12" s="1"/>
  <c r="L216" i="12"/>
  <c r="N216" i="12" s="1"/>
  <c r="B216" i="12"/>
  <c r="X215" i="12"/>
  <c r="Z215" i="12" s="1"/>
  <c r="V215" i="12"/>
  <c r="N215" i="12"/>
  <c r="L215" i="12"/>
  <c r="B215" i="12"/>
  <c r="Z214" i="12"/>
  <c r="X214" i="12"/>
  <c r="N214" i="12"/>
  <c r="L214" i="12"/>
  <c r="B214" i="12"/>
  <c r="Z213" i="12"/>
  <c r="X213" i="12"/>
  <c r="L213" i="12"/>
  <c r="N213" i="12" s="1"/>
  <c r="B213" i="12"/>
  <c r="X212" i="12"/>
  <c r="Z212" i="12" s="1"/>
  <c r="L212" i="12"/>
  <c r="N212" i="12" s="1"/>
  <c r="B212" i="12"/>
  <c r="X211" i="12"/>
  <c r="Z211" i="12" s="1"/>
  <c r="V211" i="12"/>
  <c r="N211" i="12"/>
  <c r="L211" i="12"/>
  <c r="B211" i="12"/>
  <c r="X210" i="12"/>
  <c r="Z210" i="12" s="1"/>
  <c r="L210" i="12"/>
  <c r="N210" i="12" s="1"/>
  <c r="B210" i="12"/>
  <c r="X209" i="12"/>
  <c r="Z209" i="12" s="1"/>
  <c r="L209" i="12"/>
  <c r="N209" i="12" s="1"/>
  <c r="B209" i="12"/>
  <c r="X208" i="12"/>
  <c r="T208" i="12"/>
  <c r="Z208" i="12" s="1"/>
  <c r="P208" i="12"/>
  <c r="H208" i="12"/>
  <c r="D208" i="12"/>
  <c r="L208" i="12" s="1"/>
  <c r="B208" i="12"/>
  <c r="Z207" i="12"/>
  <c r="X207" i="12"/>
  <c r="N207" i="12"/>
  <c r="L207" i="12"/>
  <c r="B207" i="12"/>
  <c r="Z206" i="12"/>
  <c r="X206" i="12"/>
  <c r="N206" i="12"/>
  <c r="L206" i="12"/>
  <c r="B206" i="12"/>
  <c r="T205" i="12"/>
  <c r="P205" i="12"/>
  <c r="H205" i="12"/>
  <c r="D205" i="12"/>
  <c r="L205" i="12" s="1"/>
  <c r="N205" i="12" s="1"/>
  <c r="B205" i="12"/>
  <c r="X204" i="12"/>
  <c r="Z204" i="12" s="1"/>
  <c r="V204" i="12"/>
  <c r="L204" i="12"/>
  <c r="N204" i="12" s="1"/>
  <c r="B204" i="12"/>
  <c r="X203" i="12"/>
  <c r="Z203" i="12" s="1"/>
  <c r="L203" i="12"/>
  <c r="N203" i="12" s="1"/>
  <c r="B203" i="12"/>
  <c r="X202" i="12"/>
  <c r="Z202" i="12" s="1"/>
  <c r="L202" i="12"/>
  <c r="N202" i="12" s="1"/>
  <c r="B202" i="12"/>
  <c r="Z201" i="12"/>
  <c r="X201" i="12"/>
  <c r="L201" i="12"/>
  <c r="N201" i="12" s="1"/>
  <c r="B201" i="12"/>
  <c r="X200" i="12"/>
  <c r="Z200" i="12" s="1"/>
  <c r="V200" i="12"/>
  <c r="L200" i="12"/>
  <c r="N200" i="12" s="1"/>
  <c r="B200" i="12"/>
  <c r="Z199" i="12"/>
  <c r="X199" i="12"/>
  <c r="N199" i="12"/>
  <c r="L199" i="12"/>
  <c r="J199" i="12"/>
  <c r="B199" i="12"/>
  <c r="T198" i="12"/>
  <c r="Z198" i="12" s="1"/>
  <c r="P198" i="12"/>
  <c r="X198" i="12" s="1"/>
  <c r="H198" i="12"/>
  <c r="D198" i="12"/>
  <c r="B198" i="12"/>
  <c r="X197" i="12"/>
  <c r="Z197" i="12" s="1"/>
  <c r="N197" i="12"/>
  <c r="L197" i="12"/>
  <c r="B197" i="12"/>
  <c r="X196" i="12"/>
  <c r="Z196" i="12" s="1"/>
  <c r="L196" i="12"/>
  <c r="N196" i="12" s="1"/>
  <c r="B196" i="12"/>
  <c r="X195" i="12"/>
  <c r="Z195" i="12" s="1"/>
  <c r="V195" i="12"/>
  <c r="N195" i="12"/>
  <c r="L195" i="12"/>
  <c r="B195" i="12"/>
  <c r="X194" i="12"/>
  <c r="Z194" i="12" s="1"/>
  <c r="L194" i="12"/>
  <c r="N194" i="12" s="1"/>
  <c r="B194" i="12"/>
  <c r="T193" i="12"/>
  <c r="P193" i="12"/>
  <c r="X193" i="12" s="1"/>
  <c r="L193" i="12"/>
  <c r="H193" i="12"/>
  <c r="N193" i="12" s="1"/>
  <c r="D193" i="12"/>
  <c r="B193" i="12"/>
  <c r="X192" i="12"/>
  <c r="Z192" i="12" s="1"/>
  <c r="N192" i="12"/>
  <c r="L192" i="12"/>
  <c r="B192" i="12"/>
  <c r="Z191" i="12"/>
  <c r="X191" i="12"/>
  <c r="N191" i="12"/>
  <c r="L191" i="12"/>
  <c r="B191" i="12"/>
  <c r="X190" i="12"/>
  <c r="Z190" i="12" s="1"/>
  <c r="L190" i="12"/>
  <c r="N190" i="12" s="1"/>
  <c r="B190" i="12"/>
  <c r="T189" i="12"/>
  <c r="P189" i="12"/>
  <c r="N189" i="12"/>
  <c r="L189" i="12"/>
  <c r="H189" i="12"/>
  <c r="D189" i="12"/>
  <c r="B189" i="12"/>
  <c r="X188" i="12"/>
  <c r="Z188" i="12" s="1"/>
  <c r="V188" i="12"/>
  <c r="L188" i="12"/>
  <c r="N188" i="12" s="1"/>
  <c r="B188" i="12"/>
  <c r="T187" i="12"/>
  <c r="Z187" i="12" s="1"/>
  <c r="P187" i="12"/>
  <c r="X187" i="12" s="1"/>
  <c r="N187" i="12"/>
  <c r="H187" i="12"/>
  <c r="D187" i="12"/>
  <c r="L187" i="12" s="1"/>
  <c r="B187" i="12"/>
  <c r="Z186" i="12"/>
  <c r="X186" i="12"/>
  <c r="N186" i="12"/>
  <c r="L186" i="12"/>
  <c r="B186" i="12"/>
  <c r="Z185" i="12"/>
  <c r="X185" i="12"/>
  <c r="T185" i="12"/>
  <c r="P185" i="12"/>
  <c r="L185" i="12"/>
  <c r="H185" i="12"/>
  <c r="N185" i="12" s="1"/>
  <c r="D185" i="12"/>
  <c r="B185" i="12"/>
  <c r="Z184" i="12"/>
  <c r="X184" i="12"/>
  <c r="N184" i="12"/>
  <c r="L184" i="12"/>
  <c r="J184" i="12"/>
  <c r="B184" i="12"/>
  <c r="Z183" i="12"/>
  <c r="X183" i="12"/>
  <c r="T183" i="12"/>
  <c r="P183" i="12"/>
  <c r="H183" i="12"/>
  <c r="D183" i="12"/>
  <c r="L183" i="12" s="1"/>
  <c r="B183" i="12"/>
  <c r="Z182" i="12"/>
  <c r="X182" i="12"/>
  <c r="N182" i="12"/>
  <c r="L182" i="12"/>
  <c r="B182" i="12"/>
  <c r="T181" i="12"/>
  <c r="X181" i="12" s="1"/>
  <c r="Z181" i="12" s="1"/>
  <c r="P181" i="12"/>
  <c r="H181" i="12"/>
  <c r="D181" i="12"/>
  <c r="L181" i="12" s="1"/>
  <c r="B181" i="12"/>
  <c r="X180" i="12"/>
  <c r="Z180" i="12" s="1"/>
  <c r="N180" i="12"/>
  <c r="L180" i="12"/>
  <c r="B180" i="12"/>
  <c r="X179" i="12"/>
  <c r="V179" i="12"/>
  <c r="T179" i="12"/>
  <c r="P179" i="12"/>
  <c r="L179" i="12"/>
  <c r="H179" i="12"/>
  <c r="N179" i="12" s="1"/>
  <c r="D179" i="12"/>
  <c r="B179" i="12"/>
  <c r="X178" i="12"/>
  <c r="Z178" i="12" s="1"/>
  <c r="N178" i="12"/>
  <c r="L178" i="12"/>
  <c r="B178" i="12"/>
  <c r="T177" i="12"/>
  <c r="P177" i="12"/>
  <c r="H177" i="12"/>
  <c r="D177" i="12"/>
  <c r="L177" i="12" s="1"/>
  <c r="N177" i="12" s="1"/>
  <c r="B177" i="12"/>
  <c r="Z176" i="12"/>
  <c r="X176" i="12"/>
  <c r="V176" i="12"/>
  <c r="L176" i="12"/>
  <c r="N176" i="12" s="1"/>
  <c r="B176" i="12"/>
  <c r="T175" i="12"/>
  <c r="Z175" i="12" s="1"/>
  <c r="P175" i="12"/>
  <c r="X175" i="12" s="1"/>
  <c r="H175" i="12"/>
  <c r="D175" i="12"/>
  <c r="L175" i="12" s="1"/>
  <c r="N175" i="12" s="1"/>
  <c r="B175" i="12"/>
  <c r="Z174" i="12"/>
  <c r="X174" i="12"/>
  <c r="L174" i="12"/>
  <c r="N174" i="12" s="1"/>
  <c r="B174" i="12"/>
  <c r="X173" i="12"/>
  <c r="Z173" i="12" s="1"/>
  <c r="N173" i="12"/>
  <c r="L173" i="12"/>
  <c r="B173" i="12"/>
  <c r="X172" i="12"/>
  <c r="Z172" i="12" s="1"/>
  <c r="T172" i="12"/>
  <c r="P172" i="12"/>
  <c r="H172" i="12"/>
  <c r="D172" i="12"/>
  <c r="L172" i="12" s="1"/>
  <c r="B172" i="12"/>
  <c r="Z171" i="12"/>
  <c r="X171" i="12"/>
  <c r="L171" i="12"/>
  <c r="N171" i="12" s="1"/>
  <c r="B171" i="12"/>
  <c r="X170" i="12"/>
  <c r="Z170" i="12" s="1"/>
  <c r="T170" i="12"/>
  <c r="P170" i="12"/>
  <c r="H170" i="12"/>
  <c r="D170" i="12"/>
  <c r="L170" i="12" s="1"/>
  <c r="N170" i="12" s="1"/>
  <c r="B170" i="12"/>
  <c r="Z169" i="12"/>
  <c r="X169" i="12"/>
  <c r="L169" i="12"/>
  <c r="N169" i="12" s="1"/>
  <c r="B169" i="12"/>
  <c r="V168" i="12"/>
  <c r="T168" i="12"/>
  <c r="P168" i="12"/>
  <c r="X168" i="12" s="1"/>
  <c r="H168" i="12"/>
  <c r="D168" i="12"/>
  <c r="L168" i="12" s="1"/>
  <c r="B168" i="12"/>
  <c r="Z167" i="12"/>
  <c r="X167" i="12"/>
  <c r="V167" i="12"/>
  <c r="N167" i="12"/>
  <c r="L167" i="12"/>
  <c r="B167" i="12"/>
  <c r="X166" i="12"/>
  <c r="Z166" i="12" s="1"/>
  <c r="L166" i="12"/>
  <c r="N166" i="12" s="1"/>
  <c r="B166" i="12"/>
  <c r="T165" i="12"/>
  <c r="Z165" i="12" s="1"/>
  <c r="P165" i="12"/>
  <c r="X165" i="12" s="1"/>
  <c r="L165" i="12"/>
  <c r="N165" i="12" s="1"/>
  <c r="J165" i="12"/>
  <c r="H165" i="12"/>
  <c r="D165" i="12"/>
  <c r="B165" i="12"/>
  <c r="Z164" i="12"/>
  <c r="X164" i="12"/>
  <c r="N164" i="12"/>
  <c r="L164" i="12"/>
  <c r="B164" i="12"/>
  <c r="Z163" i="12"/>
  <c r="X163" i="12"/>
  <c r="L163" i="12"/>
  <c r="N163" i="12" s="1"/>
  <c r="B163" i="12"/>
  <c r="Z162" i="12"/>
  <c r="X162" i="12"/>
  <c r="T162" i="12"/>
  <c r="P162" i="12"/>
  <c r="H162" i="12"/>
  <c r="D162" i="12"/>
  <c r="L162" i="12" s="1"/>
  <c r="B162" i="12"/>
  <c r="Z161" i="12"/>
  <c r="X161" i="12"/>
  <c r="N161" i="12"/>
  <c r="L161" i="12"/>
  <c r="B161" i="12"/>
  <c r="X160" i="12"/>
  <c r="Z160" i="12" s="1"/>
  <c r="V160" i="12"/>
  <c r="L160" i="12"/>
  <c r="N160" i="12" s="1"/>
  <c r="B160" i="12"/>
  <c r="Z159" i="12"/>
  <c r="X159" i="12"/>
  <c r="L159" i="12"/>
  <c r="N159" i="12" s="1"/>
  <c r="B159" i="12"/>
  <c r="T158" i="12"/>
  <c r="P158" i="12"/>
  <c r="X158" i="12" s="1"/>
  <c r="H158" i="12"/>
  <c r="D158" i="12"/>
  <c r="B158" i="12"/>
  <c r="X157" i="12"/>
  <c r="Z157" i="12" s="1"/>
  <c r="N157" i="12"/>
  <c r="L157" i="12"/>
  <c r="B157" i="12"/>
  <c r="X156" i="12"/>
  <c r="T156" i="12"/>
  <c r="Z156" i="12" s="1"/>
  <c r="P156" i="12"/>
  <c r="H156" i="12"/>
  <c r="D156" i="12"/>
  <c r="L156" i="12" s="1"/>
  <c r="B156" i="12"/>
  <c r="Z155" i="12"/>
  <c r="X155" i="12"/>
  <c r="L155" i="12"/>
  <c r="N155" i="12" s="1"/>
  <c r="B155" i="12"/>
  <c r="X154" i="12"/>
  <c r="Z154" i="12" s="1"/>
  <c r="L154" i="12"/>
  <c r="N154" i="12" s="1"/>
  <c r="B154" i="12"/>
  <c r="T153" i="12"/>
  <c r="Z153" i="12" s="1"/>
  <c r="P153" i="12"/>
  <c r="X153" i="12" s="1"/>
  <c r="H153" i="12"/>
  <c r="D153" i="12"/>
  <c r="L153" i="12" s="1"/>
  <c r="N153" i="12" s="1"/>
  <c r="B153" i="12"/>
  <c r="X152" i="12"/>
  <c r="Z152" i="12" s="1"/>
  <c r="V152" i="12"/>
  <c r="L152" i="12"/>
  <c r="N152" i="12" s="1"/>
  <c r="B152" i="12"/>
  <c r="T151" i="12"/>
  <c r="Z151" i="12" s="1"/>
  <c r="P151" i="12"/>
  <c r="X151" i="12" s="1"/>
  <c r="N151" i="12"/>
  <c r="H151" i="12"/>
  <c r="D151" i="12"/>
  <c r="L151" i="12" s="1"/>
  <c r="B151" i="12"/>
  <c r="Z150" i="12"/>
  <c r="X150" i="12"/>
  <c r="N150" i="12"/>
  <c r="L150" i="12"/>
  <c r="B150" i="12"/>
  <c r="Z149" i="12"/>
  <c r="X149" i="12"/>
  <c r="N149" i="12"/>
  <c r="L149" i="12"/>
  <c r="B149" i="12"/>
  <c r="X148" i="12"/>
  <c r="Z148" i="12" s="1"/>
  <c r="N148" i="12"/>
  <c r="L148" i="12"/>
  <c r="B148" i="12"/>
  <c r="X147" i="12"/>
  <c r="Z147" i="12" s="1"/>
  <c r="V147" i="12"/>
  <c r="N147" i="12"/>
  <c r="L147" i="12"/>
  <c r="B147" i="12"/>
  <c r="Z146" i="12"/>
  <c r="X146" i="12"/>
  <c r="N146" i="12"/>
  <c r="L146" i="12"/>
  <c r="B146" i="12"/>
  <c r="X145" i="12"/>
  <c r="Z145" i="12" s="1"/>
  <c r="N145" i="12"/>
  <c r="L145" i="12"/>
  <c r="B145" i="12"/>
  <c r="X144" i="12"/>
  <c r="Z144" i="12" s="1"/>
  <c r="N144" i="12"/>
  <c r="L144" i="12"/>
  <c r="B144" i="12"/>
  <c r="Z143" i="12"/>
  <c r="X143" i="12"/>
  <c r="V143" i="12"/>
  <c r="N143" i="12"/>
  <c r="L143" i="12"/>
  <c r="B143" i="12"/>
  <c r="X142" i="12"/>
  <c r="Z142" i="12" s="1"/>
  <c r="L142" i="12"/>
  <c r="N142" i="12" s="1"/>
  <c r="B142" i="12"/>
  <c r="X141" i="12"/>
  <c r="Z141" i="12" s="1"/>
  <c r="N141" i="12"/>
  <c r="L141" i="12"/>
  <c r="B141" i="12"/>
  <c r="X140" i="12"/>
  <c r="T140" i="12"/>
  <c r="Z140" i="12" s="1"/>
  <c r="P140" i="12"/>
  <c r="H140" i="12"/>
  <c r="D140" i="12"/>
  <c r="L140" i="12" s="1"/>
  <c r="B140" i="12"/>
  <c r="Z139" i="12"/>
  <c r="X139" i="12"/>
  <c r="L139" i="12"/>
  <c r="N139" i="12" s="1"/>
  <c r="B139" i="12"/>
  <c r="Z138" i="12"/>
  <c r="X138" i="12"/>
  <c r="N138" i="12"/>
  <c r="L138" i="12"/>
  <c r="B138" i="12"/>
  <c r="Z137" i="12"/>
  <c r="X137" i="12"/>
  <c r="N137" i="12"/>
  <c r="L137" i="12"/>
  <c r="B137" i="12"/>
  <c r="Z136" i="12"/>
  <c r="X136" i="12"/>
  <c r="N136" i="12"/>
  <c r="L136" i="12"/>
  <c r="B136" i="12"/>
  <c r="Z135" i="12"/>
  <c r="X135" i="12"/>
  <c r="N135" i="12"/>
  <c r="L135" i="12"/>
  <c r="B135" i="12"/>
  <c r="X134" i="12"/>
  <c r="Z134" i="12" s="1"/>
  <c r="L134" i="12"/>
  <c r="N134" i="12" s="1"/>
  <c r="B134" i="12"/>
  <c r="X133" i="12"/>
  <c r="Z133" i="12" s="1"/>
  <c r="N133" i="12"/>
  <c r="L133" i="12"/>
  <c r="B133" i="12"/>
  <c r="Z132" i="12"/>
  <c r="X132" i="12"/>
  <c r="L132" i="12"/>
  <c r="N132" i="12" s="1"/>
  <c r="B132" i="12"/>
  <c r="Z131" i="12"/>
  <c r="X131" i="12"/>
  <c r="L131" i="12"/>
  <c r="N131" i="12" s="1"/>
  <c r="B131" i="12"/>
  <c r="Z130" i="12"/>
  <c r="X130" i="12"/>
  <c r="L130" i="12"/>
  <c r="N130" i="12" s="1"/>
  <c r="B130" i="12"/>
  <c r="T129" i="12"/>
  <c r="P129" i="12"/>
  <c r="H129" i="12"/>
  <c r="D129" i="12"/>
  <c r="L129" i="12" s="1"/>
  <c r="N129" i="12" s="1"/>
  <c r="B129" i="12"/>
  <c r="V128" i="12"/>
  <c r="T128" i="12"/>
  <c r="P128" i="12"/>
  <c r="X128" i="12" s="1"/>
  <c r="H128" i="12"/>
  <c r="D128" i="12"/>
  <c r="L128" i="12" s="1"/>
  <c r="T126" i="12"/>
  <c r="Z124" i="12"/>
  <c r="X124" i="12"/>
  <c r="V124" i="12"/>
  <c r="N124" i="12"/>
  <c r="L124" i="12"/>
  <c r="B124" i="12"/>
  <c r="Z123" i="12"/>
  <c r="X123" i="12"/>
  <c r="N123" i="12"/>
  <c r="L123" i="12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V120" i="12"/>
  <c r="N120" i="12"/>
  <c r="L120" i="12"/>
  <c r="B120" i="12"/>
  <c r="Z119" i="12"/>
  <c r="X119" i="12"/>
  <c r="N119" i="12"/>
  <c r="L119" i="12"/>
  <c r="B119" i="12"/>
  <c r="Z118" i="12"/>
  <c r="X118" i="12"/>
  <c r="N118" i="12"/>
  <c r="L118" i="12"/>
  <c r="B118" i="12"/>
  <c r="Z117" i="12"/>
  <c r="X117" i="12"/>
  <c r="N117" i="12"/>
  <c r="L117" i="12"/>
  <c r="B117" i="12"/>
  <c r="Z116" i="12"/>
  <c r="X116" i="12"/>
  <c r="V116" i="12"/>
  <c r="N116" i="12"/>
  <c r="L116" i="12"/>
  <c r="B116" i="12"/>
  <c r="Z115" i="12"/>
  <c r="X115" i="12"/>
  <c r="N115" i="12"/>
  <c r="L115" i="12"/>
  <c r="B115" i="12"/>
  <c r="Z114" i="12"/>
  <c r="X114" i="12"/>
  <c r="N114" i="12"/>
  <c r="L114" i="12"/>
  <c r="B114" i="12"/>
  <c r="Z113" i="12"/>
  <c r="X113" i="12"/>
  <c r="N113" i="12"/>
  <c r="L113" i="12"/>
  <c r="B113" i="12"/>
  <c r="Z112" i="12"/>
  <c r="X112" i="12"/>
  <c r="V112" i="12"/>
  <c r="N112" i="12"/>
  <c r="L112" i="12"/>
  <c r="B112" i="12"/>
  <c r="Z111" i="12"/>
  <c r="X111" i="12"/>
  <c r="N111" i="12"/>
  <c r="L111" i="12"/>
  <c r="B111" i="12"/>
  <c r="Z110" i="12"/>
  <c r="X110" i="12"/>
  <c r="N110" i="12"/>
  <c r="L110" i="12"/>
  <c r="B110" i="12"/>
  <c r="Z109" i="12"/>
  <c r="X109" i="12"/>
  <c r="N109" i="12"/>
  <c r="L109" i="12"/>
  <c r="B109" i="12"/>
  <c r="Z108" i="12"/>
  <c r="X108" i="12"/>
  <c r="V108" i="12"/>
  <c r="N108" i="12"/>
  <c r="L108" i="12"/>
  <c r="B108" i="12"/>
  <c r="Z107" i="12"/>
  <c r="X107" i="12"/>
  <c r="N107" i="12"/>
  <c r="L107" i="12"/>
  <c r="J107" i="12"/>
  <c r="B107" i="12"/>
  <c r="Z106" i="12"/>
  <c r="X106" i="12"/>
  <c r="N106" i="12"/>
  <c r="L106" i="12"/>
  <c r="B106" i="12"/>
  <c r="Z105" i="12"/>
  <c r="X105" i="12"/>
  <c r="N105" i="12"/>
  <c r="L105" i="12"/>
  <c r="B105" i="12"/>
  <c r="Z104" i="12"/>
  <c r="X104" i="12"/>
  <c r="V104" i="12"/>
  <c r="N104" i="12"/>
  <c r="L104" i="12"/>
  <c r="B104" i="12"/>
  <c r="Z103" i="12"/>
  <c r="X103" i="12"/>
  <c r="N103" i="12"/>
  <c r="L103" i="12"/>
  <c r="J103" i="12"/>
  <c r="B103" i="12"/>
  <c r="Z102" i="12"/>
  <c r="X102" i="12"/>
  <c r="N102" i="12"/>
  <c r="L102" i="12"/>
  <c r="B102" i="12"/>
  <c r="Z101" i="12"/>
  <c r="X101" i="12"/>
  <c r="N101" i="12"/>
  <c r="L101" i="12"/>
  <c r="B101" i="12"/>
  <c r="Z100" i="12"/>
  <c r="X100" i="12"/>
  <c r="V100" i="12"/>
  <c r="N100" i="12"/>
  <c r="L100" i="12"/>
  <c r="B100" i="12"/>
  <c r="Z99" i="12"/>
  <c r="X99" i="12"/>
  <c r="N99" i="12"/>
  <c r="L99" i="12"/>
  <c r="J99" i="12"/>
  <c r="B99" i="12"/>
  <c r="Z98" i="12"/>
  <c r="X98" i="12"/>
  <c r="N98" i="12"/>
  <c r="L98" i="12"/>
  <c r="B98" i="12"/>
  <c r="Z97" i="12"/>
  <c r="X97" i="12"/>
  <c r="N97" i="12"/>
  <c r="L97" i="12"/>
  <c r="B97" i="12"/>
  <c r="Z96" i="12"/>
  <c r="X96" i="12"/>
  <c r="V96" i="12"/>
  <c r="N96" i="12"/>
  <c r="L96" i="12"/>
  <c r="B96" i="12"/>
  <c r="Z95" i="12"/>
  <c r="X95" i="12"/>
  <c r="N95" i="12"/>
  <c r="L95" i="12"/>
  <c r="B95" i="12"/>
  <c r="Z94" i="12"/>
  <c r="X94" i="12"/>
  <c r="N94" i="12"/>
  <c r="L94" i="12"/>
  <c r="B94" i="12"/>
  <c r="Z93" i="12"/>
  <c r="X93" i="12"/>
  <c r="N93" i="12"/>
  <c r="L93" i="12"/>
  <c r="B93" i="12"/>
  <c r="Z92" i="12"/>
  <c r="X92" i="12"/>
  <c r="V92" i="12"/>
  <c r="N92" i="12"/>
  <c r="L92" i="12"/>
  <c r="B92" i="12"/>
  <c r="Z91" i="12"/>
  <c r="X91" i="12"/>
  <c r="N91" i="12"/>
  <c r="L91" i="12"/>
  <c r="B91" i="12"/>
  <c r="Z90" i="12"/>
  <c r="X90" i="12"/>
  <c r="N90" i="12"/>
  <c r="L90" i="12"/>
  <c r="B90" i="12"/>
  <c r="Z89" i="12"/>
  <c r="X89" i="12"/>
  <c r="N89" i="12"/>
  <c r="L89" i="12"/>
  <c r="B89" i="12"/>
  <c r="Z88" i="12"/>
  <c r="X88" i="12"/>
  <c r="V88" i="12"/>
  <c r="N88" i="12"/>
  <c r="L88" i="12"/>
  <c r="B88" i="12"/>
  <c r="Z87" i="12"/>
  <c r="X87" i="12"/>
  <c r="N87" i="12"/>
  <c r="L87" i="12"/>
  <c r="B87" i="12"/>
  <c r="X86" i="12"/>
  <c r="Z86" i="12" s="1"/>
  <c r="L86" i="12"/>
  <c r="N86" i="12" s="1"/>
  <c r="B86" i="12"/>
  <c r="Z85" i="12"/>
  <c r="T85" i="12"/>
  <c r="P85" i="12"/>
  <c r="X85" i="12" s="1"/>
  <c r="H85" i="12"/>
  <c r="D85" i="12"/>
  <c r="L85" i="12" s="1"/>
  <c r="Z83" i="12"/>
  <c r="P83" i="12"/>
  <c r="X83" i="12" s="1"/>
  <c r="N83" i="12"/>
  <c r="D83" i="12"/>
  <c r="L83" i="12" s="1"/>
  <c r="B83" i="12"/>
  <c r="Z82" i="12"/>
  <c r="X82" i="12"/>
  <c r="P82" i="12"/>
  <c r="N82" i="12"/>
  <c r="L82" i="12"/>
  <c r="D82" i="12"/>
  <c r="B82" i="12"/>
  <c r="Z81" i="12"/>
  <c r="X81" i="12"/>
  <c r="P81" i="12"/>
  <c r="N81" i="12"/>
  <c r="L81" i="12"/>
  <c r="D81" i="12"/>
  <c r="B81" i="12"/>
  <c r="Z80" i="12"/>
  <c r="P80" i="12"/>
  <c r="X80" i="12" s="1"/>
  <c r="N80" i="12"/>
  <c r="D80" i="12"/>
  <c r="L80" i="12" s="1"/>
  <c r="B80" i="12"/>
  <c r="Z79" i="12"/>
  <c r="X79" i="12"/>
  <c r="P79" i="12"/>
  <c r="N79" i="12"/>
  <c r="L79" i="12"/>
  <c r="D79" i="12"/>
  <c r="B79" i="12"/>
  <c r="Z78" i="12"/>
  <c r="X78" i="12"/>
  <c r="P78" i="12"/>
  <c r="N78" i="12"/>
  <c r="L78" i="12"/>
  <c r="D78" i="12"/>
  <c r="B78" i="12"/>
  <c r="Z77" i="12"/>
  <c r="P77" i="12"/>
  <c r="X77" i="12" s="1"/>
  <c r="N77" i="12"/>
  <c r="D77" i="12"/>
  <c r="L77" i="12" s="1"/>
  <c r="B77" i="12"/>
  <c r="Z76" i="12"/>
  <c r="X76" i="12"/>
  <c r="P76" i="12"/>
  <c r="N76" i="12"/>
  <c r="L76" i="12"/>
  <c r="D76" i="12"/>
  <c r="B76" i="12"/>
  <c r="Z75" i="12"/>
  <c r="X75" i="12"/>
  <c r="P75" i="12"/>
  <c r="N75" i="12"/>
  <c r="L75" i="12"/>
  <c r="D75" i="12"/>
  <c r="B75" i="12"/>
  <c r="Z74" i="12"/>
  <c r="P74" i="12"/>
  <c r="X74" i="12" s="1"/>
  <c r="N74" i="12"/>
  <c r="D74" i="12"/>
  <c r="L74" i="12" s="1"/>
  <c r="B74" i="12"/>
  <c r="Z73" i="12"/>
  <c r="X73" i="12"/>
  <c r="P73" i="12"/>
  <c r="N73" i="12"/>
  <c r="L73" i="12"/>
  <c r="D73" i="12"/>
  <c r="B73" i="12"/>
  <c r="Z72" i="12"/>
  <c r="P72" i="12"/>
  <c r="X72" i="12" s="1"/>
  <c r="N72" i="12"/>
  <c r="L72" i="12"/>
  <c r="D72" i="12"/>
  <c r="B72" i="12"/>
  <c r="Z71" i="12"/>
  <c r="P71" i="12"/>
  <c r="X71" i="12" s="1"/>
  <c r="N71" i="12"/>
  <c r="D71" i="12"/>
  <c r="L71" i="12" s="1"/>
  <c r="B71" i="12"/>
  <c r="Z70" i="12"/>
  <c r="X70" i="12"/>
  <c r="P70" i="12"/>
  <c r="N70" i="12"/>
  <c r="D70" i="12"/>
  <c r="L70" i="12" s="1"/>
  <c r="B70" i="12"/>
  <c r="Z69" i="12"/>
  <c r="P69" i="12"/>
  <c r="X69" i="12" s="1"/>
  <c r="N69" i="12"/>
  <c r="L69" i="12"/>
  <c r="D69" i="12"/>
  <c r="B69" i="12"/>
  <c r="Z68" i="12"/>
  <c r="P68" i="12"/>
  <c r="X68" i="12" s="1"/>
  <c r="N68" i="12"/>
  <c r="D68" i="12"/>
  <c r="L68" i="12" s="1"/>
  <c r="B68" i="12"/>
  <c r="Z67" i="12"/>
  <c r="X67" i="12"/>
  <c r="P67" i="12"/>
  <c r="N67" i="12"/>
  <c r="L67" i="12"/>
  <c r="D67" i="12"/>
  <c r="B67" i="12"/>
  <c r="Z66" i="12"/>
  <c r="X66" i="12"/>
  <c r="P66" i="12"/>
  <c r="N66" i="12"/>
  <c r="L66" i="12"/>
  <c r="D66" i="12"/>
  <c r="B66" i="12"/>
  <c r="Z65" i="12"/>
  <c r="P65" i="12"/>
  <c r="X65" i="12" s="1"/>
  <c r="N65" i="12"/>
  <c r="D65" i="12"/>
  <c r="L65" i="12" s="1"/>
  <c r="B65" i="12"/>
  <c r="Z64" i="12"/>
  <c r="X64" i="12"/>
  <c r="P64" i="12"/>
  <c r="N64" i="12"/>
  <c r="L64" i="12"/>
  <c r="D64" i="12"/>
  <c r="B64" i="12"/>
  <c r="Z63" i="12"/>
  <c r="X63" i="12"/>
  <c r="P63" i="12"/>
  <c r="N63" i="12"/>
  <c r="L63" i="12"/>
  <c r="D63" i="12"/>
  <c r="B63" i="12"/>
  <c r="Z62" i="12"/>
  <c r="P62" i="12"/>
  <c r="X62" i="12" s="1"/>
  <c r="N62" i="12"/>
  <c r="D62" i="12"/>
  <c r="L62" i="12" s="1"/>
  <c r="B62" i="12"/>
  <c r="Z61" i="12"/>
  <c r="X61" i="12"/>
  <c r="P61" i="12"/>
  <c r="N61" i="12"/>
  <c r="L61" i="12"/>
  <c r="D61" i="12"/>
  <c r="B61" i="12"/>
  <c r="Z60" i="12"/>
  <c r="P60" i="12"/>
  <c r="X60" i="12" s="1"/>
  <c r="N60" i="12"/>
  <c r="L60" i="12"/>
  <c r="D60" i="12"/>
  <c r="B60" i="12"/>
  <c r="Z59" i="12"/>
  <c r="P59" i="12"/>
  <c r="X59" i="12" s="1"/>
  <c r="N59" i="12"/>
  <c r="D59" i="12"/>
  <c r="L59" i="12" s="1"/>
  <c r="B59" i="12"/>
  <c r="Z58" i="12"/>
  <c r="X58" i="12"/>
  <c r="P58" i="12"/>
  <c r="N58" i="12"/>
  <c r="L58" i="12"/>
  <c r="D58" i="12"/>
  <c r="B58" i="12"/>
  <c r="Z57" i="12"/>
  <c r="X57" i="12"/>
  <c r="P57" i="12"/>
  <c r="N57" i="12"/>
  <c r="D57" i="12"/>
  <c r="L57" i="12" s="1"/>
  <c r="B57" i="12"/>
  <c r="Z56" i="12"/>
  <c r="P56" i="12"/>
  <c r="X56" i="12" s="1"/>
  <c r="N56" i="12"/>
  <c r="D56" i="12"/>
  <c r="L56" i="12" s="1"/>
  <c r="B56" i="12"/>
  <c r="Z55" i="12"/>
  <c r="P55" i="12"/>
  <c r="X55" i="12" s="1"/>
  <c r="N55" i="12"/>
  <c r="L55" i="12"/>
  <c r="D55" i="12"/>
  <c r="B55" i="12"/>
  <c r="Z54" i="12"/>
  <c r="X54" i="12"/>
  <c r="P54" i="12"/>
  <c r="N54" i="12"/>
  <c r="L54" i="12"/>
  <c r="D54" i="12"/>
  <c r="B54" i="12"/>
  <c r="Z53" i="12"/>
  <c r="P53" i="12"/>
  <c r="X53" i="12" s="1"/>
  <c r="N53" i="12"/>
  <c r="D53" i="12"/>
  <c r="L53" i="12" s="1"/>
  <c r="B53" i="12"/>
  <c r="Z52" i="12"/>
  <c r="X52" i="12"/>
  <c r="P52" i="12"/>
  <c r="N52" i="12"/>
  <c r="L52" i="12"/>
  <c r="D52" i="12"/>
  <c r="B52" i="12"/>
  <c r="Z51" i="12"/>
  <c r="X51" i="12"/>
  <c r="P51" i="12"/>
  <c r="N51" i="12"/>
  <c r="L51" i="12"/>
  <c r="D51" i="12"/>
  <c r="B51" i="12"/>
  <c r="Z50" i="12"/>
  <c r="P50" i="12"/>
  <c r="X50" i="12" s="1"/>
  <c r="N50" i="12"/>
  <c r="D50" i="12"/>
  <c r="L50" i="12" s="1"/>
  <c r="B50" i="12"/>
  <c r="Z49" i="12"/>
  <c r="P49" i="12"/>
  <c r="X49" i="12" s="1"/>
  <c r="N49" i="12"/>
  <c r="L49" i="12"/>
  <c r="D49" i="12"/>
  <c r="B49" i="12"/>
  <c r="Z48" i="12"/>
  <c r="P48" i="12"/>
  <c r="X48" i="12" s="1"/>
  <c r="N48" i="12"/>
  <c r="L48" i="12"/>
  <c r="D48" i="12"/>
  <c r="B48" i="12"/>
  <c r="Z47" i="12"/>
  <c r="P47" i="12"/>
  <c r="X47" i="12" s="1"/>
  <c r="N47" i="12"/>
  <c r="L47" i="12"/>
  <c r="D47" i="12"/>
  <c r="B47" i="12"/>
  <c r="Z46" i="12"/>
  <c r="X46" i="12"/>
  <c r="P46" i="12"/>
  <c r="N46" i="12"/>
  <c r="D46" i="12"/>
  <c r="L46" i="12" s="1"/>
  <c r="B46" i="12"/>
  <c r="P45" i="12"/>
  <c r="X45" i="12" s="1"/>
  <c r="Z45" i="12" s="1"/>
  <c r="D45" i="12"/>
  <c r="L45" i="12" s="1"/>
  <c r="N45" i="12" s="1"/>
  <c r="B45" i="12"/>
  <c r="Z44" i="12"/>
  <c r="P44" i="12"/>
  <c r="X44" i="12" s="1"/>
  <c r="N44" i="12"/>
  <c r="D44" i="12"/>
  <c r="L44" i="12" s="1"/>
  <c r="B44" i="12"/>
  <c r="Z43" i="12"/>
  <c r="P43" i="12"/>
  <c r="X43" i="12" s="1"/>
  <c r="N43" i="12"/>
  <c r="L43" i="12"/>
  <c r="D43" i="12"/>
  <c r="B43" i="12"/>
  <c r="Z42" i="12"/>
  <c r="X42" i="12"/>
  <c r="P42" i="12"/>
  <c r="N42" i="12"/>
  <c r="L42" i="12"/>
  <c r="D42" i="12"/>
  <c r="B42" i="12"/>
  <c r="Z41" i="12"/>
  <c r="P41" i="12"/>
  <c r="X41" i="12" s="1"/>
  <c r="N41" i="12"/>
  <c r="D41" i="12"/>
  <c r="L41" i="12" s="1"/>
  <c r="B41" i="12"/>
  <c r="Z40" i="12"/>
  <c r="X40" i="12"/>
  <c r="P40" i="12"/>
  <c r="N40" i="12"/>
  <c r="D40" i="12"/>
  <c r="L40" i="12" s="1"/>
  <c r="B40" i="12"/>
  <c r="Z39" i="12"/>
  <c r="P39" i="12"/>
  <c r="X39" i="12" s="1"/>
  <c r="N39" i="12"/>
  <c r="L39" i="12"/>
  <c r="D39" i="12"/>
  <c r="B39" i="12"/>
  <c r="Z38" i="12"/>
  <c r="P38" i="12"/>
  <c r="X38" i="12" s="1"/>
  <c r="N38" i="12"/>
  <c r="D38" i="12"/>
  <c r="L38" i="12" s="1"/>
  <c r="B38" i="12"/>
  <c r="Z37" i="12"/>
  <c r="P37" i="12"/>
  <c r="X37" i="12" s="1"/>
  <c r="N37" i="12"/>
  <c r="L37" i="12"/>
  <c r="D37" i="12"/>
  <c r="B37" i="12"/>
  <c r="Z36" i="12"/>
  <c r="P36" i="12"/>
  <c r="X36" i="12" s="1"/>
  <c r="N36" i="12"/>
  <c r="L36" i="12"/>
  <c r="D36" i="12"/>
  <c r="B36" i="12"/>
  <c r="Z35" i="12"/>
  <c r="P35" i="12"/>
  <c r="X35" i="12" s="1"/>
  <c r="N35" i="12"/>
  <c r="L35" i="12"/>
  <c r="D35" i="12"/>
  <c r="B35" i="12"/>
  <c r="Z34" i="12"/>
  <c r="X34" i="12"/>
  <c r="P34" i="12"/>
  <c r="N34" i="12"/>
  <c r="D34" i="12"/>
  <c r="L34" i="12" s="1"/>
  <c r="B34" i="12"/>
  <c r="Z33" i="12"/>
  <c r="X33" i="12"/>
  <c r="P33" i="12"/>
  <c r="N33" i="12"/>
  <c r="D33" i="12"/>
  <c r="L33" i="12" s="1"/>
  <c r="B33" i="12"/>
  <c r="Z32" i="12"/>
  <c r="P32" i="12"/>
  <c r="X32" i="12" s="1"/>
  <c r="N32" i="12"/>
  <c r="D32" i="12"/>
  <c r="L32" i="12" s="1"/>
  <c r="B32" i="12"/>
  <c r="Z31" i="12"/>
  <c r="P31" i="12"/>
  <c r="X31" i="12" s="1"/>
  <c r="N31" i="12"/>
  <c r="L31" i="12"/>
  <c r="D31" i="12"/>
  <c r="B31" i="12"/>
  <c r="Z30" i="12"/>
  <c r="X30" i="12"/>
  <c r="P30" i="12"/>
  <c r="N30" i="12"/>
  <c r="L30" i="12"/>
  <c r="D30" i="12"/>
  <c r="B30" i="12"/>
  <c r="Z29" i="12"/>
  <c r="P29" i="12"/>
  <c r="X29" i="12" s="1"/>
  <c r="N29" i="12"/>
  <c r="D29" i="12"/>
  <c r="L29" i="12" s="1"/>
  <c r="B29" i="12"/>
  <c r="Z28" i="12"/>
  <c r="X28" i="12"/>
  <c r="P28" i="12"/>
  <c r="N28" i="12"/>
  <c r="D28" i="12"/>
  <c r="L28" i="12" s="1"/>
  <c r="B28" i="12"/>
  <c r="Z27" i="12"/>
  <c r="P27" i="12"/>
  <c r="X27" i="12" s="1"/>
  <c r="N27" i="12"/>
  <c r="L27" i="12"/>
  <c r="D27" i="12"/>
  <c r="B27" i="12"/>
  <c r="Z26" i="12"/>
  <c r="P26" i="12"/>
  <c r="X26" i="12" s="1"/>
  <c r="N26" i="12"/>
  <c r="D26" i="12"/>
  <c r="L26" i="12" s="1"/>
  <c r="B26" i="12"/>
  <c r="Z25" i="12"/>
  <c r="P25" i="12"/>
  <c r="X25" i="12" s="1"/>
  <c r="N25" i="12"/>
  <c r="L25" i="12"/>
  <c r="D25" i="12"/>
  <c r="B25" i="12"/>
  <c r="Z24" i="12"/>
  <c r="P24" i="12"/>
  <c r="X24" i="12" s="1"/>
  <c r="N24" i="12"/>
  <c r="L24" i="12"/>
  <c r="D24" i="12"/>
  <c r="B24" i="12"/>
  <c r="Z23" i="12"/>
  <c r="P23" i="12"/>
  <c r="X23" i="12" s="1"/>
  <c r="N23" i="12"/>
  <c r="L23" i="12"/>
  <c r="D23" i="12"/>
  <c r="B23" i="12"/>
  <c r="Z22" i="12"/>
  <c r="X22" i="12"/>
  <c r="P22" i="12"/>
  <c r="N22" i="12"/>
  <c r="D22" i="12"/>
  <c r="L22" i="12" s="1"/>
  <c r="B22" i="12"/>
  <c r="Z21" i="12"/>
  <c r="P21" i="12"/>
  <c r="X21" i="12" s="1"/>
  <c r="N21" i="12"/>
  <c r="D21" i="12"/>
  <c r="L21" i="12" s="1"/>
  <c r="B21" i="12"/>
  <c r="Z20" i="12"/>
  <c r="P20" i="12"/>
  <c r="X20" i="12" s="1"/>
  <c r="N20" i="12"/>
  <c r="D20" i="12"/>
  <c r="L20" i="12" s="1"/>
  <c r="B20" i="12"/>
  <c r="Z19" i="12"/>
  <c r="P19" i="12"/>
  <c r="X19" i="12" s="1"/>
  <c r="N19" i="12"/>
  <c r="L19" i="12"/>
  <c r="D19" i="12"/>
  <c r="B19" i="12"/>
  <c r="Z18" i="12"/>
  <c r="X18" i="12"/>
  <c r="P18" i="12"/>
  <c r="N18" i="12"/>
  <c r="D18" i="12"/>
  <c r="L18" i="12" s="1"/>
  <c r="B18" i="12"/>
  <c r="Z17" i="12"/>
  <c r="P17" i="12"/>
  <c r="X17" i="12" s="1"/>
  <c r="N17" i="12"/>
  <c r="D17" i="12"/>
  <c r="L17" i="12" s="1"/>
  <c r="B17" i="12"/>
  <c r="Z16" i="12"/>
  <c r="X16" i="12"/>
  <c r="P16" i="12"/>
  <c r="N16" i="12"/>
  <c r="L16" i="12"/>
  <c r="D16" i="12"/>
  <c r="B16" i="12"/>
  <c r="Z15" i="12"/>
  <c r="X15" i="12"/>
  <c r="P15" i="12"/>
  <c r="N15" i="12"/>
  <c r="L15" i="12"/>
  <c r="D15" i="12"/>
  <c r="B15" i="12"/>
  <c r="Z14" i="12"/>
  <c r="X14" i="12"/>
  <c r="P14" i="12"/>
  <c r="N14" i="12"/>
  <c r="D14" i="12"/>
  <c r="L14" i="12" s="1"/>
  <c r="B14" i="12"/>
  <c r="P13" i="12"/>
  <c r="L13" i="12"/>
  <c r="N13" i="12" s="1"/>
  <c r="D13" i="12"/>
  <c r="B13" i="12"/>
  <c r="T12" i="12"/>
  <c r="H12" i="12"/>
  <c r="D4" i="12"/>
  <c r="J104" i="9"/>
  <c r="J101" i="9"/>
  <c r="Z99" i="9"/>
  <c r="X99" i="9"/>
  <c r="N99" i="9"/>
  <c r="L99" i="9"/>
  <c r="F99" i="9"/>
  <c r="Z95" i="9"/>
  <c r="T95" i="9"/>
  <c r="P95" i="9"/>
  <c r="X95" i="9" s="1"/>
  <c r="H95" i="9"/>
  <c r="N95" i="9" s="1"/>
  <c r="D95" i="9"/>
  <c r="L95" i="9" s="1"/>
  <c r="Z93" i="9"/>
  <c r="X93" i="9"/>
  <c r="L93" i="9"/>
  <c r="N93" i="9" s="1"/>
  <c r="B93" i="9"/>
  <c r="V92" i="9"/>
  <c r="T92" i="9"/>
  <c r="P92" i="9"/>
  <c r="L92" i="9"/>
  <c r="N92" i="9" s="1"/>
  <c r="H92" i="9"/>
  <c r="D92" i="9"/>
  <c r="B92" i="9"/>
  <c r="X91" i="9"/>
  <c r="Z91" i="9" s="1"/>
  <c r="V91" i="9"/>
  <c r="N91" i="9"/>
  <c r="L91" i="9"/>
  <c r="B91" i="9"/>
  <c r="T90" i="9"/>
  <c r="R90" i="9"/>
  <c r="P90" i="9"/>
  <c r="X90" i="9" s="1"/>
  <c r="H90" i="9"/>
  <c r="D90" i="9"/>
  <c r="L90" i="9" s="1"/>
  <c r="B90" i="9"/>
  <c r="X89" i="9"/>
  <c r="Z89" i="9" s="1"/>
  <c r="R89" i="9"/>
  <c r="N89" i="9"/>
  <c r="L89" i="9"/>
  <c r="B89" i="9"/>
  <c r="X88" i="9"/>
  <c r="Z88" i="9" s="1"/>
  <c r="N88" i="9"/>
  <c r="L88" i="9"/>
  <c r="J88" i="9"/>
  <c r="F88" i="9"/>
  <c r="B88" i="9"/>
  <c r="T87" i="9"/>
  <c r="P87" i="9"/>
  <c r="X87" i="9" s="1"/>
  <c r="Z87" i="9" s="1"/>
  <c r="H87" i="9"/>
  <c r="F87" i="9"/>
  <c r="D87" i="9"/>
  <c r="B87" i="9"/>
  <c r="Z86" i="9"/>
  <c r="X86" i="9"/>
  <c r="N86" i="9"/>
  <c r="L86" i="9"/>
  <c r="B86" i="9"/>
  <c r="Z85" i="9"/>
  <c r="X85" i="9"/>
  <c r="N85" i="9"/>
  <c r="L85" i="9"/>
  <c r="B85" i="9"/>
  <c r="Z84" i="9"/>
  <c r="X84" i="9"/>
  <c r="V84" i="9"/>
  <c r="R84" i="9"/>
  <c r="N84" i="9"/>
  <c r="L84" i="9"/>
  <c r="B84" i="9"/>
  <c r="Z83" i="9"/>
  <c r="X83" i="9"/>
  <c r="L83" i="9"/>
  <c r="N83" i="9" s="1"/>
  <c r="J83" i="9"/>
  <c r="B83" i="9"/>
  <c r="T82" i="9"/>
  <c r="Z82" i="9" s="1"/>
  <c r="P82" i="9"/>
  <c r="X82" i="9" s="1"/>
  <c r="J82" i="9"/>
  <c r="H82" i="9"/>
  <c r="D82" i="9"/>
  <c r="B82" i="9"/>
  <c r="X81" i="9"/>
  <c r="Z81" i="9" s="1"/>
  <c r="N81" i="9"/>
  <c r="L81" i="9"/>
  <c r="F81" i="9"/>
  <c r="B81" i="9"/>
  <c r="X80" i="9"/>
  <c r="Z80" i="9" s="1"/>
  <c r="L80" i="9"/>
  <c r="N80" i="9" s="1"/>
  <c r="B80" i="9"/>
  <c r="X79" i="9"/>
  <c r="V79" i="9"/>
  <c r="T79" i="9"/>
  <c r="P79" i="9"/>
  <c r="H79" i="9"/>
  <c r="N79" i="9" s="1"/>
  <c r="D79" i="9"/>
  <c r="L79" i="9" s="1"/>
  <c r="B79" i="9"/>
  <c r="X78" i="9"/>
  <c r="Z78" i="9" s="1"/>
  <c r="L78" i="9"/>
  <c r="N78" i="9" s="1"/>
  <c r="B78" i="9"/>
  <c r="X77" i="9"/>
  <c r="Z77" i="9" s="1"/>
  <c r="R77" i="9"/>
  <c r="N77" i="9"/>
  <c r="L77" i="9"/>
  <c r="B77" i="9"/>
  <c r="T76" i="9"/>
  <c r="Z76" i="9" s="1"/>
  <c r="P76" i="9"/>
  <c r="X76" i="9" s="1"/>
  <c r="N76" i="9"/>
  <c r="L76" i="9"/>
  <c r="H76" i="9"/>
  <c r="D76" i="9"/>
  <c r="B76" i="9"/>
  <c r="Z75" i="9"/>
  <c r="X75" i="9"/>
  <c r="N75" i="9"/>
  <c r="L75" i="9"/>
  <c r="J75" i="9"/>
  <c r="B75" i="9"/>
  <c r="X74" i="9"/>
  <c r="Z74" i="9" s="1"/>
  <c r="L74" i="9"/>
  <c r="N74" i="9" s="1"/>
  <c r="B74" i="9"/>
  <c r="Z73" i="9"/>
  <c r="X73" i="9"/>
  <c r="N73" i="9"/>
  <c r="L73" i="9"/>
  <c r="B73" i="9"/>
  <c r="X72" i="9"/>
  <c r="Z72" i="9" s="1"/>
  <c r="V72" i="9"/>
  <c r="R72" i="9"/>
  <c r="L72" i="9"/>
  <c r="N72" i="9" s="1"/>
  <c r="B72" i="9"/>
  <c r="T71" i="9"/>
  <c r="Z71" i="9" s="1"/>
  <c r="P71" i="9"/>
  <c r="X71" i="9" s="1"/>
  <c r="N71" i="9"/>
  <c r="H71" i="9"/>
  <c r="D71" i="9"/>
  <c r="L71" i="9" s="1"/>
  <c r="B71" i="9"/>
  <c r="X70" i="9"/>
  <c r="Z70" i="9" s="1"/>
  <c r="L70" i="9"/>
  <c r="N70" i="9" s="1"/>
  <c r="B70" i="9"/>
  <c r="X69" i="9"/>
  <c r="Z69" i="9" s="1"/>
  <c r="N69" i="9"/>
  <c r="L69" i="9"/>
  <c r="F69" i="9"/>
  <c r="B69" i="9"/>
  <c r="X68" i="9"/>
  <c r="Z68" i="9" s="1"/>
  <c r="N68" i="9"/>
  <c r="L68" i="9"/>
  <c r="B68" i="9"/>
  <c r="X67" i="9"/>
  <c r="Z67" i="9" s="1"/>
  <c r="V67" i="9"/>
  <c r="L67" i="9"/>
  <c r="N67" i="9" s="1"/>
  <c r="B67" i="9"/>
  <c r="T66" i="9"/>
  <c r="R66" i="9"/>
  <c r="P66" i="9"/>
  <c r="X66" i="9" s="1"/>
  <c r="H66" i="9"/>
  <c r="N66" i="9" s="1"/>
  <c r="D66" i="9"/>
  <c r="L66" i="9" s="1"/>
  <c r="B66" i="9"/>
  <c r="Z65" i="9"/>
  <c r="X65" i="9"/>
  <c r="R65" i="9"/>
  <c r="N65" i="9"/>
  <c r="L65" i="9"/>
  <c r="B65" i="9"/>
  <c r="Z64" i="9"/>
  <c r="X64" i="9"/>
  <c r="N64" i="9"/>
  <c r="L64" i="9"/>
  <c r="J64" i="9"/>
  <c r="F64" i="9"/>
  <c r="B64" i="9"/>
  <c r="Z63" i="9"/>
  <c r="X63" i="9"/>
  <c r="N63" i="9"/>
  <c r="L63" i="9"/>
  <c r="B63" i="9"/>
  <c r="Z62" i="9"/>
  <c r="X62" i="9"/>
  <c r="T62" i="9"/>
  <c r="P62" i="9"/>
  <c r="H62" i="9"/>
  <c r="N62" i="9" s="1"/>
  <c r="D62" i="9"/>
  <c r="L62" i="9" s="1"/>
  <c r="B62" i="9"/>
  <c r="Z61" i="9"/>
  <c r="X61" i="9"/>
  <c r="L61" i="9"/>
  <c r="N61" i="9" s="1"/>
  <c r="B61" i="9"/>
  <c r="V60" i="9"/>
  <c r="T60" i="9"/>
  <c r="P60" i="9"/>
  <c r="H60" i="9"/>
  <c r="D60" i="9"/>
  <c r="L60" i="9" s="1"/>
  <c r="B60" i="9"/>
  <c r="X59" i="9"/>
  <c r="Z59" i="9" s="1"/>
  <c r="V59" i="9"/>
  <c r="N59" i="9"/>
  <c r="L59" i="9"/>
  <c r="B59" i="9"/>
  <c r="T58" i="9"/>
  <c r="R58" i="9"/>
  <c r="P58" i="9"/>
  <c r="X58" i="9" s="1"/>
  <c r="H58" i="9"/>
  <c r="N58" i="9" s="1"/>
  <c r="D58" i="9"/>
  <c r="L58" i="9" s="1"/>
  <c r="B58" i="9"/>
  <c r="Z57" i="9"/>
  <c r="X57" i="9"/>
  <c r="R57" i="9"/>
  <c r="N57" i="9"/>
  <c r="L57" i="9"/>
  <c r="B57" i="9"/>
  <c r="X56" i="9"/>
  <c r="T56" i="9"/>
  <c r="Z56" i="9" s="1"/>
  <c r="P56" i="9"/>
  <c r="N56" i="9"/>
  <c r="L56" i="9"/>
  <c r="H56" i="9"/>
  <c r="D56" i="9"/>
  <c r="B56" i="9"/>
  <c r="Z55" i="9"/>
  <c r="X55" i="9"/>
  <c r="L55" i="9"/>
  <c r="N55" i="9" s="1"/>
  <c r="J55" i="9"/>
  <c r="B55" i="9"/>
  <c r="T54" i="9"/>
  <c r="P54" i="9"/>
  <c r="J54" i="9"/>
  <c r="H54" i="9"/>
  <c r="D54" i="9"/>
  <c r="L54" i="9" s="1"/>
  <c r="B54" i="9"/>
  <c r="Z53" i="9"/>
  <c r="X53" i="9"/>
  <c r="N53" i="9"/>
  <c r="L53" i="9"/>
  <c r="F53" i="9"/>
  <c r="B53" i="9"/>
  <c r="T52" i="9"/>
  <c r="P52" i="9"/>
  <c r="X52" i="9" s="1"/>
  <c r="H52" i="9"/>
  <c r="F52" i="9"/>
  <c r="D52" i="9"/>
  <c r="L52" i="9" s="1"/>
  <c r="B52" i="9"/>
  <c r="Z51" i="9"/>
  <c r="X51" i="9"/>
  <c r="N51" i="9"/>
  <c r="L51" i="9"/>
  <c r="B51" i="9"/>
  <c r="Z50" i="9"/>
  <c r="X50" i="9"/>
  <c r="T50" i="9"/>
  <c r="P50" i="9"/>
  <c r="L50" i="9"/>
  <c r="H50" i="9"/>
  <c r="N50" i="9" s="1"/>
  <c r="D50" i="9"/>
  <c r="B50" i="9"/>
  <c r="Z49" i="9"/>
  <c r="X49" i="9"/>
  <c r="N49" i="9"/>
  <c r="L49" i="9"/>
  <c r="B49" i="9"/>
  <c r="V48" i="9"/>
  <c r="T48" i="9"/>
  <c r="P48" i="9"/>
  <c r="X48" i="9" s="1"/>
  <c r="H48" i="9"/>
  <c r="D48" i="9"/>
  <c r="L48" i="9" s="1"/>
  <c r="B48" i="9"/>
  <c r="X47" i="9"/>
  <c r="Z47" i="9" s="1"/>
  <c r="V47" i="9"/>
  <c r="N47" i="9"/>
  <c r="L47" i="9"/>
  <c r="B47" i="9"/>
  <c r="T46" i="9"/>
  <c r="R46" i="9"/>
  <c r="P46" i="9"/>
  <c r="X46" i="9" s="1"/>
  <c r="H46" i="9"/>
  <c r="N46" i="9" s="1"/>
  <c r="D46" i="9"/>
  <c r="L46" i="9" s="1"/>
  <c r="B46" i="9"/>
  <c r="Z45" i="9"/>
  <c r="X45" i="9"/>
  <c r="R45" i="9"/>
  <c r="N45" i="9"/>
  <c r="L45" i="9"/>
  <c r="B45" i="9"/>
  <c r="X44" i="9"/>
  <c r="T44" i="9"/>
  <c r="Z44" i="9" s="1"/>
  <c r="P44" i="9"/>
  <c r="N44" i="9"/>
  <c r="L44" i="9"/>
  <c r="H44" i="9"/>
  <c r="D44" i="9"/>
  <c r="B44" i="9"/>
  <c r="Z43" i="9"/>
  <c r="X43" i="9"/>
  <c r="L43" i="9"/>
  <c r="N43" i="9" s="1"/>
  <c r="J43" i="9"/>
  <c r="B43" i="9"/>
  <c r="T42" i="9"/>
  <c r="P42" i="9"/>
  <c r="J42" i="9"/>
  <c r="H42" i="9"/>
  <c r="D42" i="9"/>
  <c r="L42" i="9" s="1"/>
  <c r="B42" i="9"/>
  <c r="Z41" i="9"/>
  <c r="X41" i="9"/>
  <c r="N41" i="9"/>
  <c r="L41" i="9"/>
  <c r="F41" i="9"/>
  <c r="B41" i="9"/>
  <c r="Z40" i="9"/>
  <c r="X40" i="9"/>
  <c r="N40" i="9"/>
  <c r="L40" i="9"/>
  <c r="B40" i="9"/>
  <c r="X39" i="9"/>
  <c r="Z39" i="9" s="1"/>
  <c r="V39" i="9"/>
  <c r="N39" i="9"/>
  <c r="L39" i="9"/>
  <c r="B39" i="9"/>
  <c r="X38" i="9"/>
  <c r="Z38" i="9" s="1"/>
  <c r="N38" i="9"/>
  <c r="L38" i="9"/>
  <c r="B38" i="9"/>
  <c r="Z37" i="9"/>
  <c r="X37" i="9"/>
  <c r="N37" i="9"/>
  <c r="L37" i="9"/>
  <c r="F37" i="9"/>
  <c r="B37" i="9"/>
  <c r="X36" i="9"/>
  <c r="Z36" i="9" s="1"/>
  <c r="L36" i="9"/>
  <c r="N36" i="9" s="1"/>
  <c r="B36" i="9"/>
  <c r="X35" i="9"/>
  <c r="Z35" i="9" s="1"/>
  <c r="V35" i="9"/>
  <c r="N35" i="9"/>
  <c r="L35" i="9"/>
  <c r="B35" i="9"/>
  <c r="Z34" i="9"/>
  <c r="X34" i="9"/>
  <c r="N34" i="9"/>
  <c r="L34" i="9"/>
  <c r="B34" i="9"/>
  <c r="Z33" i="9"/>
  <c r="X33" i="9"/>
  <c r="L33" i="9"/>
  <c r="N33" i="9" s="1"/>
  <c r="F33" i="9"/>
  <c r="B33" i="9"/>
  <c r="X32" i="9"/>
  <c r="Z32" i="9" s="1"/>
  <c r="L32" i="9"/>
  <c r="N32" i="9" s="1"/>
  <c r="B32" i="9"/>
  <c r="X31" i="9"/>
  <c r="Z31" i="9" s="1"/>
  <c r="V31" i="9"/>
  <c r="T31" i="9"/>
  <c r="P31" i="9"/>
  <c r="H31" i="9"/>
  <c r="D31" i="9"/>
  <c r="L31" i="9" s="1"/>
  <c r="N31" i="9" s="1"/>
  <c r="B31" i="9"/>
  <c r="X30" i="9"/>
  <c r="Z30" i="9" s="1"/>
  <c r="N30" i="9"/>
  <c r="L30" i="9"/>
  <c r="B30" i="9"/>
  <c r="X29" i="9"/>
  <c r="Z29" i="9" s="1"/>
  <c r="R29" i="9"/>
  <c r="N29" i="9"/>
  <c r="L29" i="9"/>
  <c r="B29" i="9"/>
  <c r="X28" i="9"/>
  <c r="Z28" i="9" s="1"/>
  <c r="L28" i="9"/>
  <c r="N28" i="9" s="1"/>
  <c r="J28" i="9"/>
  <c r="F28" i="9"/>
  <c r="B28" i="9"/>
  <c r="X27" i="9"/>
  <c r="Z27" i="9" s="1"/>
  <c r="N27" i="9"/>
  <c r="L27" i="9"/>
  <c r="B27" i="9"/>
  <c r="Z26" i="9"/>
  <c r="X26" i="9"/>
  <c r="N26" i="9"/>
  <c r="L26" i="9"/>
  <c r="B26" i="9"/>
  <c r="X25" i="9"/>
  <c r="Z25" i="9" s="1"/>
  <c r="R25" i="9"/>
  <c r="N25" i="9"/>
  <c r="L25" i="9"/>
  <c r="B25" i="9"/>
  <c r="X24" i="9"/>
  <c r="Z24" i="9" s="1"/>
  <c r="L24" i="9"/>
  <c r="N24" i="9" s="1"/>
  <c r="J24" i="9"/>
  <c r="F24" i="9"/>
  <c r="B24" i="9"/>
  <c r="X23" i="9"/>
  <c r="Z23" i="9" s="1"/>
  <c r="N23" i="9"/>
  <c r="L23" i="9"/>
  <c r="B23" i="9"/>
  <c r="Z22" i="9"/>
  <c r="X22" i="9"/>
  <c r="L22" i="9"/>
  <c r="N22" i="9" s="1"/>
  <c r="B22" i="9"/>
  <c r="X21" i="9"/>
  <c r="Z21" i="9" s="1"/>
  <c r="R21" i="9"/>
  <c r="N21" i="9"/>
  <c r="L21" i="9"/>
  <c r="B21" i="9"/>
  <c r="X20" i="9"/>
  <c r="Z20" i="9" s="1"/>
  <c r="L20" i="9"/>
  <c r="N20" i="9" s="1"/>
  <c r="J20" i="9"/>
  <c r="F20" i="9"/>
  <c r="B20" i="9"/>
  <c r="V19" i="9"/>
  <c r="T19" i="9"/>
  <c r="P19" i="9"/>
  <c r="X19" i="9" s="1"/>
  <c r="H19" i="9"/>
  <c r="F19" i="9"/>
  <c r="D19" i="9"/>
  <c r="B19" i="9"/>
  <c r="T18" i="9"/>
  <c r="Z18" i="9" s="1"/>
  <c r="P18" i="9"/>
  <c r="X18" i="9" s="1"/>
  <c r="J18" i="9"/>
  <c r="H18" i="9"/>
  <c r="D18" i="9"/>
  <c r="J16" i="9"/>
  <c r="H16" i="9"/>
  <c r="T14" i="9"/>
  <c r="Z14" i="9" s="1"/>
  <c r="P14" i="9"/>
  <c r="X14" i="9" s="1"/>
  <c r="J14" i="9"/>
  <c r="H14" i="9"/>
  <c r="N14" i="9" s="1"/>
  <c r="D14" i="9"/>
  <c r="D16" i="9" s="1"/>
  <c r="L16" i="9" s="1"/>
  <c r="T12" i="9"/>
  <c r="V78" i="9" s="1"/>
  <c r="P12" i="9"/>
  <c r="R92" i="9" s="1"/>
  <c r="N12" i="9"/>
  <c r="L12" i="9"/>
  <c r="H12" i="9"/>
  <c r="J76" i="9" s="1"/>
  <c r="D12" i="9"/>
  <c r="F83" i="9" s="1"/>
  <c r="D4" i="9"/>
  <c r="F31" i="6"/>
  <c r="X29" i="6"/>
  <c r="Z29" i="6" s="1"/>
  <c r="T29" i="6"/>
  <c r="P29" i="6"/>
  <c r="H29" i="6"/>
  <c r="F29" i="6"/>
  <c r="D29" i="6"/>
  <c r="Z28" i="6"/>
  <c r="X28" i="6"/>
  <c r="T28" i="6"/>
  <c r="P28" i="6"/>
  <c r="H28" i="6"/>
  <c r="F28" i="6"/>
  <c r="D28" i="6"/>
  <c r="F26" i="6"/>
  <c r="Z24" i="6"/>
  <c r="X24" i="6"/>
  <c r="N24" i="6"/>
  <c r="L24" i="6"/>
  <c r="X20" i="6"/>
  <c r="V20" i="6"/>
  <c r="T20" i="6"/>
  <c r="Z20" i="6" s="1"/>
  <c r="P20" i="6"/>
  <c r="H20" i="6"/>
  <c r="N20" i="6" s="1"/>
  <c r="D20" i="6"/>
  <c r="L20" i="6" s="1"/>
  <c r="X18" i="6"/>
  <c r="V18" i="6"/>
  <c r="T18" i="6"/>
  <c r="Z18" i="6" s="1"/>
  <c r="P18" i="6"/>
  <c r="L18" i="6"/>
  <c r="H18" i="6"/>
  <c r="N18" i="6" s="1"/>
  <c r="D18" i="6"/>
  <c r="V16" i="6"/>
  <c r="X14" i="6"/>
  <c r="V14" i="6"/>
  <c r="T14" i="6"/>
  <c r="Z14" i="6" s="1"/>
  <c r="P14" i="6"/>
  <c r="L14" i="6"/>
  <c r="H14" i="6"/>
  <c r="N14" i="6" s="1"/>
  <c r="D14" i="6"/>
  <c r="T12" i="6"/>
  <c r="P12" i="6"/>
  <c r="R22" i="6" s="1"/>
  <c r="H12" i="6"/>
  <c r="N12" i="6" s="1"/>
  <c r="D12" i="6"/>
  <c r="L12" i="6" s="1"/>
  <c r="D4" i="6"/>
  <c r="T281" i="3"/>
  <c r="Z281" i="3" s="1"/>
  <c r="P281" i="3"/>
  <c r="X281" i="3" s="1"/>
  <c r="H281" i="3"/>
  <c r="D281" i="3"/>
  <c r="L281" i="3" s="1"/>
  <c r="T280" i="3"/>
  <c r="P280" i="3"/>
  <c r="H280" i="3"/>
  <c r="N280" i="3" s="1"/>
  <c r="D280" i="3"/>
  <c r="L280" i="3" s="1"/>
  <c r="X276" i="3"/>
  <c r="Z276" i="3" s="1"/>
  <c r="L276" i="3"/>
  <c r="N276" i="3" s="1"/>
  <c r="Z272" i="3"/>
  <c r="X272" i="3"/>
  <c r="P272" i="3"/>
  <c r="N272" i="3"/>
  <c r="L272" i="3"/>
  <c r="D272" i="3"/>
  <c r="B272" i="3"/>
  <c r="P271" i="3"/>
  <c r="X271" i="3" s="1"/>
  <c r="Z271" i="3" s="1"/>
  <c r="L271" i="3"/>
  <c r="N271" i="3" s="1"/>
  <c r="D271" i="3"/>
  <c r="B271" i="3"/>
  <c r="X270" i="3"/>
  <c r="Z270" i="3" s="1"/>
  <c r="P270" i="3"/>
  <c r="D270" i="3"/>
  <c r="L270" i="3" s="1"/>
  <c r="N270" i="3" s="1"/>
  <c r="B270" i="3"/>
  <c r="Z269" i="3"/>
  <c r="X269" i="3"/>
  <c r="P269" i="3"/>
  <c r="D269" i="3"/>
  <c r="L269" i="3" s="1"/>
  <c r="N269" i="3" s="1"/>
  <c r="B269" i="3"/>
  <c r="Z268" i="3"/>
  <c r="X268" i="3"/>
  <c r="P268" i="3"/>
  <c r="N268" i="3"/>
  <c r="D268" i="3"/>
  <c r="L268" i="3" s="1"/>
  <c r="B268" i="3"/>
  <c r="Z267" i="3"/>
  <c r="P267" i="3"/>
  <c r="X267" i="3" s="1"/>
  <c r="N267" i="3"/>
  <c r="L267" i="3"/>
  <c r="D267" i="3"/>
  <c r="B267" i="3"/>
  <c r="Z266" i="3"/>
  <c r="X266" i="3"/>
  <c r="P266" i="3"/>
  <c r="N266" i="3"/>
  <c r="D266" i="3"/>
  <c r="L266" i="3" s="1"/>
  <c r="B266" i="3"/>
  <c r="Z265" i="3"/>
  <c r="P265" i="3"/>
  <c r="X265" i="3" s="1"/>
  <c r="N265" i="3"/>
  <c r="L265" i="3"/>
  <c r="D265" i="3"/>
  <c r="B265" i="3"/>
  <c r="T264" i="3"/>
  <c r="P264" i="3"/>
  <c r="X264" i="3" s="1"/>
  <c r="H264" i="3"/>
  <c r="D264" i="3"/>
  <c r="L264" i="3" s="1"/>
  <c r="N264" i="3" s="1"/>
  <c r="X262" i="3"/>
  <c r="Z262" i="3" s="1"/>
  <c r="N262" i="3"/>
  <c r="L262" i="3"/>
  <c r="B262" i="3"/>
  <c r="T261" i="3"/>
  <c r="Z261" i="3" s="1"/>
  <c r="P261" i="3"/>
  <c r="X261" i="3" s="1"/>
  <c r="H261" i="3"/>
  <c r="D261" i="3"/>
  <c r="L261" i="3" s="1"/>
  <c r="B261" i="3"/>
  <c r="X260" i="3"/>
  <c r="Z260" i="3" s="1"/>
  <c r="V260" i="3"/>
  <c r="N260" i="3"/>
  <c r="L260" i="3"/>
  <c r="B260" i="3"/>
  <c r="X259" i="3"/>
  <c r="Z259" i="3" s="1"/>
  <c r="L259" i="3"/>
  <c r="N259" i="3" s="1"/>
  <c r="B259" i="3"/>
  <c r="X258" i="3"/>
  <c r="Z258" i="3" s="1"/>
  <c r="N258" i="3"/>
  <c r="L258" i="3"/>
  <c r="B258" i="3"/>
  <c r="X257" i="3"/>
  <c r="T257" i="3"/>
  <c r="Z257" i="3" s="1"/>
  <c r="P257" i="3"/>
  <c r="H257" i="3"/>
  <c r="N257" i="3" s="1"/>
  <c r="D257" i="3"/>
  <c r="L257" i="3" s="1"/>
  <c r="B257" i="3"/>
  <c r="Z256" i="3"/>
  <c r="X256" i="3"/>
  <c r="N256" i="3"/>
  <c r="L256" i="3"/>
  <c r="B256" i="3"/>
  <c r="T255" i="3"/>
  <c r="X255" i="3" s="1"/>
  <c r="P255" i="3"/>
  <c r="L255" i="3"/>
  <c r="H255" i="3"/>
  <c r="N255" i="3" s="1"/>
  <c r="D255" i="3"/>
  <c r="B255" i="3"/>
  <c r="Z254" i="3"/>
  <c r="X254" i="3"/>
  <c r="V254" i="3"/>
  <c r="L254" i="3"/>
  <c r="N254" i="3" s="1"/>
  <c r="B254" i="3"/>
  <c r="X253" i="3"/>
  <c r="Z253" i="3" s="1"/>
  <c r="L253" i="3"/>
  <c r="N253" i="3" s="1"/>
  <c r="B253" i="3"/>
  <c r="T252" i="3"/>
  <c r="P252" i="3"/>
  <c r="X252" i="3" s="1"/>
  <c r="Z252" i="3" s="1"/>
  <c r="H252" i="3"/>
  <c r="D252" i="3"/>
  <c r="L252" i="3" s="1"/>
  <c r="N252" i="3" s="1"/>
  <c r="B252" i="3"/>
  <c r="X251" i="3"/>
  <c r="Z251" i="3" s="1"/>
  <c r="L251" i="3"/>
  <c r="N251" i="3" s="1"/>
  <c r="B251" i="3"/>
  <c r="X250" i="3"/>
  <c r="Z250" i="3" s="1"/>
  <c r="N250" i="3"/>
  <c r="L250" i="3"/>
  <c r="B250" i="3"/>
  <c r="X249" i="3"/>
  <c r="Z249" i="3" s="1"/>
  <c r="L249" i="3"/>
  <c r="N249" i="3" s="1"/>
  <c r="B249" i="3"/>
  <c r="X248" i="3"/>
  <c r="Z248" i="3" s="1"/>
  <c r="V248" i="3"/>
  <c r="N248" i="3"/>
  <c r="L248" i="3"/>
  <c r="B248" i="3"/>
  <c r="X247" i="3"/>
  <c r="Z247" i="3" s="1"/>
  <c r="L247" i="3"/>
  <c r="N247" i="3" s="1"/>
  <c r="B247" i="3"/>
  <c r="X246" i="3"/>
  <c r="Z246" i="3" s="1"/>
  <c r="L246" i="3"/>
  <c r="N246" i="3" s="1"/>
  <c r="B246" i="3"/>
  <c r="X245" i="3"/>
  <c r="Z245" i="3" s="1"/>
  <c r="L245" i="3"/>
  <c r="N245" i="3" s="1"/>
  <c r="B245" i="3"/>
  <c r="X244" i="3"/>
  <c r="Z244" i="3" s="1"/>
  <c r="V244" i="3"/>
  <c r="N244" i="3"/>
  <c r="L244" i="3"/>
  <c r="B244" i="3"/>
  <c r="X243" i="3"/>
  <c r="Z243" i="3" s="1"/>
  <c r="L243" i="3"/>
  <c r="N243" i="3" s="1"/>
  <c r="B243" i="3"/>
  <c r="X242" i="3"/>
  <c r="Z242" i="3" s="1"/>
  <c r="L242" i="3"/>
  <c r="N242" i="3" s="1"/>
  <c r="B242" i="3"/>
  <c r="X241" i="3"/>
  <c r="T241" i="3"/>
  <c r="Z241" i="3" s="1"/>
  <c r="P241" i="3"/>
  <c r="H241" i="3"/>
  <c r="D241" i="3"/>
  <c r="L241" i="3" s="1"/>
  <c r="B241" i="3"/>
  <c r="Z240" i="3"/>
  <c r="X240" i="3"/>
  <c r="N240" i="3"/>
  <c r="L240" i="3"/>
  <c r="B240" i="3"/>
  <c r="X239" i="3"/>
  <c r="Z239" i="3" s="1"/>
  <c r="N239" i="3"/>
  <c r="L239" i="3"/>
  <c r="B239" i="3"/>
  <c r="X238" i="3"/>
  <c r="T238" i="3"/>
  <c r="Z238" i="3" s="1"/>
  <c r="P238" i="3"/>
  <c r="H238" i="3"/>
  <c r="D238" i="3"/>
  <c r="L238" i="3" s="1"/>
  <c r="N238" i="3" s="1"/>
  <c r="B238" i="3"/>
  <c r="Z237" i="3"/>
  <c r="X237" i="3"/>
  <c r="L237" i="3"/>
  <c r="N237" i="3" s="1"/>
  <c r="B237" i="3"/>
  <c r="Z236" i="3"/>
  <c r="X236" i="3"/>
  <c r="L236" i="3"/>
  <c r="N236" i="3" s="1"/>
  <c r="B236" i="3"/>
  <c r="Z235" i="3"/>
  <c r="X235" i="3"/>
  <c r="L235" i="3"/>
  <c r="N235" i="3" s="1"/>
  <c r="B235" i="3"/>
  <c r="Z234" i="3"/>
  <c r="X234" i="3"/>
  <c r="V234" i="3"/>
  <c r="L234" i="3"/>
  <c r="N234" i="3" s="1"/>
  <c r="B234" i="3"/>
  <c r="Z233" i="3"/>
  <c r="X233" i="3"/>
  <c r="L233" i="3"/>
  <c r="N233" i="3" s="1"/>
  <c r="B233" i="3"/>
  <c r="Z232" i="3"/>
  <c r="X232" i="3"/>
  <c r="N232" i="3"/>
  <c r="L232" i="3"/>
  <c r="B232" i="3"/>
  <c r="T231" i="3"/>
  <c r="Z231" i="3" s="1"/>
  <c r="P231" i="3"/>
  <c r="X231" i="3" s="1"/>
  <c r="H231" i="3"/>
  <c r="D231" i="3"/>
  <c r="L231" i="3" s="1"/>
  <c r="B231" i="3"/>
  <c r="X230" i="3"/>
  <c r="Z230" i="3" s="1"/>
  <c r="L230" i="3"/>
  <c r="N230" i="3" s="1"/>
  <c r="B230" i="3"/>
  <c r="X229" i="3"/>
  <c r="Z229" i="3" s="1"/>
  <c r="L229" i="3"/>
  <c r="N229" i="3" s="1"/>
  <c r="B229" i="3"/>
  <c r="X228" i="3"/>
  <c r="Z228" i="3" s="1"/>
  <c r="V228" i="3"/>
  <c r="N228" i="3"/>
  <c r="L228" i="3"/>
  <c r="B228" i="3"/>
  <c r="X227" i="3"/>
  <c r="Z227" i="3" s="1"/>
  <c r="L227" i="3"/>
  <c r="N227" i="3" s="1"/>
  <c r="B227" i="3"/>
  <c r="T226" i="3"/>
  <c r="P226" i="3"/>
  <c r="X226" i="3" s="1"/>
  <c r="H226" i="3"/>
  <c r="D226" i="3"/>
  <c r="L226" i="3" s="1"/>
  <c r="B226" i="3"/>
  <c r="X225" i="3"/>
  <c r="Z225" i="3" s="1"/>
  <c r="L225" i="3"/>
  <c r="N225" i="3" s="1"/>
  <c r="B225" i="3"/>
  <c r="X224" i="3"/>
  <c r="Z224" i="3" s="1"/>
  <c r="L224" i="3"/>
  <c r="N224" i="3" s="1"/>
  <c r="B224" i="3"/>
  <c r="X223" i="3"/>
  <c r="Z223" i="3" s="1"/>
  <c r="L223" i="3"/>
  <c r="N223" i="3" s="1"/>
  <c r="B223" i="3"/>
  <c r="X222" i="3"/>
  <c r="Z222" i="3" s="1"/>
  <c r="N222" i="3"/>
  <c r="L222" i="3"/>
  <c r="B222" i="3"/>
  <c r="T221" i="3"/>
  <c r="P221" i="3"/>
  <c r="X221" i="3" s="1"/>
  <c r="H221" i="3"/>
  <c r="D221" i="3"/>
  <c r="B221" i="3"/>
  <c r="Z220" i="3"/>
  <c r="X220" i="3"/>
  <c r="N220" i="3"/>
  <c r="L220" i="3"/>
  <c r="B220" i="3"/>
  <c r="T219" i="3"/>
  <c r="P219" i="3"/>
  <c r="X219" i="3" s="1"/>
  <c r="H219" i="3"/>
  <c r="N219" i="3" s="1"/>
  <c r="D219" i="3"/>
  <c r="L219" i="3" s="1"/>
  <c r="B219" i="3"/>
  <c r="Z218" i="3"/>
  <c r="X218" i="3"/>
  <c r="L218" i="3"/>
  <c r="N218" i="3" s="1"/>
  <c r="B218" i="3"/>
  <c r="X217" i="3"/>
  <c r="T217" i="3"/>
  <c r="Z217" i="3" s="1"/>
  <c r="P217" i="3"/>
  <c r="H217" i="3"/>
  <c r="D217" i="3"/>
  <c r="L217" i="3" s="1"/>
  <c r="B217" i="3"/>
  <c r="Z216" i="3"/>
  <c r="X216" i="3"/>
  <c r="N216" i="3"/>
  <c r="L216" i="3"/>
  <c r="B216" i="3"/>
  <c r="T215" i="3"/>
  <c r="X215" i="3" s="1"/>
  <c r="P215" i="3"/>
  <c r="L215" i="3"/>
  <c r="H215" i="3"/>
  <c r="N215" i="3" s="1"/>
  <c r="D215" i="3"/>
  <c r="B215" i="3"/>
  <c r="Z214" i="3"/>
  <c r="X214" i="3"/>
  <c r="V214" i="3"/>
  <c r="N214" i="3"/>
  <c r="L214" i="3"/>
  <c r="B214" i="3"/>
  <c r="T213" i="3"/>
  <c r="Z213" i="3" s="1"/>
  <c r="P213" i="3"/>
  <c r="X213" i="3" s="1"/>
  <c r="H213" i="3"/>
  <c r="D213" i="3"/>
  <c r="B213" i="3"/>
  <c r="Z212" i="3"/>
  <c r="X212" i="3"/>
  <c r="V212" i="3"/>
  <c r="N212" i="3"/>
  <c r="L212" i="3"/>
  <c r="B212" i="3"/>
  <c r="T211" i="3"/>
  <c r="P211" i="3"/>
  <c r="X211" i="3" s="1"/>
  <c r="L211" i="3"/>
  <c r="H211" i="3"/>
  <c r="N211" i="3" s="1"/>
  <c r="D211" i="3"/>
  <c r="B211" i="3"/>
  <c r="X210" i="3"/>
  <c r="Z210" i="3" s="1"/>
  <c r="N210" i="3"/>
  <c r="L210" i="3"/>
  <c r="J210" i="3"/>
  <c r="B210" i="3"/>
  <c r="X209" i="3"/>
  <c r="T209" i="3"/>
  <c r="Z209" i="3" s="1"/>
  <c r="P209" i="3"/>
  <c r="H209" i="3"/>
  <c r="L209" i="3" s="1"/>
  <c r="D209" i="3"/>
  <c r="B209" i="3"/>
  <c r="Z208" i="3"/>
  <c r="X208" i="3"/>
  <c r="N208" i="3"/>
  <c r="L208" i="3"/>
  <c r="B208" i="3"/>
  <c r="X207" i="3"/>
  <c r="Z207" i="3" s="1"/>
  <c r="L207" i="3"/>
  <c r="N207" i="3" s="1"/>
  <c r="B207" i="3"/>
  <c r="V206" i="3"/>
  <c r="T206" i="3"/>
  <c r="X206" i="3" s="1"/>
  <c r="Z206" i="3" s="1"/>
  <c r="P206" i="3"/>
  <c r="H206" i="3"/>
  <c r="D206" i="3"/>
  <c r="L206" i="3" s="1"/>
  <c r="N206" i="3" s="1"/>
  <c r="B206" i="3"/>
  <c r="X205" i="3"/>
  <c r="Z205" i="3" s="1"/>
  <c r="L205" i="3"/>
  <c r="N205" i="3" s="1"/>
  <c r="B205" i="3"/>
  <c r="X204" i="3"/>
  <c r="Z204" i="3" s="1"/>
  <c r="V204" i="3"/>
  <c r="N204" i="3"/>
  <c r="L204" i="3"/>
  <c r="B204" i="3"/>
  <c r="T203" i="3"/>
  <c r="P203" i="3"/>
  <c r="X203" i="3" s="1"/>
  <c r="L203" i="3"/>
  <c r="H203" i="3"/>
  <c r="N203" i="3" s="1"/>
  <c r="D203" i="3"/>
  <c r="B203" i="3"/>
  <c r="X202" i="3"/>
  <c r="Z202" i="3" s="1"/>
  <c r="N202" i="3"/>
  <c r="L202" i="3"/>
  <c r="J202" i="3"/>
  <c r="B202" i="3"/>
  <c r="X201" i="3"/>
  <c r="T201" i="3"/>
  <c r="Z201" i="3" s="1"/>
  <c r="P201" i="3"/>
  <c r="H201" i="3"/>
  <c r="L201" i="3" s="1"/>
  <c r="D201" i="3"/>
  <c r="B201" i="3"/>
  <c r="Z200" i="3"/>
  <c r="X200" i="3"/>
  <c r="N200" i="3"/>
  <c r="L200" i="3"/>
  <c r="B200" i="3"/>
  <c r="X199" i="3"/>
  <c r="T199" i="3"/>
  <c r="Z199" i="3" s="1"/>
  <c r="P199" i="3"/>
  <c r="H199" i="3"/>
  <c r="D199" i="3"/>
  <c r="L199" i="3" s="1"/>
  <c r="B199" i="3"/>
  <c r="Z198" i="3"/>
  <c r="X198" i="3"/>
  <c r="N198" i="3"/>
  <c r="L198" i="3"/>
  <c r="B198" i="3"/>
  <c r="X197" i="3"/>
  <c r="Z197" i="3" s="1"/>
  <c r="L197" i="3"/>
  <c r="N197" i="3" s="1"/>
  <c r="B197" i="3"/>
  <c r="X196" i="3"/>
  <c r="Z196" i="3" s="1"/>
  <c r="V196" i="3"/>
  <c r="N196" i="3"/>
  <c r="L196" i="3"/>
  <c r="B196" i="3"/>
  <c r="T195" i="3"/>
  <c r="P195" i="3"/>
  <c r="X195" i="3" s="1"/>
  <c r="Z195" i="3" s="1"/>
  <c r="L195" i="3"/>
  <c r="H195" i="3"/>
  <c r="N195" i="3" s="1"/>
  <c r="D195" i="3"/>
  <c r="B195" i="3"/>
  <c r="Z194" i="3"/>
  <c r="X194" i="3"/>
  <c r="N194" i="3"/>
  <c r="L194" i="3"/>
  <c r="J194" i="3"/>
  <c r="B194" i="3"/>
  <c r="X193" i="3"/>
  <c r="Z193" i="3" s="1"/>
  <c r="N193" i="3"/>
  <c r="L193" i="3"/>
  <c r="B193" i="3"/>
  <c r="T192" i="3"/>
  <c r="P192" i="3"/>
  <c r="X192" i="3" s="1"/>
  <c r="Z192" i="3" s="1"/>
  <c r="L192" i="3"/>
  <c r="N192" i="3" s="1"/>
  <c r="H192" i="3"/>
  <c r="D192" i="3"/>
  <c r="B192" i="3"/>
  <c r="X191" i="3"/>
  <c r="Z191" i="3" s="1"/>
  <c r="N191" i="3"/>
  <c r="L191" i="3"/>
  <c r="B191" i="3"/>
  <c r="Z190" i="3"/>
  <c r="X190" i="3"/>
  <c r="V190" i="3"/>
  <c r="N190" i="3"/>
  <c r="L190" i="3"/>
  <c r="B190" i="3"/>
  <c r="Z189" i="3"/>
  <c r="X189" i="3"/>
  <c r="L189" i="3"/>
  <c r="N189" i="3" s="1"/>
  <c r="B189" i="3"/>
  <c r="Z188" i="3"/>
  <c r="X188" i="3"/>
  <c r="L188" i="3"/>
  <c r="N188" i="3" s="1"/>
  <c r="B188" i="3"/>
  <c r="X187" i="3"/>
  <c r="T187" i="3"/>
  <c r="Z187" i="3" s="1"/>
  <c r="P187" i="3"/>
  <c r="H187" i="3"/>
  <c r="D187" i="3"/>
  <c r="L187" i="3" s="1"/>
  <c r="B187" i="3"/>
  <c r="Z186" i="3"/>
  <c r="X186" i="3"/>
  <c r="L186" i="3"/>
  <c r="N186" i="3" s="1"/>
  <c r="B186" i="3"/>
  <c r="X185" i="3"/>
  <c r="T185" i="3"/>
  <c r="Z185" i="3" s="1"/>
  <c r="P185" i="3"/>
  <c r="H185" i="3"/>
  <c r="D185" i="3"/>
  <c r="L185" i="3" s="1"/>
  <c r="N185" i="3" s="1"/>
  <c r="B185" i="3"/>
  <c r="Z184" i="3"/>
  <c r="X184" i="3"/>
  <c r="N184" i="3"/>
  <c r="L184" i="3"/>
  <c r="B184" i="3"/>
  <c r="X183" i="3"/>
  <c r="Z183" i="3" s="1"/>
  <c r="L183" i="3"/>
  <c r="N183" i="3" s="1"/>
  <c r="B183" i="3"/>
  <c r="X182" i="3"/>
  <c r="Z182" i="3" s="1"/>
  <c r="T182" i="3"/>
  <c r="P182" i="3"/>
  <c r="H182" i="3"/>
  <c r="D182" i="3"/>
  <c r="L182" i="3" s="1"/>
  <c r="N182" i="3" s="1"/>
  <c r="B182" i="3"/>
  <c r="Z181" i="3"/>
  <c r="X181" i="3"/>
  <c r="L181" i="3"/>
  <c r="N181" i="3" s="1"/>
  <c r="B181" i="3"/>
  <c r="T180" i="3"/>
  <c r="P180" i="3"/>
  <c r="J180" i="3"/>
  <c r="H180" i="3"/>
  <c r="D180" i="3"/>
  <c r="L180" i="3" s="1"/>
  <c r="N180" i="3" s="1"/>
  <c r="B180" i="3"/>
  <c r="Z179" i="3"/>
  <c r="X179" i="3"/>
  <c r="N179" i="3"/>
  <c r="L179" i="3"/>
  <c r="B179" i="3"/>
  <c r="Z178" i="3"/>
  <c r="X178" i="3"/>
  <c r="N178" i="3"/>
  <c r="L178" i="3"/>
  <c r="B178" i="3"/>
  <c r="X177" i="3"/>
  <c r="Z177" i="3" s="1"/>
  <c r="L177" i="3"/>
  <c r="N177" i="3" s="1"/>
  <c r="B177" i="3"/>
  <c r="X176" i="3"/>
  <c r="Z176" i="3" s="1"/>
  <c r="V176" i="3"/>
  <c r="N176" i="3"/>
  <c r="L176" i="3"/>
  <c r="B176" i="3"/>
  <c r="Z175" i="3"/>
  <c r="X175" i="3"/>
  <c r="N175" i="3"/>
  <c r="L175" i="3"/>
  <c r="B175" i="3"/>
  <c r="Z174" i="3"/>
  <c r="X174" i="3"/>
  <c r="L174" i="3"/>
  <c r="N174" i="3" s="1"/>
  <c r="B174" i="3"/>
  <c r="X173" i="3"/>
  <c r="Z173" i="3" s="1"/>
  <c r="L173" i="3"/>
  <c r="N173" i="3" s="1"/>
  <c r="B173" i="3"/>
  <c r="Z172" i="3"/>
  <c r="X172" i="3"/>
  <c r="V172" i="3"/>
  <c r="N172" i="3"/>
  <c r="L172" i="3"/>
  <c r="B172" i="3"/>
  <c r="X171" i="3"/>
  <c r="Z171" i="3" s="1"/>
  <c r="L171" i="3"/>
  <c r="N171" i="3" s="1"/>
  <c r="B171" i="3"/>
  <c r="Z170" i="3"/>
  <c r="X170" i="3"/>
  <c r="L170" i="3"/>
  <c r="N170" i="3" s="1"/>
  <c r="B170" i="3"/>
  <c r="X169" i="3"/>
  <c r="T169" i="3"/>
  <c r="Z169" i="3" s="1"/>
  <c r="P169" i="3"/>
  <c r="H169" i="3"/>
  <c r="N169" i="3" s="1"/>
  <c r="D169" i="3"/>
  <c r="L169" i="3" s="1"/>
  <c r="B169" i="3"/>
  <c r="Z168" i="3"/>
  <c r="X168" i="3"/>
  <c r="N168" i="3"/>
  <c r="L168" i="3"/>
  <c r="B168" i="3"/>
  <c r="X167" i="3"/>
  <c r="Z167" i="3" s="1"/>
  <c r="L167" i="3"/>
  <c r="N167" i="3" s="1"/>
  <c r="B167" i="3"/>
  <c r="X166" i="3"/>
  <c r="Z166" i="3" s="1"/>
  <c r="N166" i="3"/>
  <c r="L166" i="3"/>
  <c r="J166" i="3"/>
  <c r="B166" i="3"/>
  <c r="Z165" i="3"/>
  <c r="X165" i="3"/>
  <c r="N165" i="3"/>
  <c r="L165" i="3"/>
  <c r="B165" i="3"/>
  <c r="Z164" i="3"/>
  <c r="X164" i="3"/>
  <c r="N164" i="3"/>
  <c r="L164" i="3"/>
  <c r="B164" i="3"/>
  <c r="X163" i="3"/>
  <c r="Z163" i="3" s="1"/>
  <c r="L163" i="3"/>
  <c r="N163" i="3" s="1"/>
  <c r="B163" i="3"/>
  <c r="X162" i="3"/>
  <c r="Z162" i="3" s="1"/>
  <c r="N162" i="3"/>
  <c r="L162" i="3"/>
  <c r="J162" i="3"/>
  <c r="B162" i="3"/>
  <c r="X161" i="3"/>
  <c r="Z161" i="3" s="1"/>
  <c r="L161" i="3"/>
  <c r="N161" i="3" s="1"/>
  <c r="B161" i="3"/>
  <c r="Z160" i="3"/>
  <c r="X160" i="3"/>
  <c r="N160" i="3"/>
  <c r="L160" i="3"/>
  <c r="B160" i="3"/>
  <c r="X159" i="3"/>
  <c r="Z159" i="3" s="1"/>
  <c r="L159" i="3"/>
  <c r="N159" i="3" s="1"/>
  <c r="B159" i="3"/>
  <c r="X158" i="3"/>
  <c r="T158" i="3"/>
  <c r="Z158" i="3" s="1"/>
  <c r="P158" i="3"/>
  <c r="H158" i="3"/>
  <c r="D158" i="3"/>
  <c r="L158" i="3" s="1"/>
  <c r="N158" i="3" s="1"/>
  <c r="B158" i="3"/>
  <c r="T157" i="3"/>
  <c r="P157" i="3"/>
  <c r="H157" i="3"/>
  <c r="D157" i="3"/>
  <c r="T155" i="3"/>
  <c r="Z153" i="3"/>
  <c r="X153" i="3"/>
  <c r="N153" i="3"/>
  <c r="L153" i="3"/>
  <c r="B153" i="3"/>
  <c r="Z152" i="3"/>
  <c r="X152" i="3"/>
  <c r="N152" i="3"/>
  <c r="L152" i="3"/>
  <c r="B152" i="3"/>
  <c r="Z151" i="3"/>
  <c r="X151" i="3"/>
  <c r="N151" i="3"/>
  <c r="L151" i="3"/>
  <c r="B151" i="3"/>
  <c r="Z150" i="3"/>
  <c r="X150" i="3"/>
  <c r="V150" i="3"/>
  <c r="N150" i="3"/>
  <c r="L150" i="3"/>
  <c r="B150" i="3"/>
  <c r="Z149" i="3"/>
  <c r="X149" i="3"/>
  <c r="N149" i="3"/>
  <c r="L149" i="3"/>
  <c r="B149" i="3"/>
  <c r="Z148" i="3"/>
  <c r="X148" i="3"/>
  <c r="N148" i="3"/>
  <c r="L148" i="3"/>
  <c r="B148" i="3"/>
  <c r="Z147" i="3"/>
  <c r="X147" i="3"/>
  <c r="N147" i="3"/>
  <c r="L147" i="3"/>
  <c r="B147" i="3"/>
  <c r="Z146" i="3"/>
  <c r="X146" i="3"/>
  <c r="V146" i="3"/>
  <c r="N146" i="3"/>
  <c r="L146" i="3"/>
  <c r="B146" i="3"/>
  <c r="Z145" i="3"/>
  <c r="X145" i="3"/>
  <c r="N145" i="3"/>
  <c r="L145" i="3"/>
  <c r="B145" i="3"/>
  <c r="Z144" i="3"/>
  <c r="X144" i="3"/>
  <c r="N144" i="3"/>
  <c r="L144" i="3"/>
  <c r="B144" i="3"/>
  <c r="Z143" i="3"/>
  <c r="X143" i="3"/>
  <c r="N143" i="3"/>
  <c r="L143" i="3"/>
  <c r="B143" i="3"/>
  <c r="Z142" i="3"/>
  <c r="X142" i="3"/>
  <c r="V142" i="3"/>
  <c r="N142" i="3"/>
  <c r="L142" i="3"/>
  <c r="B142" i="3"/>
  <c r="Z141" i="3"/>
  <c r="X141" i="3"/>
  <c r="N141" i="3"/>
  <c r="L141" i="3"/>
  <c r="B141" i="3"/>
  <c r="Z140" i="3"/>
  <c r="X140" i="3"/>
  <c r="N140" i="3"/>
  <c r="L140" i="3"/>
  <c r="B140" i="3"/>
  <c r="Z139" i="3"/>
  <c r="X139" i="3"/>
  <c r="N139" i="3"/>
  <c r="L139" i="3"/>
  <c r="B139" i="3"/>
  <c r="Z138" i="3"/>
  <c r="X138" i="3"/>
  <c r="V138" i="3"/>
  <c r="N138" i="3"/>
  <c r="L138" i="3"/>
  <c r="B138" i="3"/>
  <c r="Z137" i="3"/>
  <c r="X137" i="3"/>
  <c r="N137" i="3"/>
  <c r="L137" i="3"/>
  <c r="B137" i="3"/>
  <c r="Z136" i="3"/>
  <c r="X136" i="3"/>
  <c r="N136" i="3"/>
  <c r="L136" i="3"/>
  <c r="B136" i="3"/>
  <c r="Z135" i="3"/>
  <c r="X135" i="3"/>
  <c r="N135" i="3"/>
  <c r="L135" i="3"/>
  <c r="B135" i="3"/>
  <c r="Z134" i="3"/>
  <c r="X134" i="3"/>
  <c r="V134" i="3"/>
  <c r="N134" i="3"/>
  <c r="L134" i="3"/>
  <c r="B134" i="3"/>
  <c r="Z133" i="3"/>
  <c r="X133" i="3"/>
  <c r="N133" i="3"/>
  <c r="L133" i="3"/>
  <c r="B133" i="3"/>
  <c r="Z132" i="3"/>
  <c r="X132" i="3"/>
  <c r="N132" i="3"/>
  <c r="L132" i="3"/>
  <c r="B132" i="3"/>
  <c r="Z131" i="3"/>
  <c r="X131" i="3"/>
  <c r="N131" i="3"/>
  <c r="L131" i="3"/>
  <c r="B131" i="3"/>
  <c r="Z130" i="3"/>
  <c r="X130" i="3"/>
  <c r="V130" i="3"/>
  <c r="N130" i="3"/>
  <c r="L130" i="3"/>
  <c r="B130" i="3"/>
  <c r="Z129" i="3"/>
  <c r="X129" i="3"/>
  <c r="N129" i="3"/>
  <c r="L129" i="3"/>
  <c r="B129" i="3"/>
  <c r="Z128" i="3"/>
  <c r="X128" i="3"/>
  <c r="N128" i="3"/>
  <c r="L128" i="3"/>
  <c r="B128" i="3"/>
  <c r="Z127" i="3"/>
  <c r="X127" i="3"/>
  <c r="N127" i="3"/>
  <c r="L127" i="3"/>
  <c r="B127" i="3"/>
  <c r="Z126" i="3"/>
  <c r="X126" i="3"/>
  <c r="V126" i="3"/>
  <c r="N126" i="3"/>
  <c r="L126" i="3"/>
  <c r="B126" i="3"/>
  <c r="Z125" i="3"/>
  <c r="X125" i="3"/>
  <c r="N125" i="3"/>
  <c r="L125" i="3"/>
  <c r="B125" i="3"/>
  <c r="Z124" i="3"/>
  <c r="X124" i="3"/>
  <c r="N124" i="3"/>
  <c r="L124" i="3"/>
  <c r="B124" i="3"/>
  <c r="Z123" i="3"/>
  <c r="X123" i="3"/>
  <c r="N123" i="3"/>
  <c r="L123" i="3"/>
  <c r="B123" i="3"/>
  <c r="Z122" i="3"/>
  <c r="X122" i="3"/>
  <c r="V122" i="3"/>
  <c r="N122" i="3"/>
  <c r="L122" i="3"/>
  <c r="B122" i="3"/>
  <c r="Z121" i="3"/>
  <c r="X121" i="3"/>
  <c r="N121" i="3"/>
  <c r="L121" i="3"/>
  <c r="B121" i="3"/>
  <c r="Z120" i="3"/>
  <c r="X120" i="3"/>
  <c r="N120" i="3"/>
  <c r="L120" i="3"/>
  <c r="B120" i="3"/>
  <c r="Z119" i="3"/>
  <c r="X119" i="3"/>
  <c r="N119" i="3"/>
  <c r="L119" i="3"/>
  <c r="B119" i="3"/>
  <c r="Z118" i="3"/>
  <c r="X118" i="3"/>
  <c r="V118" i="3"/>
  <c r="N118" i="3"/>
  <c r="L118" i="3"/>
  <c r="B118" i="3"/>
  <c r="Z117" i="3"/>
  <c r="X117" i="3"/>
  <c r="N117" i="3"/>
  <c r="L117" i="3"/>
  <c r="B117" i="3"/>
  <c r="Z116" i="3"/>
  <c r="X116" i="3"/>
  <c r="N116" i="3"/>
  <c r="L116" i="3"/>
  <c r="B116" i="3"/>
  <c r="Z115" i="3"/>
  <c r="X115" i="3"/>
  <c r="N115" i="3"/>
  <c r="L115" i="3"/>
  <c r="B115" i="3"/>
  <c r="Z114" i="3"/>
  <c r="X114" i="3"/>
  <c r="V114" i="3"/>
  <c r="N114" i="3"/>
  <c r="L114" i="3"/>
  <c r="B114" i="3"/>
  <c r="Z113" i="3"/>
  <c r="X113" i="3"/>
  <c r="N113" i="3"/>
  <c r="L113" i="3"/>
  <c r="B113" i="3"/>
  <c r="Z112" i="3"/>
  <c r="X112" i="3"/>
  <c r="N112" i="3"/>
  <c r="L112" i="3"/>
  <c r="B112" i="3"/>
  <c r="Z111" i="3"/>
  <c r="X111" i="3"/>
  <c r="N111" i="3"/>
  <c r="L111" i="3"/>
  <c r="B111" i="3"/>
  <c r="Z110" i="3"/>
  <c r="X110" i="3"/>
  <c r="V110" i="3"/>
  <c r="N110" i="3"/>
  <c r="L110" i="3"/>
  <c r="B110" i="3"/>
  <c r="Z109" i="3"/>
  <c r="X109" i="3"/>
  <c r="N109" i="3"/>
  <c r="L109" i="3"/>
  <c r="B109" i="3"/>
  <c r="Z108" i="3"/>
  <c r="X108" i="3"/>
  <c r="L108" i="3"/>
  <c r="N108" i="3" s="1"/>
  <c r="B108" i="3"/>
  <c r="T107" i="3"/>
  <c r="P107" i="3"/>
  <c r="X107" i="3" s="1"/>
  <c r="H107" i="3"/>
  <c r="D107" i="3"/>
  <c r="L107" i="3" s="1"/>
  <c r="Z105" i="3"/>
  <c r="P105" i="3"/>
  <c r="X105" i="3" s="1"/>
  <c r="N105" i="3"/>
  <c r="D105" i="3"/>
  <c r="L105" i="3" s="1"/>
  <c r="B105" i="3"/>
  <c r="Z104" i="3"/>
  <c r="P104" i="3"/>
  <c r="X104" i="3" s="1"/>
  <c r="N104" i="3"/>
  <c r="L104" i="3"/>
  <c r="D104" i="3"/>
  <c r="B104" i="3"/>
  <c r="Z103" i="3"/>
  <c r="X103" i="3"/>
  <c r="P103" i="3"/>
  <c r="N103" i="3"/>
  <c r="D103" i="3"/>
  <c r="L103" i="3" s="1"/>
  <c r="B103" i="3"/>
  <c r="Z102" i="3"/>
  <c r="P102" i="3"/>
  <c r="X102" i="3" s="1"/>
  <c r="N102" i="3"/>
  <c r="D102" i="3"/>
  <c r="L102" i="3" s="1"/>
  <c r="B102" i="3"/>
  <c r="Z101" i="3"/>
  <c r="X101" i="3"/>
  <c r="P101" i="3"/>
  <c r="N101" i="3"/>
  <c r="D101" i="3"/>
  <c r="L101" i="3" s="1"/>
  <c r="B101" i="3"/>
  <c r="Z100" i="3"/>
  <c r="P100" i="3"/>
  <c r="X100" i="3" s="1"/>
  <c r="N100" i="3"/>
  <c r="L100" i="3"/>
  <c r="D100" i="3"/>
  <c r="B100" i="3"/>
  <c r="Z99" i="3"/>
  <c r="P99" i="3"/>
  <c r="X99" i="3" s="1"/>
  <c r="N99" i="3"/>
  <c r="D99" i="3"/>
  <c r="L99" i="3" s="1"/>
  <c r="B99" i="3"/>
  <c r="Z98" i="3"/>
  <c r="X98" i="3"/>
  <c r="P98" i="3"/>
  <c r="N98" i="3"/>
  <c r="L98" i="3"/>
  <c r="D98" i="3"/>
  <c r="B98" i="3"/>
  <c r="Z97" i="3"/>
  <c r="X97" i="3"/>
  <c r="P97" i="3"/>
  <c r="N97" i="3"/>
  <c r="D97" i="3"/>
  <c r="L97" i="3" s="1"/>
  <c r="B97" i="3"/>
  <c r="Z96" i="3"/>
  <c r="P96" i="3"/>
  <c r="X96" i="3" s="1"/>
  <c r="N96" i="3"/>
  <c r="D96" i="3"/>
  <c r="L96" i="3" s="1"/>
  <c r="B96" i="3"/>
  <c r="Z95" i="3"/>
  <c r="X95" i="3"/>
  <c r="P95" i="3"/>
  <c r="N95" i="3"/>
  <c r="L95" i="3"/>
  <c r="D95" i="3"/>
  <c r="B95" i="3"/>
  <c r="Z94" i="3"/>
  <c r="P94" i="3"/>
  <c r="X94" i="3" s="1"/>
  <c r="N94" i="3"/>
  <c r="L94" i="3"/>
  <c r="D94" i="3"/>
  <c r="B94" i="3"/>
  <c r="Z93" i="3"/>
  <c r="P93" i="3"/>
  <c r="X93" i="3" s="1"/>
  <c r="N93" i="3"/>
  <c r="D93" i="3"/>
  <c r="L93" i="3" s="1"/>
  <c r="B93" i="3"/>
  <c r="Z92" i="3"/>
  <c r="P92" i="3"/>
  <c r="X92" i="3" s="1"/>
  <c r="N92" i="3"/>
  <c r="L92" i="3"/>
  <c r="D92" i="3"/>
  <c r="B92" i="3"/>
  <c r="Z91" i="3"/>
  <c r="X91" i="3"/>
  <c r="P91" i="3"/>
  <c r="N91" i="3"/>
  <c r="L91" i="3"/>
  <c r="D91" i="3"/>
  <c r="B91" i="3"/>
  <c r="Z90" i="3"/>
  <c r="P90" i="3"/>
  <c r="X90" i="3" s="1"/>
  <c r="N90" i="3"/>
  <c r="D90" i="3"/>
  <c r="L90" i="3" s="1"/>
  <c r="B90" i="3"/>
  <c r="Z89" i="3"/>
  <c r="X89" i="3"/>
  <c r="P89" i="3"/>
  <c r="N89" i="3"/>
  <c r="D89" i="3"/>
  <c r="L89" i="3" s="1"/>
  <c r="B89" i="3"/>
  <c r="Z88" i="3"/>
  <c r="P88" i="3"/>
  <c r="X88" i="3" s="1"/>
  <c r="N88" i="3"/>
  <c r="L88" i="3"/>
  <c r="D88" i="3"/>
  <c r="B88" i="3"/>
  <c r="Z87" i="3"/>
  <c r="P87" i="3"/>
  <c r="X87" i="3" s="1"/>
  <c r="N87" i="3"/>
  <c r="D87" i="3"/>
  <c r="L87" i="3" s="1"/>
  <c r="B87" i="3"/>
  <c r="Z86" i="3"/>
  <c r="X86" i="3"/>
  <c r="P86" i="3"/>
  <c r="N86" i="3"/>
  <c r="L86" i="3"/>
  <c r="D86" i="3"/>
  <c r="B86" i="3"/>
  <c r="Z85" i="3"/>
  <c r="X85" i="3"/>
  <c r="P85" i="3"/>
  <c r="N85" i="3"/>
  <c r="D85" i="3"/>
  <c r="L85" i="3" s="1"/>
  <c r="B85" i="3"/>
  <c r="Z84" i="3"/>
  <c r="P84" i="3"/>
  <c r="X84" i="3" s="1"/>
  <c r="N84" i="3"/>
  <c r="D84" i="3"/>
  <c r="L84" i="3" s="1"/>
  <c r="B84" i="3"/>
  <c r="Z83" i="3"/>
  <c r="X83" i="3"/>
  <c r="P83" i="3"/>
  <c r="N83" i="3"/>
  <c r="L83" i="3"/>
  <c r="D83" i="3"/>
  <c r="B83" i="3"/>
  <c r="Z82" i="3"/>
  <c r="X82" i="3"/>
  <c r="P82" i="3"/>
  <c r="N82" i="3"/>
  <c r="L82" i="3"/>
  <c r="D82" i="3"/>
  <c r="B82" i="3"/>
  <c r="Z81" i="3"/>
  <c r="P81" i="3"/>
  <c r="X81" i="3" s="1"/>
  <c r="N81" i="3"/>
  <c r="D81" i="3"/>
  <c r="L81" i="3" s="1"/>
  <c r="B81" i="3"/>
  <c r="Z80" i="3"/>
  <c r="P80" i="3"/>
  <c r="X80" i="3" s="1"/>
  <c r="N80" i="3"/>
  <c r="L80" i="3"/>
  <c r="D80" i="3"/>
  <c r="B80" i="3"/>
  <c r="Z79" i="3"/>
  <c r="X79" i="3"/>
  <c r="P79" i="3"/>
  <c r="N79" i="3"/>
  <c r="L79" i="3"/>
  <c r="D79" i="3"/>
  <c r="B79" i="3"/>
  <c r="Z78" i="3"/>
  <c r="P78" i="3"/>
  <c r="X78" i="3" s="1"/>
  <c r="N78" i="3"/>
  <c r="D78" i="3"/>
  <c r="L78" i="3" s="1"/>
  <c r="B78" i="3"/>
  <c r="Z77" i="3"/>
  <c r="X77" i="3"/>
  <c r="P77" i="3"/>
  <c r="N77" i="3"/>
  <c r="D77" i="3"/>
  <c r="L77" i="3" s="1"/>
  <c r="B77" i="3"/>
  <c r="Z76" i="3"/>
  <c r="P76" i="3"/>
  <c r="X76" i="3" s="1"/>
  <c r="N76" i="3"/>
  <c r="L76" i="3"/>
  <c r="D76" i="3"/>
  <c r="B76" i="3"/>
  <c r="Z75" i="3"/>
  <c r="P75" i="3"/>
  <c r="X75" i="3" s="1"/>
  <c r="N75" i="3"/>
  <c r="D75" i="3"/>
  <c r="L75" i="3" s="1"/>
  <c r="B75" i="3"/>
  <c r="Z74" i="3"/>
  <c r="X74" i="3"/>
  <c r="P74" i="3"/>
  <c r="N74" i="3"/>
  <c r="L74" i="3"/>
  <c r="D74" i="3"/>
  <c r="B74" i="3"/>
  <c r="Z73" i="3"/>
  <c r="X73" i="3"/>
  <c r="P73" i="3"/>
  <c r="N73" i="3"/>
  <c r="L73" i="3"/>
  <c r="D73" i="3"/>
  <c r="B73" i="3"/>
  <c r="Z72" i="3"/>
  <c r="P72" i="3"/>
  <c r="X72" i="3" s="1"/>
  <c r="N72" i="3"/>
  <c r="D72" i="3"/>
  <c r="L72" i="3" s="1"/>
  <c r="B72" i="3"/>
  <c r="Z71" i="3"/>
  <c r="X71" i="3"/>
  <c r="P71" i="3"/>
  <c r="N71" i="3"/>
  <c r="L71" i="3"/>
  <c r="D71" i="3"/>
  <c r="B71" i="3"/>
  <c r="Z70" i="3"/>
  <c r="P70" i="3"/>
  <c r="X70" i="3" s="1"/>
  <c r="N70" i="3"/>
  <c r="L70" i="3"/>
  <c r="D70" i="3"/>
  <c r="B70" i="3"/>
  <c r="Z69" i="3"/>
  <c r="P69" i="3"/>
  <c r="X69" i="3" s="1"/>
  <c r="N69" i="3"/>
  <c r="D69" i="3"/>
  <c r="L69" i="3" s="1"/>
  <c r="B69" i="3"/>
  <c r="Z68" i="3"/>
  <c r="P68" i="3"/>
  <c r="X68" i="3" s="1"/>
  <c r="N68" i="3"/>
  <c r="L68" i="3"/>
  <c r="D68" i="3"/>
  <c r="B68" i="3"/>
  <c r="Z67" i="3"/>
  <c r="X67" i="3"/>
  <c r="P67" i="3"/>
  <c r="N67" i="3"/>
  <c r="L67" i="3"/>
  <c r="D67" i="3"/>
  <c r="B67" i="3"/>
  <c r="Z66" i="3"/>
  <c r="P66" i="3"/>
  <c r="X66" i="3" s="1"/>
  <c r="N66" i="3"/>
  <c r="D66" i="3"/>
  <c r="L66" i="3" s="1"/>
  <c r="B66" i="3"/>
  <c r="Z65" i="3"/>
  <c r="X65" i="3"/>
  <c r="P65" i="3"/>
  <c r="N65" i="3"/>
  <c r="D65" i="3"/>
  <c r="L65" i="3" s="1"/>
  <c r="B65" i="3"/>
  <c r="Z64" i="3"/>
  <c r="X64" i="3"/>
  <c r="P64" i="3"/>
  <c r="N64" i="3"/>
  <c r="L64" i="3"/>
  <c r="D64" i="3"/>
  <c r="B64" i="3"/>
  <c r="Z63" i="3"/>
  <c r="P63" i="3"/>
  <c r="X63" i="3" s="1"/>
  <c r="N63" i="3"/>
  <c r="D63" i="3"/>
  <c r="L63" i="3" s="1"/>
  <c r="B63" i="3"/>
  <c r="Z62" i="3"/>
  <c r="X62" i="3"/>
  <c r="P62" i="3"/>
  <c r="N62" i="3"/>
  <c r="L62" i="3"/>
  <c r="D62" i="3"/>
  <c r="B62" i="3"/>
  <c r="Z61" i="3"/>
  <c r="X61" i="3"/>
  <c r="P61" i="3"/>
  <c r="N61" i="3"/>
  <c r="L61" i="3"/>
  <c r="D61" i="3"/>
  <c r="B61" i="3"/>
  <c r="Z60" i="3"/>
  <c r="P60" i="3"/>
  <c r="X60" i="3" s="1"/>
  <c r="N60" i="3"/>
  <c r="D60" i="3"/>
  <c r="L60" i="3" s="1"/>
  <c r="B60" i="3"/>
  <c r="Z59" i="3"/>
  <c r="X59" i="3"/>
  <c r="P59" i="3"/>
  <c r="N59" i="3"/>
  <c r="L59" i="3"/>
  <c r="D59" i="3"/>
  <c r="B59" i="3"/>
  <c r="Z58" i="3"/>
  <c r="X58" i="3"/>
  <c r="P58" i="3"/>
  <c r="N58" i="3"/>
  <c r="L58" i="3"/>
  <c r="D58" i="3"/>
  <c r="B58" i="3"/>
  <c r="Z57" i="3"/>
  <c r="P57" i="3"/>
  <c r="X57" i="3" s="1"/>
  <c r="N57" i="3"/>
  <c r="D57" i="3"/>
  <c r="L57" i="3" s="1"/>
  <c r="B57" i="3"/>
  <c r="Z56" i="3"/>
  <c r="P56" i="3"/>
  <c r="X56" i="3" s="1"/>
  <c r="N56" i="3"/>
  <c r="L56" i="3"/>
  <c r="D56" i="3"/>
  <c r="B56" i="3"/>
  <c r="Z55" i="3"/>
  <c r="X55" i="3"/>
  <c r="P55" i="3"/>
  <c r="N55" i="3"/>
  <c r="L55" i="3"/>
  <c r="D55" i="3"/>
  <c r="B55" i="3"/>
  <c r="Z54" i="3"/>
  <c r="P54" i="3"/>
  <c r="X54" i="3" s="1"/>
  <c r="N54" i="3"/>
  <c r="D54" i="3"/>
  <c r="L54" i="3" s="1"/>
  <c r="B54" i="3"/>
  <c r="X53" i="3"/>
  <c r="Z53" i="3" s="1"/>
  <c r="P53" i="3"/>
  <c r="D53" i="3"/>
  <c r="L53" i="3" s="1"/>
  <c r="N53" i="3" s="1"/>
  <c r="B53" i="3"/>
  <c r="Z52" i="3"/>
  <c r="X52" i="3"/>
  <c r="P52" i="3"/>
  <c r="N52" i="3"/>
  <c r="L52" i="3"/>
  <c r="D52" i="3"/>
  <c r="B52" i="3"/>
  <c r="Z51" i="3"/>
  <c r="P51" i="3"/>
  <c r="X51" i="3" s="1"/>
  <c r="N51" i="3"/>
  <c r="D51" i="3"/>
  <c r="L51" i="3" s="1"/>
  <c r="B51" i="3"/>
  <c r="Z50" i="3"/>
  <c r="X50" i="3"/>
  <c r="P50" i="3"/>
  <c r="N50" i="3"/>
  <c r="L50" i="3"/>
  <c r="D50" i="3"/>
  <c r="B50" i="3"/>
  <c r="Z49" i="3"/>
  <c r="X49" i="3"/>
  <c r="P49" i="3"/>
  <c r="N49" i="3"/>
  <c r="L49" i="3"/>
  <c r="D49" i="3"/>
  <c r="B49" i="3"/>
  <c r="Z48" i="3"/>
  <c r="P48" i="3"/>
  <c r="X48" i="3" s="1"/>
  <c r="N48" i="3"/>
  <c r="D48" i="3"/>
  <c r="L48" i="3" s="1"/>
  <c r="B48" i="3"/>
  <c r="Z47" i="3"/>
  <c r="X47" i="3"/>
  <c r="P47" i="3"/>
  <c r="N47" i="3"/>
  <c r="L47" i="3"/>
  <c r="D47" i="3"/>
  <c r="B47" i="3"/>
  <c r="Z46" i="3"/>
  <c r="X46" i="3"/>
  <c r="P46" i="3"/>
  <c r="N46" i="3"/>
  <c r="L46" i="3"/>
  <c r="D46" i="3"/>
  <c r="B46" i="3"/>
  <c r="Z45" i="3"/>
  <c r="P45" i="3"/>
  <c r="X45" i="3" s="1"/>
  <c r="N45" i="3"/>
  <c r="D45" i="3"/>
  <c r="L45" i="3" s="1"/>
  <c r="B45" i="3"/>
  <c r="Z44" i="3"/>
  <c r="P44" i="3"/>
  <c r="X44" i="3" s="1"/>
  <c r="N44" i="3"/>
  <c r="L44" i="3"/>
  <c r="D44" i="3"/>
  <c r="B44" i="3"/>
  <c r="Z43" i="3"/>
  <c r="X43" i="3"/>
  <c r="P43" i="3"/>
  <c r="N43" i="3"/>
  <c r="L43" i="3"/>
  <c r="D43" i="3"/>
  <c r="B43" i="3"/>
  <c r="Z42" i="3"/>
  <c r="P42" i="3"/>
  <c r="X42" i="3" s="1"/>
  <c r="N42" i="3"/>
  <c r="D42" i="3"/>
  <c r="L42" i="3" s="1"/>
  <c r="B42" i="3"/>
  <c r="Z41" i="3"/>
  <c r="X41" i="3"/>
  <c r="P41" i="3"/>
  <c r="N41" i="3"/>
  <c r="D41" i="3"/>
  <c r="L41" i="3" s="1"/>
  <c r="B41" i="3"/>
  <c r="Z40" i="3"/>
  <c r="P40" i="3"/>
  <c r="X40" i="3" s="1"/>
  <c r="N40" i="3"/>
  <c r="L40" i="3"/>
  <c r="D40" i="3"/>
  <c r="B40" i="3"/>
  <c r="Z39" i="3"/>
  <c r="P39" i="3"/>
  <c r="X39" i="3" s="1"/>
  <c r="N39" i="3"/>
  <c r="D39" i="3"/>
  <c r="L39" i="3" s="1"/>
  <c r="B39" i="3"/>
  <c r="Z38" i="3"/>
  <c r="X38" i="3"/>
  <c r="P38" i="3"/>
  <c r="N38" i="3"/>
  <c r="L38" i="3"/>
  <c r="D38" i="3"/>
  <c r="B38" i="3"/>
  <c r="Z37" i="3"/>
  <c r="X37" i="3"/>
  <c r="P37" i="3"/>
  <c r="N37" i="3"/>
  <c r="L37" i="3"/>
  <c r="D37" i="3"/>
  <c r="B37" i="3"/>
  <c r="Z36" i="3"/>
  <c r="P36" i="3"/>
  <c r="X36" i="3" s="1"/>
  <c r="N36" i="3"/>
  <c r="D36" i="3"/>
  <c r="L36" i="3" s="1"/>
  <c r="B36" i="3"/>
  <c r="Z35" i="3"/>
  <c r="X35" i="3"/>
  <c r="P35" i="3"/>
  <c r="N35" i="3"/>
  <c r="L35" i="3"/>
  <c r="D35" i="3"/>
  <c r="B35" i="3"/>
  <c r="Z34" i="3"/>
  <c r="X34" i="3"/>
  <c r="P34" i="3"/>
  <c r="N34" i="3"/>
  <c r="L34" i="3"/>
  <c r="D34" i="3"/>
  <c r="B34" i="3"/>
  <c r="Z33" i="3"/>
  <c r="P33" i="3"/>
  <c r="X33" i="3" s="1"/>
  <c r="N33" i="3"/>
  <c r="D33" i="3"/>
  <c r="L33" i="3" s="1"/>
  <c r="B33" i="3"/>
  <c r="Z32" i="3"/>
  <c r="P32" i="3"/>
  <c r="X32" i="3" s="1"/>
  <c r="N32" i="3"/>
  <c r="L32" i="3"/>
  <c r="D32" i="3"/>
  <c r="B32" i="3"/>
  <c r="Z31" i="3"/>
  <c r="X31" i="3"/>
  <c r="P31" i="3"/>
  <c r="N31" i="3"/>
  <c r="L31" i="3"/>
  <c r="D31" i="3"/>
  <c r="B31" i="3"/>
  <c r="Z30" i="3"/>
  <c r="P30" i="3"/>
  <c r="X30" i="3" s="1"/>
  <c r="N30" i="3"/>
  <c r="D30" i="3"/>
  <c r="L30" i="3" s="1"/>
  <c r="B30" i="3"/>
  <c r="Z29" i="3"/>
  <c r="P29" i="3"/>
  <c r="X29" i="3" s="1"/>
  <c r="N29" i="3"/>
  <c r="D29" i="3"/>
  <c r="L29" i="3" s="1"/>
  <c r="B29" i="3"/>
  <c r="Z28" i="3"/>
  <c r="X28" i="3"/>
  <c r="P28" i="3"/>
  <c r="N28" i="3"/>
  <c r="L28" i="3"/>
  <c r="D28" i="3"/>
  <c r="B28" i="3"/>
  <c r="Z27" i="3"/>
  <c r="P27" i="3"/>
  <c r="X27" i="3" s="1"/>
  <c r="N27" i="3"/>
  <c r="D27" i="3"/>
  <c r="L27" i="3" s="1"/>
  <c r="B27" i="3"/>
  <c r="Z26" i="3"/>
  <c r="P26" i="3"/>
  <c r="X26" i="3" s="1"/>
  <c r="N26" i="3"/>
  <c r="D26" i="3"/>
  <c r="L26" i="3" s="1"/>
  <c r="B26" i="3"/>
  <c r="Z25" i="3"/>
  <c r="X25" i="3"/>
  <c r="P25" i="3"/>
  <c r="N25" i="3"/>
  <c r="L25" i="3"/>
  <c r="D25" i="3"/>
  <c r="B25" i="3"/>
  <c r="Z24" i="3"/>
  <c r="P24" i="3"/>
  <c r="X24" i="3" s="1"/>
  <c r="N24" i="3"/>
  <c r="D24" i="3"/>
  <c r="L24" i="3" s="1"/>
  <c r="B24" i="3"/>
  <c r="Z23" i="3"/>
  <c r="X23" i="3"/>
  <c r="P23" i="3"/>
  <c r="N23" i="3"/>
  <c r="D23" i="3"/>
  <c r="L23" i="3" s="1"/>
  <c r="B23" i="3"/>
  <c r="Z22" i="3"/>
  <c r="X22" i="3"/>
  <c r="P22" i="3"/>
  <c r="N22" i="3"/>
  <c r="L22" i="3"/>
  <c r="D22" i="3"/>
  <c r="B22" i="3"/>
  <c r="Z21" i="3"/>
  <c r="P21" i="3"/>
  <c r="X21" i="3" s="1"/>
  <c r="N21" i="3"/>
  <c r="D21" i="3"/>
  <c r="L21" i="3" s="1"/>
  <c r="B21" i="3"/>
  <c r="Z20" i="3"/>
  <c r="P20" i="3"/>
  <c r="X20" i="3" s="1"/>
  <c r="N20" i="3"/>
  <c r="L20" i="3"/>
  <c r="D20" i="3"/>
  <c r="B20" i="3"/>
  <c r="Z19" i="3"/>
  <c r="X19" i="3"/>
  <c r="P19" i="3"/>
  <c r="N19" i="3"/>
  <c r="L19" i="3"/>
  <c r="D19" i="3"/>
  <c r="B19" i="3"/>
  <c r="Z18" i="3"/>
  <c r="P18" i="3"/>
  <c r="X18" i="3" s="1"/>
  <c r="N18" i="3"/>
  <c r="D18" i="3"/>
  <c r="L18" i="3" s="1"/>
  <c r="B18" i="3"/>
  <c r="Z17" i="3"/>
  <c r="P17" i="3"/>
  <c r="X17" i="3" s="1"/>
  <c r="N17" i="3"/>
  <c r="D17" i="3"/>
  <c r="L17" i="3" s="1"/>
  <c r="B17" i="3"/>
  <c r="Z16" i="3"/>
  <c r="X16" i="3"/>
  <c r="P16" i="3"/>
  <c r="N16" i="3"/>
  <c r="L16" i="3"/>
  <c r="D16" i="3"/>
  <c r="B16" i="3"/>
  <c r="Z15" i="3"/>
  <c r="P15" i="3"/>
  <c r="X15" i="3" s="1"/>
  <c r="N15" i="3"/>
  <c r="D15" i="3"/>
  <c r="L15" i="3" s="1"/>
  <c r="B15" i="3"/>
  <c r="Z14" i="3"/>
  <c r="P14" i="3"/>
  <c r="X14" i="3" s="1"/>
  <c r="N14" i="3"/>
  <c r="D14" i="3"/>
  <c r="L14" i="3" s="1"/>
  <c r="B14" i="3"/>
  <c r="X13" i="3"/>
  <c r="Z13" i="3" s="1"/>
  <c r="P13" i="3"/>
  <c r="P12" i="3" s="1"/>
  <c r="N13" i="3"/>
  <c r="L13" i="3"/>
  <c r="D13" i="3"/>
  <c r="B13" i="3"/>
  <c r="T12" i="3"/>
  <c r="V252" i="3" s="1"/>
  <c r="H12" i="3"/>
  <c r="J272" i="3" s="1"/>
  <c r="D4" i="3"/>
  <c r="T24" i="113"/>
  <c r="T22" i="113"/>
  <c r="P12" i="113"/>
  <c r="B21" i="112"/>
  <c r="D20" i="112"/>
  <c r="D16" i="112"/>
  <c r="B25" i="111"/>
  <c r="D24" i="111"/>
  <c r="D22" i="111"/>
  <c r="H20" i="111"/>
  <c r="H16" i="111"/>
  <c r="B13" i="111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4" i="113"/>
  <c r="P22" i="113"/>
  <c r="T20" i="113"/>
  <c r="T16" i="113"/>
  <c r="T13" i="113"/>
  <c r="T24" i="112"/>
  <c r="T22" i="112"/>
  <c r="P12" i="112"/>
  <c r="B21" i="111"/>
  <c r="D20" i="111"/>
  <c r="D16" i="111"/>
  <c r="P21" i="113"/>
  <c r="T15" i="113"/>
  <c r="P13" i="113"/>
  <c r="H12" i="113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P20" i="113"/>
  <c r="P16" i="113"/>
  <c r="D12" i="113"/>
  <c r="P24" i="112"/>
  <c r="P22" i="112"/>
  <c r="T20" i="112"/>
  <c r="T16" i="112"/>
  <c r="T13" i="112"/>
  <c r="T24" i="111"/>
  <c r="T22" i="111"/>
  <c r="P12" i="111"/>
  <c r="B39" i="113"/>
  <c r="T34" i="113"/>
  <c r="D29" i="113"/>
  <c r="H25" i="113"/>
  <c r="B16" i="113"/>
  <c r="B22" i="112"/>
  <c r="P13" i="112"/>
  <c r="B39" i="111"/>
  <c r="D29" i="111"/>
  <c r="H25" i="111"/>
  <c r="B38" i="113"/>
  <c r="H34" i="113"/>
  <c r="D21" i="113"/>
  <c r="P15" i="113"/>
  <c r="P21" i="112"/>
  <c r="H20" i="112"/>
  <c r="B38" i="111"/>
  <c r="H34" i="111"/>
  <c r="T20" i="111"/>
  <c r="P15" i="111"/>
  <c r="H12" i="111"/>
  <c r="D25" i="113"/>
  <c r="B21" i="113"/>
  <c r="T12" i="113"/>
  <c r="H33" i="112"/>
  <c r="H24" i="112"/>
  <c r="D25" i="111"/>
  <c r="D12" i="111"/>
  <c r="D34" i="113"/>
  <c r="B25" i="113"/>
  <c r="H22" i="113"/>
  <c r="D6" i="113"/>
  <c r="H16" i="112"/>
  <c r="H13" i="112"/>
  <c r="D34" i="111"/>
  <c r="H22" i="111"/>
  <c r="P20" i="111"/>
  <c r="T16" i="111"/>
  <c r="D6" i="111"/>
  <c r="D5" i="113"/>
  <c r="D33" i="112"/>
  <c r="H29" i="112"/>
  <c r="D24" i="112"/>
  <c r="D13" i="112"/>
  <c r="P33" i="111"/>
  <c r="P24" i="111"/>
  <c r="D5" i="111"/>
  <c r="D22" i="113"/>
  <c r="H15" i="113"/>
  <c r="D4" i="113"/>
  <c r="H21" i="112"/>
  <c r="T15" i="112"/>
  <c r="B13" i="112"/>
  <c r="T21" i="111"/>
  <c r="P16" i="111"/>
  <c r="T13" i="111"/>
  <c r="D4" i="111"/>
  <c r="B22" i="113"/>
  <c r="B39" i="112"/>
  <c r="D29" i="112"/>
  <c r="H25" i="112"/>
  <c r="P29" i="111"/>
  <c r="P13" i="111"/>
  <c r="T33" i="113"/>
  <c r="H20" i="113"/>
  <c r="D15" i="113"/>
  <c r="B38" i="112"/>
  <c r="H34" i="112"/>
  <c r="D21" i="112"/>
  <c r="P15" i="112"/>
  <c r="H12" i="112"/>
  <c r="P21" i="111"/>
  <c r="H33" i="113"/>
  <c r="H24" i="113"/>
  <c r="D25" i="112"/>
  <c r="D12" i="112"/>
  <c r="H33" i="111"/>
  <c r="P25" i="111"/>
  <c r="H24" i="111"/>
  <c r="D33" i="113"/>
  <c r="H29" i="113"/>
  <c r="D24" i="113"/>
  <c r="D13" i="113"/>
  <c r="D5" i="112"/>
  <c r="D33" i="111"/>
  <c r="H29" i="111"/>
  <c r="D13" i="111"/>
  <c r="T25" i="113"/>
  <c r="H21" i="113"/>
  <c r="D16" i="113"/>
  <c r="B13" i="113"/>
  <c r="D22" i="112"/>
  <c r="P16" i="112"/>
  <c r="H15" i="112"/>
  <c r="D4" i="112"/>
  <c r="P22" i="111"/>
  <c r="H21" i="111"/>
  <c r="T15" i="111"/>
  <c r="B25" i="112"/>
  <c r="T29" i="113"/>
  <c r="H22" i="112"/>
  <c r="P20" i="112"/>
  <c r="H13" i="111"/>
  <c r="D20" i="113"/>
  <c r="D6" i="112"/>
  <c r="H16" i="113"/>
  <c r="P34" i="111"/>
  <c r="H13" i="113"/>
  <c r="D34" i="112"/>
  <c r="P34" i="53"/>
  <c r="P33" i="53"/>
  <c r="P29" i="53"/>
  <c r="P25" i="53"/>
  <c r="T21" i="53"/>
  <c r="T24" i="52"/>
  <c r="T22" i="52"/>
  <c r="P12" i="52"/>
  <c r="P24" i="53"/>
  <c r="P22" i="53"/>
  <c r="T20" i="53"/>
  <c r="T16" i="53"/>
  <c r="T13" i="53"/>
  <c r="P34" i="52"/>
  <c r="P33" i="52"/>
  <c r="P29" i="52"/>
  <c r="P25" i="52"/>
  <c r="T21" i="52"/>
  <c r="P21" i="53"/>
  <c r="T15" i="53"/>
  <c r="P13" i="53"/>
  <c r="H12" i="53"/>
  <c r="P24" i="52"/>
  <c r="P22" i="52"/>
  <c r="T20" i="52"/>
  <c r="T16" i="52"/>
  <c r="T13" i="52"/>
  <c r="B39" i="53"/>
  <c r="H24" i="53"/>
  <c r="H22" i="53"/>
  <c r="H13" i="53"/>
  <c r="D4" i="53"/>
  <c r="H34" i="52"/>
  <c r="B38" i="53"/>
  <c r="D34" i="53"/>
  <c r="D33" i="53"/>
  <c r="D29" i="53"/>
  <c r="D25" i="53"/>
  <c r="H21" i="53"/>
  <c r="D13" i="53"/>
  <c r="B22" i="53"/>
  <c r="D21" i="53"/>
  <c r="H15" i="53"/>
  <c r="H34" i="53"/>
  <c r="P15" i="53"/>
  <c r="D5" i="53"/>
  <c r="T34" i="52"/>
  <c r="D33" i="52"/>
  <c r="T12" i="52"/>
  <c r="H34" i="50"/>
  <c r="H33" i="50"/>
  <c r="H29" i="50"/>
  <c r="H25" i="50"/>
  <c r="P15" i="50"/>
  <c r="D5" i="50"/>
  <c r="P20" i="49"/>
  <c r="P16" i="49"/>
  <c r="D12" i="49"/>
  <c r="P21" i="47"/>
  <c r="T15" i="47"/>
  <c r="P13" i="47"/>
  <c r="H12" i="47"/>
  <c r="P24" i="46"/>
  <c r="P22" i="46"/>
  <c r="T20" i="46"/>
  <c r="T16" i="46"/>
  <c r="T13" i="46"/>
  <c r="D24" i="53"/>
  <c r="B39" i="52"/>
  <c r="H22" i="52"/>
  <c r="D21" i="52"/>
  <c r="H15" i="52"/>
  <c r="H12" i="52"/>
  <c r="B39" i="50"/>
  <c r="H24" i="50"/>
  <c r="H22" i="50"/>
  <c r="H13" i="50"/>
  <c r="D4" i="50"/>
  <c r="H34" i="49"/>
  <c r="H33" i="49"/>
  <c r="H29" i="49"/>
  <c r="H25" i="49"/>
  <c r="P15" i="49"/>
  <c r="D5" i="49"/>
  <c r="P20" i="47"/>
  <c r="P16" i="47"/>
  <c r="D12" i="47"/>
  <c r="P21" i="46"/>
  <c r="T15" i="46"/>
  <c r="P13" i="46"/>
  <c r="H12" i="46"/>
  <c r="B21" i="53"/>
  <c r="T33" i="53"/>
  <c r="T29" i="53"/>
  <c r="T25" i="53"/>
  <c r="D15" i="53"/>
  <c r="T25" i="52"/>
  <c r="D22" i="52"/>
  <c r="H16" i="52"/>
  <c r="D15" i="52"/>
  <c r="D5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B39" i="47"/>
  <c r="P20" i="53"/>
  <c r="P16" i="53"/>
  <c r="P20" i="52"/>
  <c r="D16" i="52"/>
  <c r="B21" i="50"/>
  <c r="D20" i="50"/>
  <c r="D16" i="50"/>
  <c r="B22" i="49"/>
  <c r="D21" i="49"/>
  <c r="H15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H33" i="53"/>
  <c r="H29" i="53"/>
  <c r="H25" i="53"/>
  <c r="H25" i="52"/>
  <c r="D24" i="52"/>
  <c r="B16" i="52"/>
  <c r="T34" i="50"/>
  <c r="T33" i="50"/>
  <c r="T29" i="50"/>
  <c r="T25" i="50"/>
  <c r="B16" i="50"/>
  <c r="D15" i="50"/>
  <c r="T12" i="50"/>
  <c r="B21" i="49"/>
  <c r="D20" i="49"/>
  <c r="D16" i="49"/>
  <c r="B22" i="47"/>
  <c r="D21" i="47"/>
  <c r="H15" i="47"/>
  <c r="B25" i="46"/>
  <c r="D24" i="46"/>
  <c r="D22" i="46"/>
  <c r="H20" i="46"/>
  <c r="H16" i="46"/>
  <c r="B13" i="46"/>
  <c r="B25" i="53"/>
  <c r="D22" i="53"/>
  <c r="H20" i="53"/>
  <c r="H16" i="53"/>
  <c r="B13" i="53"/>
  <c r="T33" i="52"/>
  <c r="P21" i="52"/>
  <c r="T15" i="52"/>
  <c r="H13" i="52"/>
  <c r="T24" i="50"/>
  <c r="T22" i="50"/>
  <c r="P12" i="50"/>
  <c r="T34" i="49"/>
  <c r="T33" i="49"/>
  <c r="T29" i="49"/>
  <c r="T25" i="49"/>
  <c r="B16" i="49"/>
  <c r="D15" i="49"/>
  <c r="T12" i="49"/>
  <c r="B21" i="47"/>
  <c r="D20" i="47"/>
  <c r="D16" i="47"/>
  <c r="B22" i="46"/>
  <c r="D21" i="46"/>
  <c r="H15" i="46"/>
  <c r="T29" i="52"/>
  <c r="H21" i="52"/>
  <c r="P16" i="52"/>
  <c r="D21" i="50"/>
  <c r="H15" i="50"/>
  <c r="D24" i="49"/>
  <c r="H33" i="47"/>
  <c r="P29" i="47"/>
  <c r="T25" i="47"/>
  <c r="H24" i="47"/>
  <c r="H22" i="46"/>
  <c r="P20" i="46"/>
  <c r="D5" i="46"/>
  <c r="H34" i="44"/>
  <c r="H33" i="44"/>
  <c r="H29" i="44"/>
  <c r="H25" i="44"/>
  <c r="P15" i="44"/>
  <c r="D5" i="44"/>
  <c r="P20" i="43"/>
  <c r="P16" i="43"/>
  <c r="D12" i="43"/>
  <c r="H29" i="52"/>
  <c r="B21" i="52"/>
  <c r="D12" i="52"/>
  <c r="P33" i="50"/>
  <c r="P29" i="50"/>
  <c r="P25" i="50"/>
  <c r="T22" i="49"/>
  <c r="T34" i="47"/>
  <c r="B16" i="47"/>
  <c r="H13" i="47"/>
  <c r="T33" i="46"/>
  <c r="T24" i="46"/>
  <c r="D15" i="46"/>
  <c r="D4" i="46"/>
  <c r="B39" i="44"/>
  <c r="H24" i="44"/>
  <c r="H22" i="44"/>
  <c r="H13" i="44"/>
  <c r="D4" i="44"/>
  <c r="H34" i="43"/>
  <c r="H33" i="43"/>
  <c r="H29" i="43"/>
  <c r="H25" i="43"/>
  <c r="P15" i="43"/>
  <c r="D5" i="43"/>
  <c r="D34" i="52"/>
  <c r="D29" i="52"/>
  <c r="H24" i="52"/>
  <c r="D4" i="52"/>
  <c r="P22" i="50"/>
  <c r="T20" i="50"/>
  <c r="T16" i="50"/>
  <c r="T13" i="50"/>
  <c r="P33" i="49"/>
  <c r="P29" i="49"/>
  <c r="P25" i="49"/>
  <c r="D33" i="47"/>
  <c r="H29" i="47"/>
  <c r="P25" i="47"/>
  <c r="D13" i="47"/>
  <c r="P16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P12" i="53"/>
  <c r="H33" i="52"/>
  <c r="D33" i="50"/>
  <c r="D29" i="50"/>
  <c r="D25" i="50"/>
  <c r="D13" i="50"/>
  <c r="H22" i="49"/>
  <c r="H13" i="49"/>
  <c r="B38" i="47"/>
  <c r="H34" i="47"/>
  <c r="P22" i="47"/>
  <c r="P15" i="47"/>
  <c r="H33" i="46"/>
  <c r="P29" i="46"/>
  <c r="T25" i="46"/>
  <c r="H24" i="46"/>
  <c r="D16" i="46"/>
  <c r="B21" i="44"/>
  <c r="D20" i="44"/>
  <c r="D16" i="44"/>
  <c r="B22" i="43"/>
  <c r="D21" i="43"/>
  <c r="H15" i="43"/>
  <c r="D12" i="53"/>
  <c r="D20" i="52"/>
  <c r="B38" i="52"/>
  <c r="P34" i="50"/>
  <c r="T21" i="50"/>
  <c r="T24" i="49"/>
  <c r="P12" i="49"/>
  <c r="D34" i="47"/>
  <c r="H22" i="47"/>
  <c r="T20" i="47"/>
  <c r="D5" i="47"/>
  <c r="H29" i="46"/>
  <c r="P25" i="46"/>
  <c r="T24" i="44"/>
  <c r="T22" i="44"/>
  <c r="P12" i="44"/>
  <c r="T34" i="43"/>
  <c r="T33" i="43"/>
  <c r="T29" i="43"/>
  <c r="T25" i="43"/>
  <c r="B16" i="43"/>
  <c r="D15" i="43"/>
  <c r="T12" i="43"/>
  <c r="T22" i="53"/>
  <c r="B16" i="53"/>
  <c r="B25" i="52"/>
  <c r="B13" i="52"/>
  <c r="D12" i="50"/>
  <c r="P21" i="49"/>
  <c r="T15" i="49"/>
  <c r="H12" i="49"/>
  <c r="P33" i="47"/>
  <c r="T29" i="47"/>
  <c r="P24" i="47"/>
  <c r="H34" i="46"/>
  <c r="P15" i="46"/>
  <c r="P21" i="44"/>
  <c r="T15" i="44"/>
  <c r="P13" i="44"/>
  <c r="H12" i="44"/>
  <c r="P24" i="43"/>
  <c r="P22" i="43"/>
  <c r="T20" i="43"/>
  <c r="T16" i="43"/>
  <c r="T13" i="43"/>
  <c r="B38" i="50"/>
  <c r="D34" i="50"/>
  <c r="H21" i="50"/>
  <c r="B39" i="49"/>
  <c r="H24" i="49"/>
  <c r="D4" i="49"/>
  <c r="T21" i="47"/>
  <c r="T13" i="47"/>
  <c r="D12" i="46"/>
  <c r="H12" i="50"/>
  <c r="T21" i="49"/>
  <c r="T13" i="49"/>
  <c r="P33" i="44"/>
  <c r="P29" i="44"/>
  <c r="P25" i="44"/>
  <c r="T22" i="43"/>
  <c r="P24" i="41"/>
  <c r="P22" i="41"/>
  <c r="T20" i="41"/>
  <c r="T16" i="41"/>
  <c r="T13" i="41"/>
  <c r="P34" i="40"/>
  <c r="P33" i="40"/>
  <c r="P29" i="40"/>
  <c r="P25" i="40"/>
  <c r="T21" i="40"/>
  <c r="B39" i="38"/>
  <c r="H24" i="38"/>
  <c r="H22" i="38"/>
  <c r="P13" i="49"/>
  <c r="T16" i="47"/>
  <c r="B16" i="46"/>
  <c r="P22" i="44"/>
  <c r="T20" i="44"/>
  <c r="T16" i="44"/>
  <c r="T13" i="44"/>
  <c r="P33" i="43"/>
  <c r="P29" i="43"/>
  <c r="P25" i="43"/>
  <c r="P21" i="41"/>
  <c r="T15" i="41"/>
  <c r="P13" i="41"/>
  <c r="H12" i="41"/>
  <c r="P24" i="40"/>
  <c r="P22" i="40"/>
  <c r="T20" i="40"/>
  <c r="T16" i="40"/>
  <c r="T13" i="40"/>
  <c r="B38" i="38"/>
  <c r="D34" i="38"/>
  <c r="D33" i="38"/>
  <c r="D29" i="38"/>
  <c r="D25" i="38"/>
  <c r="H21" i="38"/>
  <c r="H20" i="52"/>
  <c r="T20" i="49"/>
  <c r="B13" i="49"/>
  <c r="D29" i="47"/>
  <c r="T34" i="46"/>
  <c r="T21" i="46"/>
  <c r="P20" i="44"/>
  <c r="P16" i="44"/>
  <c r="P13" i="43"/>
  <c r="P20" i="41"/>
  <c r="P16" i="41"/>
  <c r="D12" i="41"/>
  <c r="P21" i="40"/>
  <c r="T15" i="40"/>
  <c r="P13" i="40"/>
  <c r="H12" i="40"/>
  <c r="T24" i="53"/>
  <c r="P24" i="50"/>
  <c r="P34" i="47"/>
  <c r="P34" i="46"/>
  <c r="B25" i="44"/>
  <c r="D22" i="44"/>
  <c r="H20" i="44"/>
  <c r="H16" i="44"/>
  <c r="B13" i="44"/>
  <c r="D33" i="43"/>
  <c r="D29" i="43"/>
  <c r="D25" i="43"/>
  <c r="D13" i="43"/>
  <c r="H34" i="41"/>
  <c r="H33" i="41"/>
  <c r="H29" i="41"/>
  <c r="H25" i="41"/>
  <c r="P15" i="41"/>
  <c r="D5" i="41"/>
  <c r="P20" i="40"/>
  <c r="P16" i="40"/>
  <c r="D12" i="40"/>
  <c r="B22" i="38"/>
  <c r="D21" i="38"/>
  <c r="P16" i="50"/>
  <c r="P34" i="49"/>
  <c r="H20" i="49"/>
  <c r="H21" i="47"/>
  <c r="B21" i="46"/>
  <c r="B22" i="44"/>
  <c r="B25" i="43"/>
  <c r="D22" i="43"/>
  <c r="H20" i="43"/>
  <c r="H16" i="43"/>
  <c r="B13" i="43"/>
  <c r="B39" i="41"/>
  <c r="H24" i="41"/>
  <c r="H22" i="41"/>
  <c r="H13" i="41"/>
  <c r="D4" i="41"/>
  <c r="H34" i="40"/>
  <c r="H33" i="40"/>
  <c r="H29" i="40"/>
  <c r="H25" i="40"/>
  <c r="P15" i="40"/>
  <c r="D5" i="40"/>
  <c r="D15" i="47"/>
  <c r="P33" i="46"/>
  <c r="T34" i="44"/>
  <c r="B16" i="44"/>
  <c r="T12" i="44"/>
  <c r="D20" i="43"/>
  <c r="D16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T34" i="38"/>
  <c r="T33" i="38"/>
  <c r="T29" i="38"/>
  <c r="T25" i="38"/>
  <c r="D20" i="53"/>
  <c r="P15" i="52"/>
  <c r="B25" i="49"/>
  <c r="T33" i="47"/>
  <c r="D20" i="46"/>
  <c r="H13" i="46"/>
  <c r="P34" i="44"/>
  <c r="T21" i="44"/>
  <c r="T24" i="43"/>
  <c r="P12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P13" i="52"/>
  <c r="B22" i="50"/>
  <c r="T15" i="50"/>
  <c r="T16" i="49"/>
  <c r="H25" i="47"/>
  <c r="T12" i="47"/>
  <c r="H25" i="46"/>
  <c r="T12" i="46"/>
  <c r="H16" i="49"/>
  <c r="B39" i="46"/>
  <c r="T34" i="40"/>
  <c r="T22" i="40"/>
  <c r="B16" i="40"/>
  <c r="P16" i="38"/>
  <c r="D12" i="38"/>
  <c r="P21" i="37"/>
  <c r="T15" i="37"/>
  <c r="P13" i="37"/>
  <c r="H12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D25" i="52"/>
  <c r="D25" i="47"/>
  <c r="P12" i="46"/>
  <c r="T29" i="44"/>
  <c r="H15" i="44"/>
  <c r="T12" i="41"/>
  <c r="T25" i="40"/>
  <c r="D22" i="40"/>
  <c r="D20" i="40"/>
  <c r="H34" i="38"/>
  <c r="H29" i="38"/>
  <c r="P25" i="38"/>
  <c r="T21" i="38"/>
  <c r="P20" i="38"/>
  <c r="P15" i="38"/>
  <c r="D5" i="38"/>
  <c r="P20" i="37"/>
  <c r="P16" i="37"/>
  <c r="D12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T24" i="47"/>
  <c r="D15" i="44"/>
  <c r="D24" i="43"/>
  <c r="D16" i="41"/>
  <c r="P12" i="41"/>
  <c r="B22" i="40"/>
  <c r="D24" i="38"/>
  <c r="H13" i="38"/>
  <c r="D4" i="38"/>
  <c r="H34" i="37"/>
  <c r="H33" i="37"/>
  <c r="H29" i="37"/>
  <c r="H25" i="37"/>
  <c r="P15" i="37"/>
  <c r="D5" i="37"/>
  <c r="B22" i="35"/>
  <c r="D21" i="35"/>
  <c r="H15" i="35"/>
  <c r="B25" i="34"/>
  <c r="D24" i="34"/>
  <c r="D22" i="34"/>
  <c r="T29" i="46"/>
  <c r="D21" i="44"/>
  <c r="T15" i="43"/>
  <c r="T34" i="41"/>
  <c r="T22" i="41"/>
  <c r="B16" i="41"/>
  <c r="T29" i="40"/>
  <c r="B25" i="40"/>
  <c r="H15" i="40"/>
  <c r="P21" i="38"/>
  <c r="D13" i="38"/>
  <c r="B39" i="37"/>
  <c r="H24" i="37"/>
  <c r="H22" i="37"/>
  <c r="H13" i="37"/>
  <c r="D4" i="37"/>
  <c r="B21" i="35"/>
  <c r="D20" i="35"/>
  <c r="D16" i="35"/>
  <c r="B22" i="34"/>
  <c r="D21" i="34"/>
  <c r="H15" i="34"/>
  <c r="B22" i="52"/>
  <c r="T22" i="47"/>
  <c r="D12" i="44"/>
  <c r="T21" i="43"/>
  <c r="T25" i="41"/>
  <c r="D20" i="41"/>
  <c r="T22" i="38"/>
  <c r="H20" i="38"/>
  <c r="H16" i="38"/>
  <c r="B13" i="38"/>
  <c r="B38" i="37"/>
  <c r="D34" i="37"/>
  <c r="D33" i="37"/>
  <c r="D29" i="37"/>
  <c r="D25" i="37"/>
  <c r="H21" i="37"/>
  <c r="D13" i="37"/>
  <c r="T34" i="35"/>
  <c r="T33" i="35"/>
  <c r="T29" i="35"/>
  <c r="T25" i="35"/>
  <c r="B16" i="35"/>
  <c r="D15" i="35"/>
  <c r="T12" i="35"/>
  <c r="B21" i="34"/>
  <c r="D20" i="34"/>
  <c r="D16" i="34"/>
  <c r="D13" i="52"/>
  <c r="B38" i="43"/>
  <c r="P21" i="43"/>
  <c r="P34" i="41"/>
  <c r="B22" i="41"/>
  <c r="T33" i="40"/>
  <c r="D15" i="40"/>
  <c r="P33" i="38"/>
  <c r="H25" i="38"/>
  <c r="H15" i="38"/>
  <c r="B25" i="37"/>
  <c r="D24" i="37"/>
  <c r="D22" i="37"/>
  <c r="H20" i="37"/>
  <c r="H16" i="37"/>
  <c r="B13" i="37"/>
  <c r="T24" i="35"/>
  <c r="T22" i="35"/>
  <c r="P12" i="35"/>
  <c r="T34" i="34"/>
  <c r="T33" i="34"/>
  <c r="T29" i="34"/>
  <c r="T25" i="34"/>
  <c r="B16" i="34"/>
  <c r="D15" i="34"/>
  <c r="T12" i="34"/>
  <c r="T25" i="44"/>
  <c r="H21" i="43"/>
  <c r="T29" i="41"/>
  <c r="P25" i="41"/>
  <c r="H15" i="41"/>
  <c r="B25" i="38"/>
  <c r="P22" i="38"/>
  <c r="D20" i="38"/>
  <c r="D16" i="38"/>
  <c r="B22" i="37"/>
  <c r="D21" i="37"/>
  <c r="H15" i="37"/>
  <c r="P34" i="35"/>
  <c r="P33" i="35"/>
  <c r="P29" i="35"/>
  <c r="P25" i="35"/>
  <c r="T21" i="35"/>
  <c r="T24" i="34"/>
  <c r="T22" i="34"/>
  <c r="P12" i="34"/>
  <c r="T34" i="53"/>
  <c r="P24" i="49"/>
  <c r="P24" i="44"/>
  <c r="T24" i="40"/>
  <c r="D21" i="40"/>
  <c r="B13" i="40"/>
  <c r="B16" i="38"/>
  <c r="D15" i="38"/>
  <c r="T12" i="38"/>
  <c r="B21" i="37"/>
  <c r="D20" i="37"/>
  <c r="D16" i="37"/>
  <c r="P24" i="35"/>
  <c r="P22" i="35"/>
  <c r="T20" i="35"/>
  <c r="T16" i="35"/>
  <c r="T13" i="35"/>
  <c r="P34" i="34"/>
  <c r="P33" i="34"/>
  <c r="P29" i="34"/>
  <c r="P25" i="34"/>
  <c r="T21" i="34"/>
  <c r="P21" i="50"/>
  <c r="H16" i="40"/>
  <c r="P34" i="38"/>
  <c r="P12" i="37"/>
  <c r="P21" i="35"/>
  <c r="H12" i="35"/>
  <c r="P22" i="34"/>
  <c r="D12" i="34"/>
  <c r="B39" i="32"/>
  <c r="H24" i="32"/>
  <c r="H22" i="32"/>
  <c r="H13" i="32"/>
  <c r="D4" i="32"/>
  <c r="H34" i="31"/>
  <c r="H33" i="31"/>
  <c r="H29" i="31"/>
  <c r="H25" i="31"/>
  <c r="P15" i="31"/>
  <c r="D5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T24" i="26"/>
  <c r="T22" i="26"/>
  <c r="P12" i="26"/>
  <c r="T34" i="25"/>
  <c r="T33" i="25"/>
  <c r="T29" i="25"/>
  <c r="T25" i="25"/>
  <c r="B16" i="25"/>
  <c r="D15" i="25"/>
  <c r="T12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P12" i="47"/>
  <c r="T24" i="41"/>
  <c r="P25" i="37"/>
  <c r="T21" i="37"/>
  <c r="P16" i="35"/>
  <c r="D12" i="35"/>
  <c r="H20" i="34"/>
  <c r="T15" i="34"/>
  <c r="D5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B22" i="29"/>
  <c r="D21" i="29"/>
  <c r="H15" i="29"/>
  <c r="B25" i="28"/>
  <c r="D24" i="28"/>
  <c r="D22" i="28"/>
  <c r="H20" i="28"/>
  <c r="H16" i="28"/>
  <c r="B13" i="28"/>
  <c r="P34" i="26"/>
  <c r="P33" i="26"/>
  <c r="P29" i="26"/>
  <c r="P25" i="26"/>
  <c r="T21" i="26"/>
  <c r="T24" i="25"/>
  <c r="T22" i="25"/>
  <c r="P12" i="25"/>
  <c r="B22" i="23"/>
  <c r="D21" i="23"/>
  <c r="H15" i="23"/>
  <c r="B25" i="22"/>
  <c r="D24" i="22"/>
  <c r="P20" i="50"/>
  <c r="B21" i="43"/>
  <c r="D16" i="40"/>
  <c r="T20" i="38"/>
  <c r="T15" i="38"/>
  <c r="T16" i="37"/>
  <c r="H25" i="35"/>
  <c r="D5" i="35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B21" i="29"/>
  <c r="D20" i="29"/>
  <c r="D16" i="29"/>
  <c r="B22" i="28"/>
  <c r="D21" i="28"/>
  <c r="H15" i="28"/>
  <c r="P24" i="26"/>
  <c r="P22" i="26"/>
  <c r="T20" i="26"/>
  <c r="T16" i="26"/>
  <c r="T13" i="26"/>
  <c r="P34" i="25"/>
  <c r="P33" i="25"/>
  <c r="P29" i="25"/>
  <c r="P25" i="25"/>
  <c r="T21" i="25"/>
  <c r="B21" i="23"/>
  <c r="D20" i="23"/>
  <c r="D16" i="23"/>
  <c r="B22" i="22"/>
  <c r="D21" i="22"/>
  <c r="H15" i="22"/>
  <c r="P13" i="50"/>
  <c r="D4" i="47"/>
  <c r="T33" i="41"/>
  <c r="D24" i="40"/>
  <c r="T24" i="38"/>
  <c r="T34" i="37"/>
  <c r="T29" i="37"/>
  <c r="B16" i="37"/>
  <c r="D4" i="35"/>
  <c r="H33" i="34"/>
  <c r="P15" i="34"/>
  <c r="B22" i="32"/>
  <c r="D21" i="32"/>
  <c r="H15" i="32"/>
  <c r="B25" i="31"/>
  <c r="D24" i="31"/>
  <c r="D22" i="31"/>
  <c r="H20" i="31"/>
  <c r="H16" i="31"/>
  <c r="B13" i="31"/>
  <c r="T34" i="29"/>
  <c r="T33" i="29"/>
  <c r="T29" i="29"/>
  <c r="T25" i="29"/>
  <c r="B16" i="29"/>
  <c r="D15" i="29"/>
  <c r="T12" i="29"/>
  <c r="B21" i="28"/>
  <c r="D20" i="28"/>
  <c r="D16" i="28"/>
  <c r="P22" i="49"/>
  <c r="T22" i="46"/>
  <c r="T21" i="41"/>
  <c r="H33" i="38"/>
  <c r="T24" i="37"/>
  <c r="T15" i="35"/>
  <c r="B21" i="32"/>
  <c r="D20" i="32"/>
  <c r="D16" i="32"/>
  <c r="B22" i="31"/>
  <c r="D21" i="31"/>
  <c r="H15" i="31"/>
  <c r="T24" i="29"/>
  <c r="T22" i="29"/>
  <c r="P12" i="29"/>
  <c r="T34" i="28"/>
  <c r="T33" i="28"/>
  <c r="T29" i="28"/>
  <c r="T25" i="28"/>
  <c r="B16" i="28"/>
  <c r="D15" i="28"/>
  <c r="T12" i="28"/>
  <c r="P33" i="41"/>
  <c r="D21" i="41"/>
  <c r="T12" i="40"/>
  <c r="P24" i="38"/>
  <c r="T13" i="38"/>
  <c r="P34" i="37"/>
  <c r="P29" i="37"/>
  <c r="P20" i="35"/>
  <c r="P21" i="34"/>
  <c r="T13" i="34"/>
  <c r="T34" i="32"/>
  <c r="T33" i="32"/>
  <c r="T29" i="32"/>
  <c r="T25" i="32"/>
  <c r="B16" i="32"/>
  <c r="D15" i="32"/>
  <c r="T12" i="32"/>
  <c r="B21" i="31"/>
  <c r="D20" i="31"/>
  <c r="D16" i="31"/>
  <c r="P34" i="29"/>
  <c r="P33" i="29"/>
  <c r="P29" i="29"/>
  <c r="P25" i="29"/>
  <c r="T21" i="29"/>
  <c r="T24" i="28"/>
  <c r="T22" i="28"/>
  <c r="P12" i="28"/>
  <c r="H34" i="26"/>
  <c r="H33" i="26"/>
  <c r="H29" i="26"/>
  <c r="H25" i="26"/>
  <c r="P15" i="26"/>
  <c r="D5" i="26"/>
  <c r="P20" i="25"/>
  <c r="P16" i="25"/>
  <c r="D12" i="25"/>
  <c r="P34" i="23"/>
  <c r="P33" i="23"/>
  <c r="P29" i="23"/>
  <c r="P25" i="23"/>
  <c r="T21" i="23"/>
  <c r="D22" i="49"/>
  <c r="T33" i="44"/>
  <c r="P34" i="43"/>
  <c r="H12" i="43"/>
  <c r="B21" i="41"/>
  <c r="P12" i="40"/>
  <c r="P13" i="38"/>
  <c r="P24" i="37"/>
  <c r="T20" i="37"/>
  <c r="H34" i="35"/>
  <c r="H29" i="35"/>
  <c r="P15" i="35"/>
  <c r="P13" i="34"/>
  <c r="T24" i="32"/>
  <c r="T22" i="32"/>
  <c r="P12" i="32"/>
  <c r="T34" i="31"/>
  <c r="T33" i="31"/>
  <c r="T29" i="31"/>
  <c r="T25" i="31"/>
  <c r="B16" i="31"/>
  <c r="D15" i="31"/>
  <c r="T12" i="31"/>
  <c r="P24" i="29"/>
  <c r="P22" i="29"/>
  <c r="T20" i="29"/>
  <c r="T16" i="29"/>
  <c r="T13" i="29"/>
  <c r="P34" i="28"/>
  <c r="P33" i="28"/>
  <c r="P29" i="28"/>
  <c r="P25" i="28"/>
  <c r="T21" i="28"/>
  <c r="B39" i="26"/>
  <c r="H24" i="26"/>
  <c r="H22" i="26"/>
  <c r="H13" i="26"/>
  <c r="D4" i="26"/>
  <c r="H34" i="25"/>
  <c r="H33" i="25"/>
  <c r="H29" i="25"/>
  <c r="H25" i="25"/>
  <c r="P15" i="25"/>
  <c r="D5" i="25"/>
  <c r="P24" i="23"/>
  <c r="P22" i="23"/>
  <c r="T20" i="23"/>
  <c r="T16" i="23"/>
  <c r="T13" i="23"/>
  <c r="P34" i="22"/>
  <c r="P33" i="22"/>
  <c r="P29" i="22"/>
  <c r="P25" i="22"/>
  <c r="T21" i="22"/>
  <c r="D16" i="53"/>
  <c r="P29" i="41"/>
  <c r="B21" i="40"/>
  <c r="P12" i="38"/>
  <c r="T33" i="37"/>
  <c r="D15" i="37"/>
  <c r="H24" i="35"/>
  <c r="H25" i="34"/>
  <c r="T16" i="34"/>
  <c r="P34" i="32"/>
  <c r="P33" i="32"/>
  <c r="P29" i="32"/>
  <c r="P25" i="32"/>
  <c r="T21" i="32"/>
  <c r="T24" i="31"/>
  <c r="T22" i="31"/>
  <c r="P12" i="31"/>
  <c r="P21" i="29"/>
  <c r="T15" i="29"/>
  <c r="P13" i="29"/>
  <c r="H12" i="29"/>
  <c r="P24" i="28"/>
  <c r="P22" i="28"/>
  <c r="T20" i="28"/>
  <c r="T16" i="28"/>
  <c r="T13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P21" i="23"/>
  <c r="T15" i="23"/>
  <c r="P13" i="23"/>
  <c r="H12" i="23"/>
  <c r="P24" i="22"/>
  <c r="P22" i="22"/>
  <c r="T13" i="37"/>
  <c r="B13" i="34"/>
  <c r="H25" i="32"/>
  <c r="D5" i="32"/>
  <c r="B38" i="29"/>
  <c r="D33" i="29"/>
  <c r="D13" i="29"/>
  <c r="H24" i="28"/>
  <c r="D21" i="26"/>
  <c r="H15" i="26"/>
  <c r="D24" i="25"/>
  <c r="T22" i="23"/>
  <c r="T33" i="22"/>
  <c r="T29" i="22"/>
  <c r="T25" i="22"/>
  <c r="H20" i="22"/>
  <c r="T15" i="22"/>
  <c r="D12" i="22"/>
  <c r="P24" i="20"/>
  <c r="P22" i="20"/>
  <c r="T20" i="20"/>
  <c r="T16" i="20"/>
  <c r="T13" i="20"/>
  <c r="P34" i="19"/>
  <c r="P33" i="19"/>
  <c r="P29" i="19"/>
  <c r="P25" i="19"/>
  <c r="T21" i="19"/>
  <c r="T24" i="17"/>
  <c r="T22" i="17"/>
  <c r="P12" i="17"/>
  <c r="T34" i="16"/>
  <c r="T33" i="16"/>
  <c r="T29" i="16"/>
  <c r="T25" i="16"/>
  <c r="T25" i="37"/>
  <c r="T12" i="37"/>
  <c r="P24" i="32"/>
  <c r="T20" i="32"/>
  <c r="P25" i="31"/>
  <c r="T21" i="31"/>
  <c r="P16" i="29"/>
  <c r="D12" i="29"/>
  <c r="P13" i="28"/>
  <c r="B21" i="26"/>
  <c r="D21" i="25"/>
  <c r="H15" i="25"/>
  <c r="P20" i="23"/>
  <c r="P16" i="23"/>
  <c r="D20" i="22"/>
  <c r="T16" i="22"/>
  <c r="D5" i="22"/>
  <c r="P21" i="20"/>
  <c r="T15" i="20"/>
  <c r="P13" i="20"/>
  <c r="H12" i="20"/>
  <c r="P24" i="19"/>
  <c r="P22" i="19"/>
  <c r="T20" i="19"/>
  <c r="T16" i="19"/>
  <c r="T13" i="19"/>
  <c r="H20" i="40"/>
  <c r="P29" i="38"/>
  <c r="T22" i="37"/>
  <c r="H13" i="35"/>
  <c r="H12" i="34"/>
  <c r="T15" i="32"/>
  <c r="T16" i="31"/>
  <c r="H25" i="29"/>
  <c r="D5" i="29"/>
  <c r="T33" i="26"/>
  <c r="T29" i="26"/>
  <c r="T25" i="26"/>
  <c r="D15" i="26"/>
  <c r="B21" i="25"/>
  <c r="H33" i="23"/>
  <c r="H29" i="23"/>
  <c r="H25" i="23"/>
  <c r="T22" i="22"/>
  <c r="P15" i="22"/>
  <c r="H13" i="22"/>
  <c r="D4" i="22"/>
  <c r="P20" i="20"/>
  <c r="P16" i="20"/>
  <c r="D12" i="20"/>
  <c r="P21" i="19"/>
  <c r="T15" i="19"/>
  <c r="P13" i="19"/>
  <c r="H12" i="19"/>
  <c r="P24" i="17"/>
  <c r="P22" i="17"/>
  <c r="T20" i="17"/>
  <c r="T16" i="17"/>
  <c r="T13" i="17"/>
  <c r="H12" i="38"/>
  <c r="P22" i="37"/>
  <c r="T20" i="34"/>
  <c r="H34" i="32"/>
  <c r="H29" i="32"/>
  <c r="P15" i="32"/>
  <c r="P16" i="31"/>
  <c r="D12" i="31"/>
  <c r="D25" i="29"/>
  <c r="H21" i="29"/>
  <c r="B39" i="28"/>
  <c r="H22" i="28"/>
  <c r="H13" i="28"/>
  <c r="P20" i="26"/>
  <c r="P16" i="26"/>
  <c r="P13" i="25"/>
  <c r="D33" i="23"/>
  <c r="D29" i="23"/>
  <c r="D25" i="23"/>
  <c r="D13" i="23"/>
  <c r="B21" i="22"/>
  <c r="B13" i="22"/>
  <c r="B39" i="20"/>
  <c r="H24" i="20"/>
  <c r="H22" i="20"/>
  <c r="H13" i="20"/>
  <c r="D4" i="20"/>
  <c r="H34" i="19"/>
  <c r="H33" i="19"/>
  <c r="H29" i="19"/>
  <c r="H25" i="19"/>
  <c r="P15" i="19"/>
  <c r="D5" i="19"/>
  <c r="P22" i="32"/>
  <c r="T13" i="32"/>
  <c r="P34" i="31"/>
  <c r="P29" i="31"/>
  <c r="P20" i="29"/>
  <c r="P21" i="28"/>
  <c r="H12" i="28"/>
  <c r="B25" i="26"/>
  <c r="D22" i="26"/>
  <c r="H20" i="26"/>
  <c r="H16" i="26"/>
  <c r="B13" i="26"/>
  <c r="D33" i="25"/>
  <c r="D29" i="25"/>
  <c r="D25" i="25"/>
  <c r="D13" i="25"/>
  <c r="T34" i="23"/>
  <c r="B16" i="23"/>
  <c r="T12" i="23"/>
  <c r="B38" i="20"/>
  <c r="D34" i="20"/>
  <c r="D33" i="20"/>
  <c r="D29" i="20"/>
  <c r="D25" i="20"/>
  <c r="H21" i="20"/>
  <c r="D13" i="20"/>
  <c r="B39" i="19"/>
  <c r="H24" i="19"/>
  <c r="H22" i="19"/>
  <c r="H13" i="19"/>
  <c r="D4" i="19"/>
  <c r="H34" i="17"/>
  <c r="H33" i="17"/>
  <c r="H29" i="17"/>
  <c r="H25" i="17"/>
  <c r="P15" i="17"/>
  <c r="D5" i="17"/>
  <c r="B39" i="35"/>
  <c r="H22" i="35"/>
  <c r="H34" i="34"/>
  <c r="P20" i="34"/>
  <c r="P13" i="32"/>
  <c r="P24" i="31"/>
  <c r="T20" i="31"/>
  <c r="H34" i="29"/>
  <c r="H29" i="29"/>
  <c r="P15" i="29"/>
  <c r="P16" i="28"/>
  <c r="D12" i="28"/>
  <c r="B22" i="26"/>
  <c r="B25" i="25"/>
  <c r="D22" i="25"/>
  <c r="H20" i="25"/>
  <c r="H16" i="25"/>
  <c r="B13" i="25"/>
  <c r="T24" i="23"/>
  <c r="P12" i="23"/>
  <c r="T34" i="22"/>
  <c r="H22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B39" i="17"/>
  <c r="H24" i="17"/>
  <c r="H22" i="17"/>
  <c r="H13" i="17"/>
  <c r="D4" i="17"/>
  <c r="H34" i="16"/>
  <c r="H33" i="16"/>
  <c r="H29" i="16"/>
  <c r="H25" i="16"/>
  <c r="T12" i="53"/>
  <c r="D15" i="41"/>
  <c r="D22" i="38"/>
  <c r="P33" i="37"/>
  <c r="T15" i="31"/>
  <c r="D24" i="44"/>
  <c r="H29" i="34"/>
  <c r="H16" i="34"/>
  <c r="P21" i="32"/>
  <c r="H12" i="32"/>
  <c r="P22" i="31"/>
  <c r="T13" i="31"/>
  <c r="H33" i="29"/>
  <c r="P20" i="28"/>
  <c r="D12" i="26"/>
  <c r="P21" i="25"/>
  <c r="T15" i="25"/>
  <c r="H12" i="25"/>
  <c r="B38" i="23"/>
  <c r="D34" i="23"/>
  <c r="H21" i="23"/>
  <c r="B39" i="22"/>
  <c r="T13" i="22"/>
  <c r="T24" i="20"/>
  <c r="T22" i="20"/>
  <c r="P12" i="20"/>
  <c r="T34" i="19"/>
  <c r="T33" i="19"/>
  <c r="T29" i="19"/>
  <c r="T25" i="19"/>
  <c r="B16" i="19"/>
  <c r="D15" i="19"/>
  <c r="T12" i="19"/>
  <c r="D34" i="43"/>
  <c r="T16" i="38"/>
  <c r="P13" i="35"/>
  <c r="P24" i="34"/>
  <c r="P16" i="32"/>
  <c r="D12" i="32"/>
  <c r="P13" i="31"/>
  <c r="B39" i="29"/>
  <c r="H22" i="29"/>
  <c r="H13" i="29"/>
  <c r="H34" i="28"/>
  <c r="H29" i="28"/>
  <c r="P15" i="28"/>
  <c r="D24" i="26"/>
  <c r="B38" i="25"/>
  <c r="D34" i="25"/>
  <c r="H21" i="25"/>
  <c r="T15" i="26"/>
  <c r="D5" i="23"/>
  <c r="D22" i="22"/>
  <c r="D13" i="22"/>
  <c r="B21" i="20"/>
  <c r="T22" i="19"/>
  <c r="H20" i="19"/>
  <c r="D16" i="19"/>
  <c r="D12" i="19"/>
  <c r="P20" i="17"/>
  <c r="H24" i="16"/>
  <c r="H22" i="16"/>
  <c r="H13" i="16"/>
  <c r="D4" i="16"/>
  <c r="D34" i="29"/>
  <c r="P13" i="26"/>
  <c r="T20" i="25"/>
  <c r="H34" i="23"/>
  <c r="T25" i="23"/>
  <c r="D4" i="23"/>
  <c r="H29" i="22"/>
  <c r="T12" i="22"/>
  <c r="D34" i="17"/>
  <c r="D29" i="17"/>
  <c r="T25" i="17"/>
  <c r="T12" i="17"/>
  <c r="D34" i="16"/>
  <c r="H21" i="16"/>
  <c r="D13" i="16"/>
  <c r="P33" i="31"/>
  <c r="T15" i="28"/>
  <c r="P16" i="22"/>
  <c r="P12" i="22"/>
  <c r="T12" i="20"/>
  <c r="D22" i="19"/>
  <c r="D20" i="19"/>
  <c r="P25" i="17"/>
  <c r="D24" i="17"/>
  <c r="T21" i="17"/>
  <c r="H20" i="17"/>
  <c r="P29" i="16"/>
  <c r="D24" i="16"/>
  <c r="D22" i="16"/>
  <c r="H20" i="16"/>
  <c r="H16" i="16"/>
  <c r="B13" i="16"/>
  <c r="P16" i="34"/>
  <c r="H12" i="31"/>
  <c r="T12" i="26"/>
  <c r="D20" i="25"/>
  <c r="T33" i="23"/>
  <c r="P21" i="22"/>
  <c r="H16" i="22"/>
  <c r="D16" i="20"/>
  <c r="B22" i="19"/>
  <c r="H25" i="28"/>
  <c r="D5" i="28"/>
  <c r="P21" i="26"/>
  <c r="H12" i="26"/>
  <c r="D16" i="22"/>
  <c r="H12" i="22"/>
  <c r="T34" i="20"/>
  <c r="B16" i="20"/>
  <c r="D5" i="20"/>
  <c r="B25" i="19"/>
  <c r="H15" i="19"/>
  <c r="D20" i="17"/>
  <c r="P16" i="17"/>
  <c r="D12" i="17"/>
  <c r="B25" i="16"/>
  <c r="B21" i="16"/>
  <c r="D20" i="16"/>
  <c r="D16" i="16"/>
  <c r="B21" i="38"/>
  <c r="D29" i="29"/>
  <c r="D4" i="28"/>
  <c r="T16" i="25"/>
  <c r="H24" i="23"/>
  <c r="T20" i="22"/>
  <c r="B16" i="22"/>
  <c r="P34" i="20"/>
  <c r="T25" i="20"/>
  <c r="D20" i="20"/>
  <c r="T33" i="17"/>
  <c r="D25" i="17"/>
  <c r="H21" i="17"/>
  <c r="D15" i="17"/>
  <c r="B39" i="16"/>
  <c r="B16" i="16"/>
  <c r="D15" i="16"/>
  <c r="T12" i="16"/>
  <c r="P20" i="32"/>
  <c r="D20" i="26"/>
  <c r="H34" i="22"/>
  <c r="H25" i="22"/>
  <c r="H34" i="20"/>
  <c r="P25" i="20"/>
  <c r="B22" i="20"/>
  <c r="P15" i="20"/>
  <c r="P33" i="17"/>
  <c r="B25" i="17"/>
  <c r="H16" i="17"/>
  <c r="B38" i="16"/>
  <c r="P33" i="16"/>
  <c r="T22" i="16"/>
  <c r="P12" i="16"/>
  <c r="H33" i="35"/>
  <c r="D4" i="29"/>
  <c r="D16" i="25"/>
  <c r="H22" i="23"/>
  <c r="P15" i="23"/>
  <c r="T24" i="22"/>
  <c r="P20" i="22"/>
  <c r="T29" i="20"/>
  <c r="H25" i="20"/>
  <c r="H15" i="20"/>
  <c r="T24" i="19"/>
  <c r="H33" i="32"/>
  <c r="P20" i="31"/>
  <c r="D16" i="26"/>
  <c r="B22" i="25"/>
  <c r="H13" i="23"/>
  <c r="H24" i="22"/>
  <c r="P33" i="20"/>
  <c r="H16" i="19"/>
  <c r="B38" i="17"/>
  <c r="P34" i="17"/>
  <c r="P29" i="17"/>
  <c r="D22" i="17"/>
  <c r="B13" i="17"/>
  <c r="P25" i="16"/>
  <c r="P20" i="16"/>
  <c r="P16" i="16"/>
  <c r="D12" i="16"/>
  <c r="H33" i="28"/>
  <c r="T34" i="26"/>
  <c r="B16" i="26"/>
  <c r="D12" i="23"/>
  <c r="P13" i="22"/>
  <c r="H33" i="20"/>
  <c r="D21" i="20"/>
  <c r="P20" i="19"/>
  <c r="P12" i="19"/>
  <c r="B22" i="17"/>
  <c r="T15" i="17"/>
  <c r="D33" i="16"/>
  <c r="P15" i="16"/>
  <c r="D5" i="16"/>
  <c r="P21" i="31"/>
  <c r="H24" i="29"/>
  <c r="D21" i="19"/>
  <c r="T29" i="17"/>
  <c r="B16" i="17"/>
  <c r="P13" i="16"/>
  <c r="B39" i="14"/>
  <c r="H24" i="14"/>
  <c r="H22" i="14"/>
  <c r="H13" i="14"/>
  <c r="D4" i="14"/>
  <c r="H34" i="13"/>
  <c r="H33" i="13"/>
  <c r="H29" i="13"/>
  <c r="H25" i="13"/>
  <c r="P15" i="13"/>
  <c r="D5" i="13"/>
  <c r="H34" i="11"/>
  <c r="H33" i="11"/>
  <c r="H29" i="11"/>
  <c r="H25" i="11"/>
  <c r="P15" i="11"/>
  <c r="D5" i="11"/>
  <c r="P20" i="10"/>
  <c r="P16" i="10"/>
  <c r="D12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P24" i="25"/>
  <c r="D15" i="23"/>
  <c r="B21" i="19"/>
  <c r="P21" i="17"/>
  <c r="H15" i="17"/>
  <c r="B22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B39" i="11"/>
  <c r="H24" i="11"/>
  <c r="H22" i="11"/>
  <c r="H13" i="11"/>
  <c r="D4" i="11"/>
  <c r="H34" i="10"/>
  <c r="H33" i="10"/>
  <c r="H29" i="10"/>
  <c r="H25" i="10"/>
  <c r="P15" i="10"/>
  <c r="D5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P22" i="25"/>
  <c r="H33" i="22"/>
  <c r="D21" i="17"/>
  <c r="P13" i="17"/>
  <c r="T21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D15" i="20"/>
  <c r="P16" i="19"/>
  <c r="B21" i="17"/>
  <c r="T16" i="16"/>
  <c r="B22" i="14"/>
  <c r="D21" i="14"/>
  <c r="H15" i="14"/>
  <c r="B25" i="13"/>
  <c r="D24" i="13"/>
  <c r="D22" i="13"/>
  <c r="H20" i="13"/>
  <c r="H16" i="13"/>
  <c r="B13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T13" i="25"/>
  <c r="B13" i="19"/>
  <c r="T34" i="17"/>
  <c r="D13" i="17"/>
  <c r="P21" i="16"/>
  <c r="H12" i="16"/>
  <c r="B21" i="14"/>
  <c r="D20" i="14"/>
  <c r="D16" i="14"/>
  <c r="B22" i="13"/>
  <c r="D21" i="13"/>
  <c r="H15" i="13"/>
  <c r="B22" i="11"/>
  <c r="D21" i="11"/>
  <c r="H15" i="11"/>
  <c r="B25" i="10"/>
  <c r="D24" i="10"/>
  <c r="D22" i="10"/>
  <c r="H20" i="10"/>
  <c r="H16" i="10"/>
  <c r="B13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T33" i="20"/>
  <c r="H12" i="17"/>
  <c r="D25" i="16"/>
  <c r="D21" i="16"/>
  <c r="T34" i="14"/>
  <c r="T33" i="14"/>
  <c r="T29" i="14"/>
  <c r="T25" i="14"/>
  <c r="B16" i="14"/>
  <c r="D15" i="14"/>
  <c r="T12" i="14"/>
  <c r="B21" i="13"/>
  <c r="D20" i="13"/>
  <c r="D16" i="13"/>
  <c r="B21" i="11"/>
  <c r="D20" i="11"/>
  <c r="D16" i="11"/>
  <c r="B22" i="10"/>
  <c r="D21" i="10"/>
  <c r="H15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P29" i="20"/>
  <c r="T24" i="16"/>
  <c r="T24" i="14"/>
  <c r="T22" i="14"/>
  <c r="P12" i="14"/>
  <c r="T34" i="13"/>
  <c r="T33" i="13"/>
  <c r="T29" i="13"/>
  <c r="T25" i="13"/>
  <c r="B16" i="13"/>
  <c r="D15" i="13"/>
  <c r="T12" i="13"/>
  <c r="T34" i="11"/>
  <c r="T33" i="11"/>
  <c r="T29" i="11"/>
  <c r="T25" i="11"/>
  <c r="B16" i="11"/>
  <c r="D15" i="11"/>
  <c r="T12" i="11"/>
  <c r="B21" i="10"/>
  <c r="D20" i="10"/>
  <c r="D16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B39" i="23"/>
  <c r="H29" i="20"/>
  <c r="T20" i="16"/>
  <c r="P34" i="14"/>
  <c r="P33" i="14"/>
  <c r="P29" i="14"/>
  <c r="P25" i="14"/>
  <c r="T21" i="14"/>
  <c r="T24" i="13"/>
  <c r="T22" i="13"/>
  <c r="P12" i="13"/>
  <c r="T24" i="11"/>
  <c r="T22" i="11"/>
  <c r="P12" i="11"/>
  <c r="T34" i="10"/>
  <c r="T33" i="10"/>
  <c r="T29" i="10"/>
  <c r="T25" i="10"/>
  <c r="B16" i="10"/>
  <c r="D15" i="10"/>
  <c r="T12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T29" i="23"/>
  <c r="D15" i="22"/>
  <c r="D33" i="17"/>
  <c r="P24" i="16"/>
  <c r="T15" i="16"/>
  <c r="P24" i="14"/>
  <c r="P22" i="14"/>
  <c r="T20" i="14"/>
  <c r="T16" i="14"/>
  <c r="T13" i="14"/>
  <c r="P34" i="13"/>
  <c r="P33" i="13"/>
  <c r="P29" i="13"/>
  <c r="P25" i="13"/>
  <c r="T21" i="13"/>
  <c r="P34" i="11"/>
  <c r="P33" i="11"/>
  <c r="P29" i="11"/>
  <c r="P25" i="11"/>
  <c r="T21" i="11"/>
  <c r="T24" i="10"/>
  <c r="T22" i="10"/>
  <c r="P12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T16" i="32"/>
  <c r="H15" i="16"/>
  <c r="P21" i="14"/>
  <c r="T15" i="14"/>
  <c r="P13" i="14"/>
  <c r="H12" i="14"/>
  <c r="P24" i="13"/>
  <c r="P22" i="13"/>
  <c r="T20" i="13"/>
  <c r="T16" i="13"/>
  <c r="T13" i="13"/>
  <c r="P24" i="11"/>
  <c r="P22" i="11"/>
  <c r="T20" i="11"/>
  <c r="T16" i="11"/>
  <c r="T13" i="11"/>
  <c r="P34" i="10"/>
  <c r="P33" i="10"/>
  <c r="P29" i="10"/>
  <c r="P25" i="10"/>
  <c r="T21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P21" i="13"/>
  <c r="H12" i="13"/>
  <c r="T16" i="10"/>
  <c r="T34" i="5"/>
  <c r="B16" i="5"/>
  <c r="P22" i="16"/>
  <c r="H34" i="14"/>
  <c r="P15" i="14"/>
  <c r="D12" i="13"/>
  <c r="P20" i="11"/>
  <c r="B39" i="8"/>
  <c r="H34" i="7"/>
  <c r="P15" i="7"/>
  <c r="D21" i="4"/>
  <c r="P24" i="10"/>
  <c r="H25" i="8"/>
  <c r="T33" i="5"/>
  <c r="D15" i="5"/>
  <c r="B21" i="4"/>
  <c r="H33" i="14"/>
  <c r="P20" i="13"/>
  <c r="T15" i="10"/>
  <c r="H33" i="7"/>
  <c r="D12" i="14"/>
  <c r="P22" i="10"/>
  <c r="T13" i="10"/>
  <c r="H34" i="8"/>
  <c r="P15" i="8"/>
  <c r="D12" i="7"/>
  <c r="T12" i="5"/>
  <c r="D20" i="4"/>
  <c r="T13" i="16"/>
  <c r="D5" i="14"/>
  <c r="P16" i="11"/>
  <c r="P13" i="10"/>
  <c r="H24" i="8"/>
  <c r="D5" i="7"/>
  <c r="B21" i="5"/>
  <c r="H15" i="4"/>
  <c r="P20" i="14"/>
  <c r="T15" i="11"/>
  <c r="H33" i="8"/>
  <c r="P20" i="7"/>
  <c r="T29" i="5"/>
  <c r="P34" i="16"/>
  <c r="T21" i="20"/>
  <c r="D16" i="17"/>
  <c r="H29" i="14"/>
  <c r="P16" i="13"/>
  <c r="P21" i="10"/>
  <c r="H12" i="10"/>
  <c r="H22" i="8"/>
  <c r="H13" i="8"/>
  <c r="H29" i="7"/>
  <c r="D20" i="5"/>
  <c r="D24" i="19"/>
  <c r="T15" i="13"/>
  <c r="P13" i="11"/>
  <c r="T20" i="10"/>
  <c r="D5" i="8"/>
  <c r="D16" i="4"/>
  <c r="D4" i="8"/>
  <c r="D29" i="16"/>
  <c r="P16" i="14"/>
  <c r="P13" i="13"/>
  <c r="P21" i="11"/>
  <c r="H12" i="11"/>
  <c r="H29" i="8"/>
  <c r="P16" i="7"/>
  <c r="T25" i="5"/>
  <c r="H25" i="14"/>
  <c r="D12" i="11"/>
  <c r="H25" i="7"/>
  <c r="D16" i="5"/>
  <c r="B22" i="4"/>
  <c r="L157" i="3" l="1"/>
  <c r="L213" i="3"/>
  <c r="X157" i="3"/>
  <c r="Z157" i="3" s="1"/>
  <c r="L221" i="3"/>
  <c r="Z221" i="3"/>
  <c r="H46" i="51"/>
  <c r="J46" i="51" s="1"/>
  <c r="N34" i="51"/>
  <c r="L16" i="5"/>
  <c r="N25" i="7"/>
  <c r="F36" i="11"/>
  <c r="F34" i="11"/>
  <c r="F33" i="11"/>
  <c r="F31" i="11"/>
  <c r="F29" i="11"/>
  <c r="F27" i="11"/>
  <c r="F25" i="11"/>
  <c r="F24" i="11"/>
  <c r="F22" i="11"/>
  <c r="F21" i="11"/>
  <c r="F20" i="11"/>
  <c r="F18" i="11"/>
  <c r="F16" i="11"/>
  <c r="D18" i="11"/>
  <c r="F15" i="11"/>
  <c r="L12" i="11"/>
  <c r="N25" i="14"/>
  <c r="Z25" i="5"/>
  <c r="X16" i="7"/>
  <c r="N29" i="8"/>
  <c r="J24" i="11"/>
  <c r="J22" i="11"/>
  <c r="J21" i="11"/>
  <c r="J20" i="11"/>
  <c r="J18" i="11"/>
  <c r="J16" i="11"/>
  <c r="H18" i="11"/>
  <c r="J15" i="11"/>
  <c r="N12" i="11"/>
  <c r="J29" i="11"/>
  <c r="J33" i="11"/>
  <c r="J27" i="11"/>
  <c r="J36" i="11"/>
  <c r="J25" i="11"/>
  <c r="J34" i="11"/>
  <c r="J31" i="11"/>
  <c r="X21" i="11"/>
  <c r="X13" i="13"/>
  <c r="X16" i="14"/>
  <c r="L29" i="16"/>
  <c r="L16" i="4"/>
  <c r="Z20" i="10"/>
  <c r="X13" i="11"/>
  <c r="Z15" i="13"/>
  <c r="L24" i="19"/>
  <c r="L20" i="5"/>
  <c r="N29" i="7"/>
  <c r="N13" i="8"/>
  <c r="N22" i="8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N12" i="10"/>
  <c r="X21" i="10"/>
  <c r="X16" i="13"/>
  <c r="N29" i="14"/>
  <c r="L16" i="17"/>
  <c r="Z21" i="20"/>
  <c r="X34" i="16"/>
  <c r="Z29" i="5"/>
  <c r="X20" i="7"/>
  <c r="N33" i="8"/>
  <c r="Z15" i="11"/>
  <c r="X20" i="14"/>
  <c r="N15" i="4"/>
  <c r="N24" i="8"/>
  <c r="X13" i="10"/>
  <c r="X16" i="11"/>
  <c r="Z13" i="16"/>
  <c r="L20" i="4"/>
  <c r="V21" i="5"/>
  <c r="V20" i="5"/>
  <c r="V18" i="5"/>
  <c r="V16" i="5"/>
  <c r="T18" i="5"/>
  <c r="V15" i="5"/>
  <c r="Z12" i="5"/>
  <c r="V24" i="5"/>
  <c r="V33" i="5"/>
  <c r="V22" i="5"/>
  <c r="V31" i="5"/>
  <c r="V29" i="5"/>
  <c r="V27" i="5"/>
  <c r="V25" i="5"/>
  <c r="V36" i="5"/>
  <c r="V34" i="5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D18" i="7"/>
  <c r="F15" i="7"/>
  <c r="L12" i="7"/>
  <c r="X15" i="8"/>
  <c r="N34" i="8"/>
  <c r="Z13" i="10"/>
  <c r="X22" i="10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L12" i="14"/>
  <c r="N33" i="7"/>
  <c r="Z15" i="10"/>
  <c r="X20" i="13"/>
  <c r="N33" i="14"/>
  <c r="L15" i="5"/>
  <c r="Z33" i="5"/>
  <c r="N25" i="8"/>
  <c r="X24" i="10"/>
  <c r="L21" i="4"/>
  <c r="X15" i="7"/>
  <c r="N34" i="7"/>
  <c r="X20" i="11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L12" i="13"/>
  <c r="X15" i="14"/>
  <c r="N34" i="14"/>
  <c r="X22" i="16"/>
  <c r="Z34" i="5"/>
  <c r="Z16" i="10"/>
  <c r="J24" i="13"/>
  <c r="J22" i="13"/>
  <c r="J21" i="13"/>
  <c r="J20" i="13"/>
  <c r="J18" i="13"/>
  <c r="J16" i="13"/>
  <c r="H18" i="13"/>
  <c r="J15" i="13"/>
  <c r="N12" i="13"/>
  <c r="J31" i="13"/>
  <c r="J29" i="13"/>
  <c r="J27" i="13"/>
  <c r="J34" i="13"/>
  <c r="J36" i="13"/>
  <c r="J25" i="13"/>
  <c r="J33" i="13"/>
  <c r="X21" i="13"/>
  <c r="N16" i="4"/>
  <c r="N20" i="4"/>
  <c r="L22" i="4"/>
  <c r="L24" i="4"/>
  <c r="N15" i="5"/>
  <c r="L21" i="5"/>
  <c r="J21" i="7"/>
  <c r="J20" i="7"/>
  <c r="J18" i="7"/>
  <c r="J16" i="7"/>
  <c r="H18" i="7"/>
  <c r="J15" i="7"/>
  <c r="N12" i="7"/>
  <c r="J34" i="7"/>
  <c r="J24" i="7"/>
  <c r="J33" i="7"/>
  <c r="J22" i="7"/>
  <c r="J31" i="7"/>
  <c r="J29" i="7"/>
  <c r="J27" i="7"/>
  <c r="J36" i="7"/>
  <c r="J25" i="7"/>
  <c r="X13" i="7"/>
  <c r="Z15" i="7"/>
  <c r="X21" i="7"/>
  <c r="F24" i="8"/>
  <c r="F22" i="8"/>
  <c r="F21" i="8"/>
  <c r="F20" i="8"/>
  <c r="F18" i="8"/>
  <c r="F16" i="8"/>
  <c r="D18" i="8"/>
  <c r="F15" i="8"/>
  <c r="L12" i="8"/>
  <c r="F27" i="8"/>
  <c r="F36" i="8"/>
  <c r="F25" i="8"/>
  <c r="F34" i="8"/>
  <c r="F31" i="8"/>
  <c r="F33" i="8"/>
  <c r="F29" i="8"/>
  <c r="X16" i="8"/>
  <c r="X20" i="8"/>
  <c r="Z21" i="10"/>
  <c r="X25" i="10"/>
  <c r="X29" i="10"/>
  <c r="X33" i="10"/>
  <c r="X34" i="10"/>
  <c r="Z13" i="11"/>
  <c r="Z16" i="11"/>
  <c r="Z20" i="11"/>
  <c r="X22" i="11"/>
  <c r="X24" i="11"/>
  <c r="Z13" i="13"/>
  <c r="Z16" i="13"/>
  <c r="Z20" i="13"/>
  <c r="X22" i="13"/>
  <c r="X24" i="13"/>
  <c r="J21" i="14"/>
  <c r="J20" i="14"/>
  <c r="J18" i="14"/>
  <c r="J16" i="14"/>
  <c r="H18" i="14"/>
  <c r="J15" i="14"/>
  <c r="N12" i="14"/>
  <c r="J34" i="14"/>
  <c r="J24" i="14"/>
  <c r="J33" i="14"/>
  <c r="J22" i="14"/>
  <c r="J31" i="14"/>
  <c r="J29" i="14"/>
  <c r="J27" i="14"/>
  <c r="J36" i="14"/>
  <c r="J25" i="14"/>
  <c r="X13" i="14"/>
  <c r="Z15" i="14"/>
  <c r="X21" i="14"/>
  <c r="N15" i="16"/>
  <c r="Z16" i="32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J20" i="8"/>
  <c r="J18" i="8"/>
  <c r="J16" i="8"/>
  <c r="H18" i="8"/>
  <c r="J15" i="8"/>
  <c r="N12" i="8"/>
  <c r="J36" i="8"/>
  <c r="J34" i="8"/>
  <c r="J33" i="8"/>
  <c r="J31" i="8"/>
  <c r="J29" i="8"/>
  <c r="J27" i="8"/>
  <c r="J25" i="8"/>
  <c r="J21" i="8"/>
  <c r="J24" i="8"/>
  <c r="J22" i="8"/>
  <c r="X13" i="8"/>
  <c r="Z15" i="8"/>
  <c r="X21" i="8"/>
  <c r="P18" i="10"/>
  <c r="R15" i="10"/>
  <c r="X12" i="10"/>
  <c r="R36" i="10"/>
  <c r="R34" i="10"/>
  <c r="R33" i="10"/>
  <c r="R31" i="10"/>
  <c r="R29" i="10"/>
  <c r="R27" i="10"/>
  <c r="R25" i="10"/>
  <c r="R24" i="10"/>
  <c r="R22" i="10"/>
  <c r="R20" i="10"/>
  <c r="R16" i="10"/>
  <c r="R21" i="10"/>
  <c r="R18" i="10"/>
  <c r="Z22" i="10"/>
  <c r="Z24" i="10"/>
  <c r="Z21" i="11"/>
  <c r="X25" i="11"/>
  <c r="X29" i="11"/>
  <c r="X33" i="11"/>
  <c r="X34" i="11"/>
  <c r="Z21" i="13"/>
  <c r="X25" i="13"/>
  <c r="X29" i="13"/>
  <c r="X33" i="13"/>
  <c r="X34" i="13"/>
  <c r="Z13" i="14"/>
  <c r="Z16" i="14"/>
  <c r="Z20" i="14"/>
  <c r="X22" i="14"/>
  <c r="X24" i="14"/>
  <c r="Z15" i="16"/>
  <c r="X24" i="16"/>
  <c r="L33" i="17"/>
  <c r="L15" i="22"/>
  <c r="Z29" i="23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V15" i="10"/>
  <c r="T18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20" i="11"/>
  <c r="R18" i="11"/>
  <c r="P18" i="11"/>
  <c r="R16" i="11"/>
  <c r="R15" i="11"/>
  <c r="Z22" i="11"/>
  <c r="Z24" i="11"/>
  <c r="X12" i="13"/>
  <c r="R36" i="13"/>
  <c r="R34" i="13"/>
  <c r="R33" i="13"/>
  <c r="R31" i="13"/>
  <c r="R29" i="13"/>
  <c r="R27" i="13"/>
  <c r="R25" i="13"/>
  <c r="R24" i="13"/>
  <c r="R22" i="13"/>
  <c r="R21" i="13"/>
  <c r="R20" i="13"/>
  <c r="R15" i="13"/>
  <c r="R18" i="13"/>
  <c r="P18" i="13"/>
  <c r="R16" i="13"/>
  <c r="Z22" i="13"/>
  <c r="Z24" i="13"/>
  <c r="Z21" i="14"/>
  <c r="X25" i="14"/>
  <c r="X29" i="14"/>
  <c r="X33" i="14"/>
  <c r="X34" i="14"/>
  <c r="Z20" i="16"/>
  <c r="N29" i="20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R15" i="7"/>
  <c r="P18" i="7"/>
  <c r="Z22" i="7"/>
  <c r="Z24" i="7"/>
  <c r="Z21" i="8"/>
  <c r="X25" i="8"/>
  <c r="X29" i="8"/>
  <c r="X33" i="8"/>
  <c r="X34" i="8"/>
  <c r="L16" i="10"/>
  <c r="L20" i="10"/>
  <c r="Z12" i="11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L15" i="11"/>
  <c r="Z25" i="11"/>
  <c r="Z29" i="11"/>
  <c r="Z33" i="11"/>
  <c r="Z34" i="11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R15" i="14"/>
  <c r="P18" i="14"/>
  <c r="Z22" i="14"/>
  <c r="Z24" i="14"/>
  <c r="Z24" i="16"/>
  <c r="X29" i="20"/>
  <c r="L12" i="4"/>
  <c r="F36" i="4"/>
  <c r="F34" i="4"/>
  <c r="F33" i="4"/>
  <c r="F31" i="4"/>
  <c r="F29" i="4"/>
  <c r="F27" i="4"/>
  <c r="F25" i="4"/>
  <c r="F24" i="4"/>
  <c r="F22" i="4"/>
  <c r="F21" i="4"/>
  <c r="F20" i="4"/>
  <c r="F18" i="4"/>
  <c r="D18" i="4"/>
  <c r="F16" i="4"/>
  <c r="F15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Z22" i="8"/>
  <c r="Z24" i="8"/>
  <c r="N15" i="10"/>
  <c r="L21" i="10"/>
  <c r="L16" i="11"/>
  <c r="L20" i="11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L21" i="16"/>
  <c r="L25" i="16"/>
  <c r="J24" i="17"/>
  <c r="J22" i="17"/>
  <c r="J21" i="17"/>
  <c r="J34" i="17"/>
  <c r="J29" i="17"/>
  <c r="J20" i="17"/>
  <c r="J15" i="17"/>
  <c r="N12" i="17"/>
  <c r="J36" i="17"/>
  <c r="J31" i="17"/>
  <c r="J25" i="17"/>
  <c r="J16" i="17"/>
  <c r="H18" i="17"/>
  <c r="J27" i="17"/>
  <c r="J33" i="17"/>
  <c r="J18" i="17"/>
  <c r="Z33" i="20"/>
  <c r="N12" i="4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X13" i="4"/>
  <c r="Z15" i="4"/>
  <c r="X21" i="4"/>
  <c r="L12" i="5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L15" i="8"/>
  <c r="Z25" i="8"/>
  <c r="Z29" i="8"/>
  <c r="Z33" i="8"/>
  <c r="Z34" i="8"/>
  <c r="N16" i="10"/>
  <c r="N20" i="10"/>
  <c r="L22" i="10"/>
  <c r="L24" i="10"/>
  <c r="N15" i="11"/>
  <c r="L21" i="11"/>
  <c r="N15" i="13"/>
  <c r="L21" i="13"/>
  <c r="L16" i="14"/>
  <c r="L20" i="14"/>
  <c r="J24" i="16"/>
  <c r="J21" i="16"/>
  <c r="J36" i="16"/>
  <c r="J25" i="16"/>
  <c r="J20" i="16"/>
  <c r="J18" i="16"/>
  <c r="J16" i="16"/>
  <c r="H18" i="16"/>
  <c r="J15" i="16"/>
  <c r="J29" i="16"/>
  <c r="J34" i="16"/>
  <c r="J22" i="16"/>
  <c r="J27" i="16"/>
  <c r="N12" i="16"/>
  <c r="J33" i="16"/>
  <c r="J31" i="16"/>
  <c r="X21" i="16"/>
  <c r="L13" i="17"/>
  <c r="Z34" i="17"/>
  <c r="Z13" i="25"/>
  <c r="Z13" i="4"/>
  <c r="Z16" i="4"/>
  <c r="Z20" i="4"/>
  <c r="X22" i="4"/>
  <c r="X24" i="4"/>
  <c r="N12" i="5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X13" i="5"/>
  <c r="Z15" i="5"/>
  <c r="X21" i="5"/>
  <c r="N15" i="7"/>
  <c r="L21" i="7"/>
  <c r="L16" i="8"/>
  <c r="L20" i="8"/>
  <c r="L13" i="10"/>
  <c r="N21" i="10"/>
  <c r="L25" i="10"/>
  <c r="L29" i="10"/>
  <c r="L33" i="10"/>
  <c r="L34" i="10"/>
  <c r="N16" i="11"/>
  <c r="N20" i="11"/>
  <c r="L22" i="11"/>
  <c r="L24" i="11"/>
  <c r="N16" i="13"/>
  <c r="N20" i="13"/>
  <c r="L22" i="13"/>
  <c r="L24" i="13"/>
  <c r="N15" i="14"/>
  <c r="L21" i="14"/>
  <c r="Z16" i="16"/>
  <c r="X16" i="19"/>
  <c r="L15" i="20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N13" i="10"/>
  <c r="N22" i="10"/>
  <c r="N24" i="10"/>
  <c r="L13" i="11"/>
  <c r="N21" i="11"/>
  <c r="L25" i="11"/>
  <c r="L29" i="11"/>
  <c r="L33" i="11"/>
  <c r="L34" i="11"/>
  <c r="L13" i="13"/>
  <c r="N21" i="13"/>
  <c r="L25" i="13"/>
  <c r="L29" i="13"/>
  <c r="L33" i="13"/>
  <c r="L34" i="13"/>
  <c r="N16" i="14"/>
  <c r="N20" i="14"/>
  <c r="L22" i="14"/>
  <c r="L24" i="14"/>
  <c r="Z21" i="16"/>
  <c r="X13" i="17"/>
  <c r="L21" i="17"/>
  <c r="N33" i="22"/>
  <c r="X22" i="25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X12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X15" i="10"/>
  <c r="N25" i="10"/>
  <c r="N29" i="10"/>
  <c r="N33" i="10"/>
  <c r="N34" i="10"/>
  <c r="N13" i="11"/>
  <c r="N22" i="11"/>
  <c r="N24" i="11"/>
  <c r="N13" i="13"/>
  <c r="N22" i="13"/>
  <c r="N24" i="13"/>
  <c r="L13" i="14"/>
  <c r="N21" i="14"/>
  <c r="L25" i="14"/>
  <c r="L29" i="14"/>
  <c r="L33" i="14"/>
  <c r="L34" i="14"/>
  <c r="N15" i="17"/>
  <c r="X21" i="17"/>
  <c r="L15" i="23"/>
  <c r="X24" i="25"/>
  <c r="V24" i="4"/>
  <c r="V22" i="4"/>
  <c r="V21" i="4"/>
  <c r="V20" i="4"/>
  <c r="V18" i="4"/>
  <c r="V16" i="4"/>
  <c r="T18" i="4"/>
  <c r="V15" i="4"/>
  <c r="V31" i="4"/>
  <c r="V29" i="4"/>
  <c r="V27" i="4"/>
  <c r="V36" i="4"/>
  <c r="V25" i="4"/>
  <c r="V34" i="4"/>
  <c r="V33" i="4"/>
  <c r="Z12" i="4"/>
  <c r="L15" i="4"/>
  <c r="Z25" i="4"/>
  <c r="Z29" i="4"/>
  <c r="Z33" i="4"/>
  <c r="Z34" i="4"/>
  <c r="R36" i="5"/>
  <c r="R34" i="5"/>
  <c r="R33" i="5"/>
  <c r="R31" i="5"/>
  <c r="R29" i="5"/>
  <c r="R27" i="5"/>
  <c r="R25" i="5"/>
  <c r="R24" i="5"/>
  <c r="R22" i="5"/>
  <c r="R21" i="5"/>
  <c r="R20" i="5"/>
  <c r="R18" i="5"/>
  <c r="R16" i="5"/>
  <c r="P18" i="5"/>
  <c r="R15" i="5"/>
  <c r="X12" i="5"/>
  <c r="Z22" i="5"/>
  <c r="Z24" i="5"/>
  <c r="N13" i="7"/>
  <c r="N22" i="7"/>
  <c r="N24" i="7"/>
  <c r="L13" i="8"/>
  <c r="N21" i="8"/>
  <c r="L25" i="8"/>
  <c r="L29" i="8"/>
  <c r="L33" i="8"/>
  <c r="L34" i="8"/>
  <c r="F36" i="10"/>
  <c r="F34" i="10"/>
  <c r="F33" i="10"/>
  <c r="F31" i="10"/>
  <c r="F29" i="10"/>
  <c r="F27" i="10"/>
  <c r="F25" i="10"/>
  <c r="F24" i="10"/>
  <c r="F22" i="10"/>
  <c r="F21" i="10"/>
  <c r="F20" i="10"/>
  <c r="F18" i="10"/>
  <c r="F16" i="10"/>
  <c r="D18" i="10"/>
  <c r="F15" i="10"/>
  <c r="L12" i="10"/>
  <c r="X16" i="10"/>
  <c r="X20" i="10"/>
  <c r="X15" i="11"/>
  <c r="N25" i="11"/>
  <c r="N29" i="11"/>
  <c r="N33" i="11"/>
  <c r="N34" i="11"/>
  <c r="X15" i="13"/>
  <c r="N25" i="13"/>
  <c r="N29" i="13"/>
  <c r="N33" i="13"/>
  <c r="N34" i="13"/>
  <c r="N13" i="14"/>
  <c r="N22" i="14"/>
  <c r="N24" i="14"/>
  <c r="X13" i="16"/>
  <c r="Z29" i="17"/>
  <c r="L21" i="19"/>
  <c r="N24" i="29"/>
  <c r="X21" i="31"/>
  <c r="X15" i="16"/>
  <c r="L33" i="16"/>
  <c r="Z15" i="17"/>
  <c r="R24" i="19"/>
  <c r="R22" i="19"/>
  <c r="R21" i="19"/>
  <c r="R20" i="19"/>
  <c r="R18" i="19"/>
  <c r="R16" i="19"/>
  <c r="R34" i="19"/>
  <c r="R25" i="19"/>
  <c r="R15" i="19"/>
  <c r="R29" i="19"/>
  <c r="P18" i="19"/>
  <c r="R33" i="19"/>
  <c r="X12" i="19"/>
  <c r="R31" i="19"/>
  <c r="R36" i="19"/>
  <c r="R27" i="19"/>
  <c r="X20" i="19"/>
  <c r="L21" i="20"/>
  <c r="N33" i="20"/>
  <c r="X13" i="22"/>
  <c r="F21" i="23"/>
  <c r="F20" i="23"/>
  <c r="F18" i="23"/>
  <c r="F16" i="23"/>
  <c r="D18" i="23"/>
  <c r="F15" i="23"/>
  <c r="L12" i="23"/>
  <c r="F22" i="23"/>
  <c r="F24" i="23"/>
  <c r="F27" i="23"/>
  <c r="F34" i="23"/>
  <c r="F25" i="23"/>
  <c r="F33" i="23"/>
  <c r="F31" i="23"/>
  <c r="F36" i="23"/>
  <c r="F29" i="23"/>
  <c r="Z34" i="26"/>
  <c r="N33" i="28"/>
  <c r="F34" i="16"/>
  <c r="F24" i="16"/>
  <c r="F22" i="16"/>
  <c r="F36" i="16"/>
  <c r="F25" i="16"/>
  <c r="F21" i="16"/>
  <c r="F27" i="16"/>
  <c r="D18" i="16"/>
  <c r="F15" i="16"/>
  <c r="F29" i="16"/>
  <c r="F33" i="16"/>
  <c r="F18" i="16"/>
  <c r="L12" i="16"/>
  <c r="F16" i="16"/>
  <c r="F31" i="16"/>
  <c r="F20" i="16"/>
  <c r="X16" i="16"/>
  <c r="X20" i="16"/>
  <c r="X25" i="16"/>
  <c r="L22" i="17"/>
  <c r="X29" i="17"/>
  <c r="X34" i="17"/>
  <c r="N16" i="19"/>
  <c r="X33" i="20"/>
  <c r="N24" i="22"/>
  <c r="N13" i="23"/>
  <c r="L16" i="26"/>
  <c r="X20" i="31"/>
  <c r="N33" i="32"/>
  <c r="Z24" i="19"/>
  <c r="N15" i="20"/>
  <c r="N25" i="20"/>
  <c r="Z29" i="20"/>
  <c r="X20" i="22"/>
  <c r="Z24" i="22"/>
  <c r="X15" i="23"/>
  <c r="N22" i="23"/>
  <c r="L16" i="25"/>
  <c r="N33" i="35"/>
  <c r="R29" i="16"/>
  <c r="X12" i="16"/>
  <c r="R33" i="16"/>
  <c r="R36" i="16"/>
  <c r="P18" i="16"/>
  <c r="R15" i="16"/>
  <c r="R27" i="16"/>
  <c r="R18" i="16"/>
  <c r="R21" i="16"/>
  <c r="R25" i="16"/>
  <c r="R16" i="16"/>
  <c r="R31" i="16"/>
  <c r="R24" i="16"/>
  <c r="R20" i="16"/>
  <c r="R22" i="16"/>
  <c r="R34" i="16"/>
  <c r="Z22" i="16"/>
  <c r="X33" i="16"/>
  <c r="N16" i="17"/>
  <c r="X33" i="17"/>
  <c r="X15" i="20"/>
  <c r="X25" i="20"/>
  <c r="N34" i="20"/>
  <c r="N25" i="22"/>
  <c r="N34" i="22"/>
  <c r="L20" i="26"/>
  <c r="X20" i="32"/>
  <c r="V24" i="16"/>
  <c r="V29" i="16"/>
  <c r="V31" i="16"/>
  <c r="V33" i="16"/>
  <c r="V22" i="16"/>
  <c r="V34" i="16"/>
  <c r="V21" i="16"/>
  <c r="V27" i="16"/>
  <c r="Z12" i="16"/>
  <c r="V16" i="16"/>
  <c r="V25" i="16"/>
  <c r="V20" i="16"/>
  <c r="V15" i="16"/>
  <c r="V36" i="16"/>
  <c r="V18" i="16"/>
  <c r="T18" i="16"/>
  <c r="L15" i="16"/>
  <c r="L15" i="17"/>
  <c r="N21" i="17"/>
  <c r="L25" i="17"/>
  <c r="Z33" i="17"/>
  <c r="L20" i="20"/>
  <c r="Z25" i="20"/>
  <c r="X34" i="20"/>
  <c r="Z20" i="22"/>
  <c r="N24" i="23"/>
  <c r="Z16" i="25"/>
  <c r="L29" i="29"/>
  <c r="L16" i="16"/>
  <c r="L20" i="16"/>
  <c r="L12" i="17"/>
  <c r="F36" i="17"/>
  <c r="F34" i="17"/>
  <c r="F33" i="17"/>
  <c r="F31" i="17"/>
  <c r="F29" i="17"/>
  <c r="F27" i="17"/>
  <c r="F25" i="17"/>
  <c r="D18" i="17"/>
  <c r="F24" i="17"/>
  <c r="F15" i="17"/>
  <c r="F21" i="17"/>
  <c r="F18" i="17"/>
  <c r="F22" i="17"/>
  <c r="F20" i="17"/>
  <c r="F16" i="17"/>
  <c r="X16" i="17"/>
  <c r="L20" i="17"/>
  <c r="N15" i="19"/>
  <c r="Z34" i="20"/>
  <c r="J20" i="22"/>
  <c r="J18" i="22"/>
  <c r="J36" i="22"/>
  <c r="J33" i="22"/>
  <c r="J29" i="22"/>
  <c r="J25" i="22"/>
  <c r="J21" i="22"/>
  <c r="J22" i="22"/>
  <c r="J15" i="22"/>
  <c r="J16" i="22"/>
  <c r="J24" i="22"/>
  <c r="H18" i="22"/>
  <c r="J27" i="22"/>
  <c r="N12" i="22"/>
  <c r="J34" i="22"/>
  <c r="J31" i="22"/>
  <c r="L16" i="22"/>
  <c r="N12" i="26"/>
  <c r="J24" i="26"/>
  <c r="J22" i="26"/>
  <c r="J21" i="26"/>
  <c r="J20" i="26"/>
  <c r="J18" i="26"/>
  <c r="J16" i="26"/>
  <c r="J36" i="26"/>
  <c r="J33" i="26"/>
  <c r="J29" i="26"/>
  <c r="J25" i="26"/>
  <c r="J34" i="26"/>
  <c r="J31" i="26"/>
  <c r="J27" i="26"/>
  <c r="H18" i="26"/>
  <c r="J15" i="26"/>
  <c r="X21" i="26"/>
  <c r="N25" i="28"/>
  <c r="L16" i="20"/>
  <c r="N16" i="22"/>
  <c r="X21" i="22"/>
  <c r="Z33" i="23"/>
  <c r="L20" i="25"/>
  <c r="V21" i="26"/>
  <c r="V20" i="26"/>
  <c r="V18" i="26"/>
  <c r="V16" i="26"/>
  <c r="T18" i="26"/>
  <c r="V15" i="26"/>
  <c r="V36" i="26"/>
  <c r="V33" i="26"/>
  <c r="V29" i="26"/>
  <c r="V25" i="26"/>
  <c r="V22" i="26"/>
  <c r="Z12" i="26"/>
  <c r="V31" i="26"/>
  <c r="V27" i="26"/>
  <c r="V34" i="26"/>
  <c r="V24" i="26"/>
  <c r="J24" i="31"/>
  <c r="J22" i="31"/>
  <c r="J21" i="31"/>
  <c r="J20" i="31"/>
  <c r="J18" i="31"/>
  <c r="J16" i="31"/>
  <c r="H18" i="31"/>
  <c r="J15" i="31"/>
  <c r="J33" i="31"/>
  <c r="J27" i="31"/>
  <c r="N12" i="31"/>
  <c r="J36" i="31"/>
  <c r="J31" i="31"/>
  <c r="J25" i="31"/>
  <c r="J34" i="31"/>
  <c r="J29" i="31"/>
  <c r="X16" i="34"/>
  <c r="N16" i="16"/>
  <c r="N20" i="16"/>
  <c r="L22" i="16"/>
  <c r="L24" i="16"/>
  <c r="X29" i="16"/>
  <c r="N20" i="17"/>
  <c r="Z21" i="17"/>
  <c r="L24" i="17"/>
  <c r="X25" i="17"/>
  <c r="L20" i="19"/>
  <c r="L22" i="19"/>
  <c r="T18" i="20"/>
  <c r="V15" i="20"/>
  <c r="V21" i="20"/>
  <c r="V16" i="20"/>
  <c r="Z12" i="20"/>
  <c r="V31" i="20"/>
  <c r="V20" i="20"/>
  <c r="V34" i="20"/>
  <c r="V22" i="20"/>
  <c r="V25" i="20"/>
  <c r="V29" i="20"/>
  <c r="V18" i="20"/>
  <c r="V36" i="20"/>
  <c r="V24" i="20"/>
  <c r="V27" i="20"/>
  <c r="V33" i="20"/>
  <c r="R36" i="22"/>
  <c r="R34" i="22"/>
  <c r="R33" i="22"/>
  <c r="R31" i="22"/>
  <c r="R29" i="22"/>
  <c r="R27" i="22"/>
  <c r="R25" i="22"/>
  <c r="R24" i="22"/>
  <c r="R22" i="22"/>
  <c r="R21" i="22"/>
  <c r="R15" i="22"/>
  <c r="R16" i="22"/>
  <c r="R18" i="22"/>
  <c r="P18" i="22"/>
  <c r="X12" i="22"/>
  <c r="R20" i="22"/>
  <c r="X16" i="22"/>
  <c r="Z15" i="28"/>
  <c r="X33" i="31"/>
  <c r="L13" i="16"/>
  <c r="N21" i="16"/>
  <c r="L34" i="16"/>
  <c r="V21" i="17"/>
  <c r="T18" i="17"/>
  <c r="V15" i="17"/>
  <c r="V31" i="17"/>
  <c r="V25" i="17"/>
  <c r="V36" i="17"/>
  <c r="V16" i="17"/>
  <c r="V33" i="17"/>
  <c r="V27" i="17"/>
  <c r="V22" i="17"/>
  <c r="V18" i="17"/>
  <c r="V20" i="17"/>
  <c r="Z12" i="17"/>
  <c r="V34" i="17"/>
  <c r="V24" i="17"/>
  <c r="V29" i="17"/>
  <c r="Z25" i="17"/>
  <c r="L29" i="17"/>
  <c r="L34" i="17"/>
  <c r="V20" i="22"/>
  <c r="V18" i="22"/>
  <c r="V16" i="22"/>
  <c r="V22" i="22"/>
  <c r="T18" i="22"/>
  <c r="V34" i="22"/>
  <c r="V31" i="22"/>
  <c r="V27" i="22"/>
  <c r="Z12" i="22"/>
  <c r="V24" i="22"/>
  <c r="V21" i="22"/>
  <c r="V29" i="22"/>
  <c r="V36" i="22"/>
  <c r="V25" i="22"/>
  <c r="V15" i="22"/>
  <c r="V33" i="22"/>
  <c r="N29" i="22"/>
  <c r="Z25" i="23"/>
  <c r="N34" i="23"/>
  <c r="Z20" i="25"/>
  <c r="X13" i="26"/>
  <c r="L34" i="29"/>
  <c r="N13" i="16"/>
  <c r="N22" i="16"/>
  <c r="N24" i="16"/>
  <c r="X20" i="17"/>
  <c r="L12" i="19"/>
  <c r="F36" i="19"/>
  <c r="F34" i="19"/>
  <c r="F33" i="19"/>
  <c r="F31" i="19"/>
  <c r="F29" i="19"/>
  <c r="F27" i="19"/>
  <c r="F25" i="19"/>
  <c r="F24" i="19"/>
  <c r="F22" i="19"/>
  <c r="F20" i="19"/>
  <c r="F15" i="19"/>
  <c r="F18" i="19"/>
  <c r="F21" i="19"/>
  <c r="D18" i="19"/>
  <c r="F16" i="19"/>
  <c r="L16" i="19"/>
  <c r="N20" i="19"/>
  <c r="Z22" i="19"/>
  <c r="L13" i="22"/>
  <c r="L22" i="22"/>
  <c r="Z15" i="26"/>
  <c r="N21" i="25"/>
  <c r="L34" i="25"/>
  <c r="L24" i="26"/>
  <c r="X15" i="28"/>
  <c r="N29" i="28"/>
  <c r="N34" i="28"/>
  <c r="N13" i="29"/>
  <c r="N22" i="29"/>
  <c r="X13" i="31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L12" i="32"/>
  <c r="X16" i="32"/>
  <c r="X24" i="34"/>
  <c r="X13" i="35"/>
  <c r="Z16" i="38"/>
  <c r="L34" i="43"/>
  <c r="V20" i="19"/>
  <c r="V18" i="19"/>
  <c r="V16" i="19"/>
  <c r="T18" i="19"/>
  <c r="V15" i="19"/>
  <c r="V24" i="19"/>
  <c r="V22" i="19"/>
  <c r="V34" i="19"/>
  <c r="V25" i="19"/>
  <c r="V29" i="19"/>
  <c r="V33" i="19"/>
  <c r="V21" i="19"/>
  <c r="V36" i="19"/>
  <c r="V31" i="19"/>
  <c r="Z12" i="19"/>
  <c r="V27" i="19"/>
  <c r="L15" i="19"/>
  <c r="Z25" i="19"/>
  <c r="Z29" i="19"/>
  <c r="Z33" i="19"/>
  <c r="Z34" i="19"/>
  <c r="R21" i="20"/>
  <c r="R20" i="20"/>
  <c r="R18" i="20"/>
  <c r="R16" i="20"/>
  <c r="P18" i="20"/>
  <c r="R15" i="20"/>
  <c r="R36" i="20"/>
  <c r="R34" i="20"/>
  <c r="R33" i="20"/>
  <c r="R31" i="20"/>
  <c r="R29" i="20"/>
  <c r="R27" i="20"/>
  <c r="R25" i="20"/>
  <c r="X12" i="20"/>
  <c r="R22" i="20"/>
  <c r="R24" i="20"/>
  <c r="Z22" i="20"/>
  <c r="Z24" i="20"/>
  <c r="Z13" i="22"/>
  <c r="N21" i="23"/>
  <c r="L34" i="23"/>
  <c r="N12" i="25"/>
  <c r="J36" i="25"/>
  <c r="J34" i="25"/>
  <c r="J33" i="25"/>
  <c r="J31" i="25"/>
  <c r="J29" i="25"/>
  <c r="J27" i="25"/>
  <c r="J25" i="25"/>
  <c r="J24" i="25"/>
  <c r="J22" i="25"/>
  <c r="J21" i="25"/>
  <c r="H18" i="25"/>
  <c r="J15" i="25"/>
  <c r="J20" i="25"/>
  <c r="J16" i="25"/>
  <c r="J18" i="25"/>
  <c r="Z15" i="25"/>
  <c r="X21" i="25"/>
  <c r="L12" i="26"/>
  <c r="F36" i="26"/>
  <c r="F34" i="26"/>
  <c r="F33" i="26"/>
  <c r="F31" i="26"/>
  <c r="F29" i="26"/>
  <c r="F27" i="26"/>
  <c r="F25" i="26"/>
  <c r="F24" i="26"/>
  <c r="F22" i="26"/>
  <c r="F18" i="26"/>
  <c r="D18" i="26"/>
  <c r="F15" i="26"/>
  <c r="F20" i="26"/>
  <c r="F16" i="26"/>
  <c r="F21" i="26"/>
  <c r="X20" i="28"/>
  <c r="N33" i="29"/>
  <c r="Z13" i="31"/>
  <c r="X22" i="31"/>
  <c r="J21" i="32"/>
  <c r="J20" i="32"/>
  <c r="J18" i="32"/>
  <c r="J16" i="32"/>
  <c r="H18" i="32"/>
  <c r="J15" i="32"/>
  <c r="N12" i="32"/>
  <c r="J24" i="32"/>
  <c r="J33" i="32"/>
  <c r="J27" i="32"/>
  <c r="J36" i="32"/>
  <c r="J31" i="32"/>
  <c r="J25" i="32"/>
  <c r="J29" i="32"/>
  <c r="J22" i="32"/>
  <c r="J34" i="32"/>
  <c r="X21" i="32"/>
  <c r="N16" i="34"/>
  <c r="N29" i="34"/>
  <c r="L24" i="44"/>
  <c r="Z15" i="31"/>
  <c r="X33" i="37"/>
  <c r="L22" i="38"/>
  <c r="L15" i="41"/>
  <c r="V20" i="53"/>
  <c r="V18" i="53"/>
  <c r="V16" i="53"/>
  <c r="T18" i="53"/>
  <c r="V15" i="53"/>
  <c r="Z12" i="53"/>
  <c r="V33" i="53"/>
  <c r="V29" i="53"/>
  <c r="V25" i="53"/>
  <c r="V36" i="53"/>
  <c r="V22" i="53"/>
  <c r="V27" i="53"/>
  <c r="V21" i="53"/>
  <c r="V24" i="53"/>
  <c r="V34" i="53"/>
  <c r="V31" i="53"/>
  <c r="N25" i="16"/>
  <c r="N29" i="16"/>
  <c r="N33" i="16"/>
  <c r="N34" i="16"/>
  <c r="N13" i="17"/>
  <c r="N22" i="17"/>
  <c r="N24" i="17"/>
  <c r="L13" i="19"/>
  <c r="N21" i="19"/>
  <c r="L25" i="19"/>
  <c r="L29" i="19"/>
  <c r="L33" i="19"/>
  <c r="L34" i="19"/>
  <c r="N16" i="20"/>
  <c r="N20" i="20"/>
  <c r="L22" i="20"/>
  <c r="L24" i="20"/>
  <c r="N22" i="22"/>
  <c r="Z34" i="22"/>
  <c r="X12" i="23"/>
  <c r="R24" i="23"/>
  <c r="R22" i="23"/>
  <c r="R21" i="23"/>
  <c r="R20" i="23"/>
  <c r="R18" i="23"/>
  <c r="R16" i="23"/>
  <c r="R36" i="23"/>
  <c r="R33" i="23"/>
  <c r="R29" i="23"/>
  <c r="R25" i="23"/>
  <c r="R34" i="23"/>
  <c r="R31" i="23"/>
  <c r="R27" i="23"/>
  <c r="P18" i="23"/>
  <c r="R15" i="23"/>
  <c r="Z24" i="23"/>
  <c r="N16" i="25"/>
  <c r="N20" i="25"/>
  <c r="L22" i="25"/>
  <c r="F24" i="28"/>
  <c r="F22" i="28"/>
  <c r="F21" i="28"/>
  <c r="F20" i="28"/>
  <c r="F18" i="28"/>
  <c r="F16" i="28"/>
  <c r="D18" i="28"/>
  <c r="F15" i="28"/>
  <c r="L12" i="28"/>
  <c r="F34" i="28"/>
  <c r="F29" i="28"/>
  <c r="F33" i="28"/>
  <c r="F27" i="28"/>
  <c r="F31" i="28"/>
  <c r="F25" i="28"/>
  <c r="F36" i="28"/>
  <c r="X16" i="28"/>
  <c r="X15" i="29"/>
  <c r="N29" i="29"/>
  <c r="N34" i="29"/>
  <c r="Z20" i="31"/>
  <c r="X24" i="31"/>
  <c r="X13" i="32"/>
  <c r="X20" i="34"/>
  <c r="N34" i="34"/>
  <c r="N22" i="35"/>
  <c r="X15" i="17"/>
  <c r="N25" i="17"/>
  <c r="N29" i="17"/>
  <c r="N33" i="17"/>
  <c r="N34" i="17"/>
  <c r="N13" i="19"/>
  <c r="N22" i="19"/>
  <c r="N24" i="19"/>
  <c r="L13" i="20"/>
  <c r="N21" i="20"/>
  <c r="L25" i="20"/>
  <c r="L29" i="20"/>
  <c r="L33" i="20"/>
  <c r="L34" i="20"/>
  <c r="Z12" i="23"/>
  <c r="V36" i="23"/>
  <c r="V34" i="23"/>
  <c r="V33" i="23"/>
  <c r="V31" i="23"/>
  <c r="V29" i="23"/>
  <c r="V27" i="23"/>
  <c r="V25" i="23"/>
  <c r="V20" i="23"/>
  <c r="V18" i="23"/>
  <c r="V16" i="23"/>
  <c r="T18" i="23"/>
  <c r="V15" i="23"/>
  <c r="V24" i="23"/>
  <c r="V21" i="23"/>
  <c r="V22" i="23"/>
  <c r="Z34" i="23"/>
  <c r="L13" i="25"/>
  <c r="L25" i="25"/>
  <c r="L29" i="25"/>
  <c r="L33" i="25"/>
  <c r="N16" i="26"/>
  <c r="N20" i="26"/>
  <c r="L22" i="26"/>
  <c r="J20" i="28"/>
  <c r="J18" i="28"/>
  <c r="J16" i="28"/>
  <c r="H18" i="28"/>
  <c r="J15" i="28"/>
  <c r="N12" i="28"/>
  <c r="J33" i="28"/>
  <c r="J27" i="28"/>
  <c r="J36" i="28"/>
  <c r="J31" i="28"/>
  <c r="J25" i="28"/>
  <c r="J34" i="28"/>
  <c r="J29" i="28"/>
  <c r="J24" i="28"/>
  <c r="J22" i="28"/>
  <c r="J21" i="28"/>
  <c r="X21" i="28"/>
  <c r="X20" i="29"/>
  <c r="X29" i="31"/>
  <c r="X34" i="31"/>
  <c r="Z13" i="32"/>
  <c r="X22" i="32"/>
  <c r="X15" i="19"/>
  <c r="N25" i="19"/>
  <c r="N29" i="19"/>
  <c r="N33" i="19"/>
  <c r="N34" i="19"/>
  <c r="N13" i="20"/>
  <c r="N22" i="20"/>
  <c r="N24" i="20"/>
  <c r="L13" i="23"/>
  <c r="L25" i="23"/>
  <c r="L29" i="23"/>
  <c r="L33" i="23"/>
  <c r="X13" i="25"/>
  <c r="X16" i="26"/>
  <c r="X20" i="26"/>
  <c r="N13" i="28"/>
  <c r="N22" i="28"/>
  <c r="N21" i="29"/>
  <c r="L25" i="29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D18" i="31"/>
  <c r="F15" i="31"/>
  <c r="L12" i="31"/>
  <c r="X16" i="31"/>
  <c r="X15" i="32"/>
  <c r="N29" i="32"/>
  <c r="N34" i="32"/>
  <c r="Z20" i="34"/>
  <c r="X22" i="37"/>
  <c r="J20" i="38"/>
  <c r="J34" i="38"/>
  <c r="J29" i="38"/>
  <c r="J24" i="38"/>
  <c r="J18" i="38"/>
  <c r="J16" i="38"/>
  <c r="J31" i="38"/>
  <c r="J25" i="38"/>
  <c r="H18" i="38"/>
  <c r="J15" i="38"/>
  <c r="J36" i="38"/>
  <c r="J21" i="38"/>
  <c r="J33" i="38"/>
  <c r="N12" i="38"/>
  <c r="J27" i="38"/>
  <c r="J22" i="38"/>
  <c r="Z13" i="17"/>
  <c r="Z16" i="17"/>
  <c r="Z20" i="17"/>
  <c r="X22" i="17"/>
  <c r="X24" i="17"/>
  <c r="N12" i="19"/>
  <c r="J24" i="19"/>
  <c r="J22" i="19"/>
  <c r="J21" i="19"/>
  <c r="J20" i="19"/>
  <c r="J18" i="19"/>
  <c r="J16" i="19"/>
  <c r="J31" i="19"/>
  <c r="J34" i="19"/>
  <c r="J25" i="19"/>
  <c r="J15" i="19"/>
  <c r="J29" i="19"/>
  <c r="H18" i="19"/>
  <c r="J33" i="19"/>
  <c r="J27" i="19"/>
  <c r="J36" i="19"/>
  <c r="X13" i="19"/>
  <c r="Z15" i="19"/>
  <c r="X21" i="19"/>
  <c r="L12" i="20"/>
  <c r="F36" i="20"/>
  <c r="F34" i="20"/>
  <c r="F33" i="20"/>
  <c r="F31" i="20"/>
  <c r="F29" i="20"/>
  <c r="F27" i="20"/>
  <c r="F25" i="20"/>
  <c r="F24" i="20"/>
  <c r="F22" i="20"/>
  <c r="F21" i="20"/>
  <c r="F16" i="20"/>
  <c r="F20" i="20"/>
  <c r="D18" i="20"/>
  <c r="F18" i="20"/>
  <c r="F15" i="20"/>
  <c r="X16" i="20"/>
  <c r="X20" i="20"/>
  <c r="N13" i="22"/>
  <c r="X15" i="22"/>
  <c r="Z22" i="22"/>
  <c r="N25" i="23"/>
  <c r="N29" i="23"/>
  <c r="N33" i="23"/>
  <c r="L15" i="26"/>
  <c r="Z25" i="26"/>
  <c r="Z29" i="26"/>
  <c r="Z33" i="26"/>
  <c r="N25" i="29"/>
  <c r="Z16" i="31"/>
  <c r="Z15" i="32"/>
  <c r="J21" i="34"/>
  <c r="J20" i="34"/>
  <c r="J18" i="34"/>
  <c r="J16" i="34"/>
  <c r="N12" i="34"/>
  <c r="J33" i="34"/>
  <c r="J27" i="34"/>
  <c r="J22" i="34"/>
  <c r="J15" i="34"/>
  <c r="J36" i="34"/>
  <c r="J31" i="34"/>
  <c r="J25" i="34"/>
  <c r="H18" i="34"/>
  <c r="J24" i="34"/>
  <c r="J34" i="34"/>
  <c r="J29" i="34"/>
  <c r="N13" i="35"/>
  <c r="Z22" i="37"/>
  <c r="X29" i="38"/>
  <c r="N20" i="40"/>
  <c r="Z13" i="19"/>
  <c r="Z16" i="19"/>
  <c r="Z20" i="19"/>
  <c r="X22" i="19"/>
  <c r="X24" i="19"/>
  <c r="J36" i="20"/>
  <c r="J34" i="20"/>
  <c r="J33" i="20"/>
  <c r="J31" i="20"/>
  <c r="J29" i="20"/>
  <c r="J27" i="20"/>
  <c r="J25" i="20"/>
  <c r="J21" i="20"/>
  <c r="J20" i="20"/>
  <c r="J18" i="20"/>
  <c r="J16" i="20"/>
  <c r="H18" i="20"/>
  <c r="J15" i="20"/>
  <c r="J24" i="20"/>
  <c r="N12" i="20"/>
  <c r="J22" i="20"/>
  <c r="X13" i="20"/>
  <c r="Z15" i="20"/>
  <c r="X21" i="20"/>
  <c r="Z16" i="22"/>
  <c r="L20" i="22"/>
  <c r="X16" i="23"/>
  <c r="X20" i="23"/>
  <c r="N15" i="25"/>
  <c r="L21" i="25"/>
  <c r="X13" i="28"/>
  <c r="F21" i="29"/>
  <c r="F20" i="29"/>
  <c r="F18" i="29"/>
  <c r="F16" i="29"/>
  <c r="D18" i="29"/>
  <c r="F15" i="29"/>
  <c r="L12" i="29"/>
  <c r="F22" i="29"/>
  <c r="F33" i="29"/>
  <c r="F27" i="29"/>
  <c r="F34" i="29"/>
  <c r="F31" i="29"/>
  <c r="F29" i="29"/>
  <c r="F25" i="29"/>
  <c r="F36" i="29"/>
  <c r="F24" i="29"/>
  <c r="X16" i="29"/>
  <c r="Z21" i="31"/>
  <c r="X25" i="31"/>
  <c r="Z20" i="32"/>
  <c r="X24" i="32"/>
  <c r="Z12" i="37"/>
  <c r="V36" i="37"/>
  <c r="V34" i="37"/>
  <c r="V33" i="37"/>
  <c r="V31" i="37"/>
  <c r="V29" i="37"/>
  <c r="V27" i="37"/>
  <c r="V25" i="37"/>
  <c r="V21" i="37"/>
  <c r="V16" i="37"/>
  <c r="V24" i="37"/>
  <c r="V20" i="37"/>
  <c r="V15" i="37"/>
  <c r="V22" i="37"/>
  <c r="V18" i="37"/>
  <c r="T18" i="37"/>
  <c r="Z25" i="37"/>
  <c r="Z25" i="16"/>
  <c r="Z29" i="16"/>
  <c r="Z33" i="16"/>
  <c r="Z34" i="16"/>
  <c r="R36" i="17"/>
  <c r="R34" i="17"/>
  <c r="R33" i="17"/>
  <c r="R31" i="17"/>
  <c r="R29" i="17"/>
  <c r="R27" i="17"/>
  <c r="R25" i="17"/>
  <c r="R21" i="17"/>
  <c r="R15" i="17"/>
  <c r="X12" i="17"/>
  <c r="R22" i="17"/>
  <c r="R24" i="17"/>
  <c r="R20" i="17"/>
  <c r="R18" i="17"/>
  <c r="P18" i="17"/>
  <c r="R16" i="17"/>
  <c r="Z22" i="17"/>
  <c r="Z24" i="17"/>
  <c r="Z21" i="19"/>
  <c r="X25" i="19"/>
  <c r="X29" i="19"/>
  <c r="X33" i="19"/>
  <c r="X34" i="19"/>
  <c r="Z13" i="20"/>
  <c r="Z16" i="20"/>
  <c r="Z20" i="20"/>
  <c r="X22" i="20"/>
  <c r="X24" i="20"/>
  <c r="F24" i="22"/>
  <c r="F22" i="22"/>
  <c r="F20" i="22"/>
  <c r="F18" i="22"/>
  <c r="F16" i="22"/>
  <c r="F36" i="22"/>
  <c r="F33" i="22"/>
  <c r="F29" i="22"/>
  <c r="F25" i="22"/>
  <c r="F15" i="22"/>
  <c r="F34" i="22"/>
  <c r="F31" i="22"/>
  <c r="F27" i="22"/>
  <c r="D18" i="22"/>
  <c r="L12" i="22"/>
  <c r="F21" i="22"/>
  <c r="Z15" i="22"/>
  <c r="N20" i="22"/>
  <c r="Z25" i="22"/>
  <c r="Z29" i="22"/>
  <c r="Z33" i="22"/>
  <c r="Z22" i="23"/>
  <c r="L24" i="25"/>
  <c r="N15" i="26"/>
  <c r="L21" i="26"/>
  <c r="N24" i="28"/>
  <c r="L13" i="29"/>
  <c r="L33" i="29"/>
  <c r="N25" i="32"/>
  <c r="Z13" i="37"/>
  <c r="X22" i="22"/>
  <c r="X24" i="22"/>
  <c r="H18" i="23"/>
  <c r="J15" i="23"/>
  <c r="N12" i="23"/>
  <c r="J36" i="23"/>
  <c r="J33" i="23"/>
  <c r="J29" i="23"/>
  <c r="J25" i="23"/>
  <c r="J22" i="23"/>
  <c r="J20" i="23"/>
  <c r="J16" i="23"/>
  <c r="J18" i="23"/>
  <c r="J34" i="23"/>
  <c r="J24" i="23"/>
  <c r="J31" i="23"/>
  <c r="J27" i="23"/>
  <c r="J21" i="23"/>
  <c r="X13" i="23"/>
  <c r="Z15" i="23"/>
  <c r="X21" i="23"/>
  <c r="N13" i="25"/>
  <c r="N22" i="25"/>
  <c r="N24" i="25"/>
  <c r="L13" i="26"/>
  <c r="N21" i="26"/>
  <c r="L25" i="26"/>
  <c r="L29" i="26"/>
  <c r="L33" i="26"/>
  <c r="L34" i="26"/>
  <c r="Z13" i="28"/>
  <c r="Z16" i="28"/>
  <c r="Z20" i="28"/>
  <c r="X22" i="28"/>
  <c r="X24" i="28"/>
  <c r="H18" i="29"/>
  <c r="J15" i="29"/>
  <c r="N12" i="29"/>
  <c r="J18" i="29"/>
  <c r="J36" i="29"/>
  <c r="J31" i="29"/>
  <c r="J25" i="29"/>
  <c r="J16" i="29"/>
  <c r="J34" i="29"/>
  <c r="J29" i="29"/>
  <c r="J24" i="29"/>
  <c r="J22" i="29"/>
  <c r="J20" i="29"/>
  <c r="J33" i="29"/>
  <c r="J27" i="29"/>
  <c r="J21" i="29"/>
  <c r="X13" i="29"/>
  <c r="Z15" i="29"/>
  <c r="X21" i="29"/>
  <c r="X12" i="31"/>
  <c r="R36" i="31"/>
  <c r="R34" i="31"/>
  <c r="R33" i="31"/>
  <c r="R31" i="31"/>
  <c r="R29" i="31"/>
  <c r="R27" i="31"/>
  <c r="R25" i="31"/>
  <c r="P18" i="31"/>
  <c r="R21" i="31"/>
  <c r="R24" i="31"/>
  <c r="R20" i="31"/>
  <c r="R18" i="31"/>
  <c r="R16" i="31"/>
  <c r="R15" i="31"/>
  <c r="R22" i="31"/>
  <c r="Z22" i="31"/>
  <c r="Z24" i="31"/>
  <c r="Z21" i="32"/>
  <c r="X25" i="32"/>
  <c r="X29" i="32"/>
  <c r="X33" i="32"/>
  <c r="X34" i="32"/>
  <c r="Z16" i="34"/>
  <c r="N25" i="34"/>
  <c r="N24" i="35"/>
  <c r="L15" i="37"/>
  <c r="Z33" i="37"/>
  <c r="R31" i="38"/>
  <c r="R25" i="38"/>
  <c r="R20" i="38"/>
  <c r="P18" i="38"/>
  <c r="R15" i="38"/>
  <c r="R36" i="38"/>
  <c r="R21" i="38"/>
  <c r="R33" i="38"/>
  <c r="R27" i="38"/>
  <c r="R22" i="38"/>
  <c r="X12" i="38"/>
  <c r="R24" i="38"/>
  <c r="R18" i="38"/>
  <c r="R29" i="38"/>
  <c r="R16" i="38"/>
  <c r="R34" i="38"/>
  <c r="X29" i="41"/>
  <c r="L16" i="53"/>
  <c r="Z21" i="22"/>
  <c r="X25" i="22"/>
  <c r="X29" i="22"/>
  <c r="X33" i="22"/>
  <c r="X34" i="22"/>
  <c r="Z13" i="23"/>
  <c r="Z16" i="23"/>
  <c r="Z20" i="23"/>
  <c r="X22" i="23"/>
  <c r="X24" i="23"/>
  <c r="X15" i="25"/>
  <c r="N25" i="25"/>
  <c r="N29" i="25"/>
  <c r="N33" i="25"/>
  <c r="N34" i="25"/>
  <c r="N13" i="26"/>
  <c r="N22" i="26"/>
  <c r="N24" i="26"/>
  <c r="Z21" i="28"/>
  <c r="X25" i="28"/>
  <c r="X29" i="28"/>
  <c r="X33" i="28"/>
  <c r="X34" i="28"/>
  <c r="Z13" i="29"/>
  <c r="Z16" i="29"/>
  <c r="Z20" i="29"/>
  <c r="X22" i="29"/>
  <c r="X24" i="29"/>
  <c r="Z12" i="31"/>
  <c r="V36" i="31"/>
  <c r="V34" i="31"/>
  <c r="V33" i="31"/>
  <c r="V31" i="31"/>
  <c r="V29" i="31"/>
  <c r="V27" i="31"/>
  <c r="V25" i="31"/>
  <c r="V24" i="31"/>
  <c r="V22" i="31"/>
  <c r="V21" i="31"/>
  <c r="V16" i="31"/>
  <c r="V20" i="31"/>
  <c r="V15" i="31"/>
  <c r="T18" i="31"/>
  <c r="V18" i="31"/>
  <c r="L15" i="31"/>
  <c r="Z25" i="31"/>
  <c r="Z29" i="31"/>
  <c r="Z33" i="31"/>
  <c r="Z34" i="31"/>
  <c r="X12" i="32"/>
  <c r="R36" i="32"/>
  <c r="R34" i="32"/>
  <c r="R33" i="32"/>
  <c r="R31" i="32"/>
  <c r="R29" i="32"/>
  <c r="R27" i="32"/>
  <c r="R25" i="32"/>
  <c r="R24" i="32"/>
  <c r="R22" i="32"/>
  <c r="R20" i="32"/>
  <c r="R18" i="32"/>
  <c r="P18" i="32"/>
  <c r="R16" i="32"/>
  <c r="R21" i="32"/>
  <c r="R15" i="32"/>
  <c r="Z22" i="32"/>
  <c r="Z24" i="32"/>
  <c r="X13" i="34"/>
  <c r="X15" i="35"/>
  <c r="N29" i="35"/>
  <c r="N34" i="35"/>
  <c r="Z20" i="37"/>
  <c r="X24" i="37"/>
  <c r="X13" i="38"/>
  <c r="R24" i="40"/>
  <c r="R22" i="40"/>
  <c r="R21" i="40"/>
  <c r="R20" i="40"/>
  <c r="R18" i="40"/>
  <c r="R16" i="40"/>
  <c r="P18" i="40"/>
  <c r="R15" i="40"/>
  <c r="R34" i="40"/>
  <c r="R25" i="40"/>
  <c r="R29" i="40"/>
  <c r="R33" i="40"/>
  <c r="R27" i="40"/>
  <c r="R36" i="40"/>
  <c r="X12" i="40"/>
  <c r="R31" i="40"/>
  <c r="J36" i="43"/>
  <c r="J34" i="43"/>
  <c r="J33" i="43"/>
  <c r="J31" i="43"/>
  <c r="J29" i="43"/>
  <c r="J27" i="43"/>
  <c r="J25" i="43"/>
  <c r="J24" i="43"/>
  <c r="J22" i="43"/>
  <c r="J21" i="43"/>
  <c r="J20" i="43"/>
  <c r="J16" i="43"/>
  <c r="H18" i="43"/>
  <c r="J15" i="43"/>
  <c r="N12" i="43"/>
  <c r="J18" i="43"/>
  <c r="X34" i="43"/>
  <c r="Z33" i="44"/>
  <c r="L22" i="49"/>
  <c r="Z21" i="23"/>
  <c r="X25" i="23"/>
  <c r="X29" i="23"/>
  <c r="X33" i="23"/>
  <c r="X34" i="23"/>
  <c r="F36" i="25"/>
  <c r="F34" i="25"/>
  <c r="F33" i="25"/>
  <c r="F31" i="25"/>
  <c r="F29" i="25"/>
  <c r="F27" i="25"/>
  <c r="F25" i="25"/>
  <c r="F21" i="25"/>
  <c r="F18" i="25"/>
  <c r="D18" i="25"/>
  <c r="F15" i="25"/>
  <c r="F22" i="25"/>
  <c r="F24" i="25"/>
  <c r="L12" i="25"/>
  <c r="F20" i="25"/>
  <c r="F16" i="25"/>
  <c r="X16" i="25"/>
  <c r="X20" i="25"/>
  <c r="X15" i="26"/>
  <c r="N25" i="26"/>
  <c r="N29" i="26"/>
  <c r="N33" i="26"/>
  <c r="N34" i="26"/>
  <c r="X12" i="28"/>
  <c r="R36" i="28"/>
  <c r="R34" i="28"/>
  <c r="R33" i="28"/>
  <c r="R31" i="28"/>
  <c r="R29" i="28"/>
  <c r="R27" i="28"/>
  <c r="R25" i="28"/>
  <c r="R24" i="28"/>
  <c r="R22" i="28"/>
  <c r="R21" i="28"/>
  <c r="R18" i="28"/>
  <c r="P18" i="28"/>
  <c r="R16" i="28"/>
  <c r="R15" i="28"/>
  <c r="R20" i="28"/>
  <c r="Z22" i="28"/>
  <c r="Z24" i="28"/>
  <c r="Z21" i="29"/>
  <c r="X25" i="29"/>
  <c r="X29" i="29"/>
  <c r="X33" i="29"/>
  <c r="X34" i="29"/>
  <c r="L16" i="31"/>
  <c r="L20" i="31"/>
  <c r="Z12" i="32"/>
  <c r="V36" i="32"/>
  <c r="V34" i="32"/>
  <c r="V33" i="32"/>
  <c r="V31" i="32"/>
  <c r="V29" i="32"/>
  <c r="V27" i="32"/>
  <c r="V25" i="32"/>
  <c r="V24" i="32"/>
  <c r="V22" i="32"/>
  <c r="V21" i="32"/>
  <c r="V20" i="32"/>
  <c r="V18" i="32"/>
  <c r="V16" i="32"/>
  <c r="V15" i="32"/>
  <c r="T18" i="32"/>
  <c r="L15" i="32"/>
  <c r="Z25" i="32"/>
  <c r="Z29" i="32"/>
  <c r="Z33" i="32"/>
  <c r="Z34" i="32"/>
  <c r="Z13" i="34"/>
  <c r="X21" i="34"/>
  <c r="X20" i="35"/>
  <c r="X29" i="37"/>
  <c r="X34" i="37"/>
  <c r="Z13" i="38"/>
  <c r="X24" i="38"/>
  <c r="V20" i="40"/>
  <c r="V18" i="40"/>
  <c r="V16" i="40"/>
  <c r="T18" i="40"/>
  <c r="V15" i="40"/>
  <c r="V25" i="40"/>
  <c r="V29" i="40"/>
  <c r="V33" i="40"/>
  <c r="V21" i="40"/>
  <c r="V36" i="40"/>
  <c r="V24" i="40"/>
  <c r="V27" i="40"/>
  <c r="Z12" i="40"/>
  <c r="V34" i="40"/>
  <c r="V22" i="40"/>
  <c r="V31" i="40"/>
  <c r="L21" i="41"/>
  <c r="X33" i="41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R15" i="29"/>
  <c r="P18" i="29"/>
  <c r="Z22" i="29"/>
  <c r="Z24" i="29"/>
  <c r="N15" i="31"/>
  <c r="L21" i="31"/>
  <c r="L16" i="32"/>
  <c r="L20" i="32"/>
  <c r="Z15" i="35"/>
  <c r="Z24" i="37"/>
  <c r="N33" i="38"/>
  <c r="Z21" i="41"/>
  <c r="Z22" i="46"/>
  <c r="X22" i="49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T18" i="29"/>
  <c r="V15" i="29"/>
  <c r="L15" i="29"/>
  <c r="Z25" i="29"/>
  <c r="Z29" i="29"/>
  <c r="Z33" i="29"/>
  <c r="Z34" i="29"/>
  <c r="N16" i="31"/>
  <c r="N20" i="31"/>
  <c r="L22" i="31"/>
  <c r="L24" i="31"/>
  <c r="N15" i="32"/>
  <c r="L21" i="32"/>
  <c r="X15" i="34"/>
  <c r="N33" i="34"/>
  <c r="Z29" i="37"/>
  <c r="Z34" i="37"/>
  <c r="Z24" i="38"/>
  <c r="L24" i="40"/>
  <c r="Z33" i="41"/>
  <c r="X13" i="50"/>
  <c r="N15" i="22"/>
  <c r="L21" i="22"/>
  <c r="L16" i="23"/>
  <c r="L20" i="23"/>
  <c r="Z21" i="25"/>
  <c r="X25" i="25"/>
  <c r="X29" i="25"/>
  <c r="X33" i="25"/>
  <c r="X34" i="25"/>
  <c r="Z13" i="26"/>
  <c r="Z16" i="26"/>
  <c r="Z20" i="26"/>
  <c r="X22" i="26"/>
  <c r="X24" i="26"/>
  <c r="N15" i="28"/>
  <c r="L21" i="28"/>
  <c r="L16" i="29"/>
  <c r="L20" i="29"/>
  <c r="L13" i="31"/>
  <c r="N21" i="31"/>
  <c r="L25" i="31"/>
  <c r="L29" i="31"/>
  <c r="L33" i="31"/>
  <c r="L34" i="31"/>
  <c r="N16" i="32"/>
  <c r="N20" i="32"/>
  <c r="L22" i="32"/>
  <c r="L24" i="32"/>
  <c r="N25" i="35"/>
  <c r="Z16" i="37"/>
  <c r="Z15" i="38"/>
  <c r="Z20" i="38"/>
  <c r="L16" i="40"/>
  <c r="X20" i="50"/>
  <c r="L24" i="22"/>
  <c r="N15" i="23"/>
  <c r="L21" i="23"/>
  <c r="R36" i="25"/>
  <c r="R34" i="25"/>
  <c r="R33" i="25"/>
  <c r="R31" i="25"/>
  <c r="R29" i="25"/>
  <c r="R27" i="25"/>
  <c r="R25" i="25"/>
  <c r="R24" i="25"/>
  <c r="R22" i="25"/>
  <c r="P18" i="25"/>
  <c r="R15" i="25"/>
  <c r="R20" i="25"/>
  <c r="R16" i="25"/>
  <c r="R18" i="25"/>
  <c r="R21" i="25"/>
  <c r="X12" i="25"/>
  <c r="Z22" i="25"/>
  <c r="Z24" i="25"/>
  <c r="Z21" i="26"/>
  <c r="X25" i="26"/>
  <c r="X29" i="26"/>
  <c r="X33" i="26"/>
  <c r="X34" i="26"/>
  <c r="N16" i="28"/>
  <c r="N20" i="28"/>
  <c r="L22" i="28"/>
  <c r="L24" i="28"/>
  <c r="N15" i="29"/>
  <c r="L21" i="29"/>
  <c r="N13" i="31"/>
  <c r="N22" i="31"/>
  <c r="N24" i="31"/>
  <c r="L13" i="32"/>
  <c r="N21" i="32"/>
  <c r="L25" i="32"/>
  <c r="L29" i="32"/>
  <c r="L33" i="32"/>
  <c r="L34" i="32"/>
  <c r="Z15" i="34"/>
  <c r="N20" i="34"/>
  <c r="F24" i="35"/>
  <c r="F22" i="35"/>
  <c r="F21" i="35"/>
  <c r="F20" i="35"/>
  <c r="F18" i="35"/>
  <c r="F16" i="35"/>
  <c r="D18" i="35"/>
  <c r="F15" i="35"/>
  <c r="L12" i="35"/>
  <c r="F36" i="35"/>
  <c r="F31" i="35"/>
  <c r="F25" i="35"/>
  <c r="F34" i="35"/>
  <c r="F29" i="35"/>
  <c r="F27" i="35"/>
  <c r="F33" i="35"/>
  <c r="X16" i="35"/>
  <c r="Z21" i="37"/>
  <c r="X25" i="37"/>
  <c r="Z24" i="41"/>
  <c r="R20" i="47"/>
  <c r="R18" i="47"/>
  <c r="R16" i="47"/>
  <c r="P18" i="47"/>
  <c r="R15" i="47"/>
  <c r="X12" i="47"/>
  <c r="R21" i="47"/>
  <c r="R25" i="47"/>
  <c r="R34" i="47"/>
  <c r="R36" i="47"/>
  <c r="R29" i="47"/>
  <c r="R22" i="47"/>
  <c r="R27" i="47"/>
  <c r="R33" i="47"/>
  <c r="R24" i="47"/>
  <c r="R31" i="47"/>
  <c r="N21" i="22"/>
  <c r="L25" i="22"/>
  <c r="L29" i="22"/>
  <c r="L33" i="22"/>
  <c r="L34" i="22"/>
  <c r="N16" i="23"/>
  <c r="N20" i="23"/>
  <c r="L22" i="23"/>
  <c r="L24" i="23"/>
  <c r="V24" i="25"/>
  <c r="V22" i="25"/>
  <c r="V21" i="25"/>
  <c r="V20" i="25"/>
  <c r="V18" i="25"/>
  <c r="V16" i="25"/>
  <c r="V36" i="25"/>
  <c r="V33" i="25"/>
  <c r="V29" i="25"/>
  <c r="V25" i="25"/>
  <c r="V27" i="25"/>
  <c r="T18" i="25"/>
  <c r="V34" i="25"/>
  <c r="Z12" i="25"/>
  <c r="V31" i="25"/>
  <c r="V15" i="25"/>
  <c r="L15" i="25"/>
  <c r="Z25" i="25"/>
  <c r="Z29" i="25"/>
  <c r="Z33" i="25"/>
  <c r="Z34" i="25"/>
  <c r="R36" i="26"/>
  <c r="R34" i="26"/>
  <c r="R33" i="26"/>
  <c r="R31" i="26"/>
  <c r="R29" i="26"/>
  <c r="R27" i="26"/>
  <c r="R25" i="26"/>
  <c r="R24" i="26"/>
  <c r="R22" i="26"/>
  <c r="R21" i="26"/>
  <c r="P18" i="26"/>
  <c r="R15" i="26"/>
  <c r="X12" i="26"/>
  <c r="R20" i="26"/>
  <c r="R18" i="26"/>
  <c r="R16" i="26"/>
  <c r="Z22" i="26"/>
  <c r="Z24" i="26"/>
  <c r="L13" i="28"/>
  <c r="N21" i="28"/>
  <c r="L25" i="28"/>
  <c r="L29" i="28"/>
  <c r="L33" i="28"/>
  <c r="L34" i="28"/>
  <c r="N16" i="29"/>
  <c r="N20" i="29"/>
  <c r="L22" i="29"/>
  <c r="L24" i="29"/>
  <c r="X15" i="31"/>
  <c r="N25" i="31"/>
  <c r="N29" i="31"/>
  <c r="N33" i="31"/>
  <c r="N34" i="31"/>
  <c r="N13" i="32"/>
  <c r="N22" i="32"/>
  <c r="N24" i="32"/>
  <c r="F36" i="34"/>
  <c r="F34" i="34"/>
  <c r="F33" i="34"/>
  <c r="F31" i="34"/>
  <c r="F29" i="34"/>
  <c r="F27" i="34"/>
  <c r="F25" i="34"/>
  <c r="F24" i="34"/>
  <c r="F22" i="34"/>
  <c r="F20" i="34"/>
  <c r="F18" i="34"/>
  <c r="F16" i="34"/>
  <c r="D18" i="34"/>
  <c r="F15" i="34"/>
  <c r="L12" i="34"/>
  <c r="F21" i="34"/>
  <c r="X22" i="34"/>
  <c r="J20" i="35"/>
  <c r="J18" i="35"/>
  <c r="J16" i="35"/>
  <c r="H18" i="35"/>
  <c r="J15" i="35"/>
  <c r="N12" i="35"/>
  <c r="J36" i="35"/>
  <c r="J31" i="35"/>
  <c r="J25" i="35"/>
  <c r="J21" i="35"/>
  <c r="J34" i="35"/>
  <c r="J29" i="35"/>
  <c r="J24" i="35"/>
  <c r="J27" i="35"/>
  <c r="J22" i="35"/>
  <c r="J33" i="35"/>
  <c r="X21" i="35"/>
  <c r="R20" i="37"/>
  <c r="R18" i="37"/>
  <c r="R16" i="37"/>
  <c r="P18" i="37"/>
  <c r="R15" i="37"/>
  <c r="X12" i="37"/>
  <c r="R36" i="37"/>
  <c r="R31" i="37"/>
  <c r="R25" i="37"/>
  <c r="R21" i="37"/>
  <c r="R34" i="37"/>
  <c r="R29" i="37"/>
  <c r="R24" i="37"/>
  <c r="R33" i="37"/>
  <c r="R27" i="37"/>
  <c r="R22" i="37"/>
  <c r="X34" i="38"/>
  <c r="N16" i="40"/>
  <c r="X21" i="50"/>
  <c r="Z21" i="34"/>
  <c r="X25" i="34"/>
  <c r="X29" i="34"/>
  <c r="X33" i="34"/>
  <c r="X34" i="34"/>
  <c r="Z13" i="35"/>
  <c r="Z16" i="35"/>
  <c r="Z20" i="35"/>
  <c r="X22" i="35"/>
  <c r="X24" i="35"/>
  <c r="L16" i="37"/>
  <c r="L20" i="37"/>
  <c r="V36" i="38"/>
  <c r="V34" i="38"/>
  <c r="V24" i="38"/>
  <c r="V22" i="38"/>
  <c r="V21" i="38"/>
  <c r="V33" i="38"/>
  <c r="V27" i="38"/>
  <c r="Z12" i="38"/>
  <c r="V29" i="38"/>
  <c r="V20" i="38"/>
  <c r="V15" i="38"/>
  <c r="V25" i="38"/>
  <c r="V18" i="38"/>
  <c r="T18" i="38"/>
  <c r="V31" i="38"/>
  <c r="V16" i="38"/>
  <c r="L15" i="38"/>
  <c r="L21" i="40"/>
  <c r="Z24" i="40"/>
  <c r="X24" i="44"/>
  <c r="X24" i="49"/>
  <c r="Z34" i="53"/>
  <c r="X12" i="34"/>
  <c r="R36" i="34"/>
  <c r="R34" i="34"/>
  <c r="R33" i="34"/>
  <c r="R31" i="34"/>
  <c r="R29" i="34"/>
  <c r="R27" i="34"/>
  <c r="R25" i="34"/>
  <c r="R24" i="34"/>
  <c r="R22" i="34"/>
  <c r="R15" i="34"/>
  <c r="R18" i="34"/>
  <c r="R21" i="34"/>
  <c r="P18" i="34"/>
  <c r="R20" i="34"/>
  <c r="R16" i="34"/>
  <c r="Z22" i="34"/>
  <c r="Z24" i="34"/>
  <c r="Z21" i="35"/>
  <c r="X25" i="35"/>
  <c r="X29" i="35"/>
  <c r="X33" i="35"/>
  <c r="X34" i="35"/>
  <c r="N15" i="37"/>
  <c r="L21" i="37"/>
  <c r="L16" i="38"/>
  <c r="L20" i="38"/>
  <c r="X22" i="38"/>
  <c r="N15" i="41"/>
  <c r="X25" i="41"/>
  <c r="Z29" i="41"/>
  <c r="N21" i="43"/>
  <c r="Z25" i="44"/>
  <c r="Z12" i="3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V15" i="34"/>
  <c r="T18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1" i="35"/>
  <c r="R16" i="35"/>
  <c r="R20" i="35"/>
  <c r="R15" i="35"/>
  <c r="R18" i="35"/>
  <c r="P18" i="35"/>
  <c r="Z22" i="35"/>
  <c r="Z24" i="35"/>
  <c r="N16" i="37"/>
  <c r="N20" i="37"/>
  <c r="L22" i="37"/>
  <c r="L24" i="37"/>
  <c r="N15" i="38"/>
  <c r="N25" i="38"/>
  <c r="X33" i="38"/>
  <c r="L15" i="40"/>
  <c r="Z33" i="40"/>
  <c r="X34" i="41"/>
  <c r="X21" i="43"/>
  <c r="L13" i="5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L15" i="35"/>
  <c r="Z25" i="35"/>
  <c r="Z29" i="35"/>
  <c r="Z33" i="35"/>
  <c r="Z34" i="35"/>
  <c r="L13" i="37"/>
  <c r="N21" i="37"/>
  <c r="L25" i="37"/>
  <c r="L29" i="37"/>
  <c r="L33" i="37"/>
  <c r="L34" i="37"/>
  <c r="N16" i="38"/>
  <c r="N20" i="38"/>
  <c r="Z22" i="38"/>
  <c r="L20" i="41"/>
  <c r="Z25" i="41"/>
  <c r="Z21" i="43"/>
  <c r="F36" i="44"/>
  <c r="F34" i="44"/>
  <c r="F33" i="44"/>
  <c r="F31" i="44"/>
  <c r="F29" i="44"/>
  <c r="F27" i="44"/>
  <c r="F25" i="44"/>
  <c r="F24" i="44"/>
  <c r="F22" i="44"/>
  <c r="D18" i="44"/>
  <c r="F15" i="44"/>
  <c r="F20" i="44"/>
  <c r="F16" i="44"/>
  <c r="F21" i="44"/>
  <c r="L12" i="44"/>
  <c r="F18" i="44"/>
  <c r="Z22" i="47"/>
  <c r="N15" i="34"/>
  <c r="L21" i="34"/>
  <c r="L16" i="35"/>
  <c r="L20" i="35"/>
  <c r="N13" i="37"/>
  <c r="N22" i="37"/>
  <c r="N24" i="37"/>
  <c r="L13" i="38"/>
  <c r="X21" i="38"/>
  <c r="N15" i="40"/>
  <c r="Z29" i="40"/>
  <c r="Z22" i="41"/>
  <c r="Z34" i="41"/>
  <c r="Z15" i="43"/>
  <c r="L21" i="44"/>
  <c r="Z29" i="46"/>
  <c r="L22" i="34"/>
  <c r="L24" i="34"/>
  <c r="N15" i="35"/>
  <c r="L21" i="35"/>
  <c r="X15" i="37"/>
  <c r="N25" i="37"/>
  <c r="N29" i="37"/>
  <c r="N33" i="37"/>
  <c r="N34" i="37"/>
  <c r="N13" i="38"/>
  <c r="L24" i="38"/>
  <c r="R21" i="41"/>
  <c r="R20" i="41"/>
  <c r="R18" i="41"/>
  <c r="R16" i="41"/>
  <c r="P18" i="41"/>
  <c r="R15" i="41"/>
  <c r="R27" i="41"/>
  <c r="X12" i="41"/>
  <c r="R31" i="41"/>
  <c r="R34" i="41"/>
  <c r="R22" i="41"/>
  <c r="R25" i="41"/>
  <c r="R29" i="41"/>
  <c r="R36" i="41"/>
  <c r="R24" i="41"/>
  <c r="R33" i="41"/>
  <c r="L16" i="41"/>
  <c r="L24" i="43"/>
  <c r="L15" i="44"/>
  <c r="Z24" i="47"/>
  <c r="L13" i="34"/>
  <c r="N21" i="34"/>
  <c r="L25" i="34"/>
  <c r="L29" i="34"/>
  <c r="L33" i="34"/>
  <c r="L34" i="34"/>
  <c r="N16" i="35"/>
  <c r="N20" i="35"/>
  <c r="L22" i="35"/>
  <c r="L24" i="35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L12" i="37"/>
  <c r="X16" i="37"/>
  <c r="X20" i="37"/>
  <c r="X15" i="38"/>
  <c r="X20" i="38"/>
  <c r="Z21" i="38"/>
  <c r="X25" i="38"/>
  <c r="N29" i="38"/>
  <c r="N34" i="38"/>
  <c r="L20" i="40"/>
  <c r="L22" i="40"/>
  <c r="Z25" i="40"/>
  <c r="T18" i="41"/>
  <c r="V15" i="41"/>
  <c r="V31" i="41"/>
  <c r="V16" i="41"/>
  <c r="V34" i="41"/>
  <c r="V22" i="41"/>
  <c r="V20" i="41"/>
  <c r="V25" i="41"/>
  <c r="V29" i="41"/>
  <c r="V33" i="41"/>
  <c r="V18" i="41"/>
  <c r="V36" i="41"/>
  <c r="V24" i="41"/>
  <c r="Z12" i="41"/>
  <c r="V21" i="41"/>
  <c r="V27" i="41"/>
  <c r="N15" i="44"/>
  <c r="Z29" i="44"/>
  <c r="R21" i="46"/>
  <c r="R20" i="46"/>
  <c r="R18" i="46"/>
  <c r="R16" i="46"/>
  <c r="R36" i="46"/>
  <c r="R33" i="46"/>
  <c r="R24" i="46"/>
  <c r="R34" i="46"/>
  <c r="P18" i="46"/>
  <c r="X12" i="46"/>
  <c r="R27" i="46"/>
  <c r="R22" i="46"/>
  <c r="R15" i="46"/>
  <c r="R25" i="46"/>
  <c r="R31" i="46"/>
  <c r="R29" i="46"/>
  <c r="L25" i="47"/>
  <c r="L25" i="52"/>
  <c r="N13" i="34"/>
  <c r="N22" i="34"/>
  <c r="N24" i="34"/>
  <c r="L13" i="35"/>
  <c r="N21" i="35"/>
  <c r="L25" i="35"/>
  <c r="L29" i="35"/>
  <c r="L33" i="35"/>
  <c r="L34" i="35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N12" i="37"/>
  <c r="X13" i="37"/>
  <c r="Z15" i="37"/>
  <c r="X21" i="37"/>
  <c r="F36" i="38"/>
  <c r="F34" i="38"/>
  <c r="F33" i="38"/>
  <c r="F31" i="38"/>
  <c r="F29" i="38"/>
  <c r="F27" i="38"/>
  <c r="F25" i="38"/>
  <c r="F24" i="38"/>
  <c r="F22" i="38"/>
  <c r="F20" i="38"/>
  <c r="F18" i="38"/>
  <c r="F16" i="38"/>
  <c r="D18" i="38"/>
  <c r="F15" i="38"/>
  <c r="F21" i="38"/>
  <c r="L12" i="38"/>
  <c r="X16" i="38"/>
  <c r="Z22" i="40"/>
  <c r="Z34" i="40"/>
  <c r="N16" i="49"/>
  <c r="T18" i="46"/>
  <c r="V15" i="46"/>
  <c r="Z12" i="46"/>
  <c r="V33" i="46"/>
  <c r="V24" i="46"/>
  <c r="V16" i="46"/>
  <c r="V29" i="46"/>
  <c r="V34" i="46"/>
  <c r="V31" i="46"/>
  <c r="V22" i="46"/>
  <c r="V36" i="46"/>
  <c r="V20" i="46"/>
  <c r="V21" i="46"/>
  <c r="V27" i="46"/>
  <c r="V25" i="46"/>
  <c r="V18" i="46"/>
  <c r="N25" i="46"/>
  <c r="Z12" i="47"/>
  <c r="V36" i="47"/>
  <c r="V34" i="47"/>
  <c r="V33" i="47"/>
  <c r="V31" i="47"/>
  <c r="V29" i="47"/>
  <c r="V27" i="47"/>
  <c r="V25" i="47"/>
  <c r="V18" i="47"/>
  <c r="V22" i="47"/>
  <c r="T18" i="47"/>
  <c r="V24" i="47"/>
  <c r="V21" i="47"/>
  <c r="V16" i="47"/>
  <c r="V15" i="47"/>
  <c r="V20" i="47"/>
  <c r="N25" i="47"/>
  <c r="Z16" i="49"/>
  <c r="Z15" i="50"/>
  <c r="X13" i="52"/>
  <c r="L13" i="40"/>
  <c r="N21" i="40"/>
  <c r="L25" i="40"/>
  <c r="L29" i="40"/>
  <c r="L33" i="40"/>
  <c r="L34" i="40"/>
  <c r="N16" i="41"/>
  <c r="N20" i="41"/>
  <c r="L22" i="41"/>
  <c r="L24" i="41"/>
  <c r="P18" i="43"/>
  <c r="R15" i="43"/>
  <c r="R21" i="43"/>
  <c r="R36" i="43"/>
  <c r="R33" i="43"/>
  <c r="R29" i="43"/>
  <c r="R25" i="43"/>
  <c r="R22" i="43"/>
  <c r="R20" i="43"/>
  <c r="R16" i="43"/>
  <c r="X12" i="43"/>
  <c r="R34" i="43"/>
  <c r="R31" i="43"/>
  <c r="R27" i="43"/>
  <c r="R24" i="43"/>
  <c r="R18" i="43"/>
  <c r="Z24" i="43"/>
  <c r="Z21" i="44"/>
  <c r="X34" i="44"/>
  <c r="N13" i="46"/>
  <c r="L20" i="46"/>
  <c r="Z33" i="47"/>
  <c r="X15" i="52"/>
  <c r="L20" i="53"/>
  <c r="Z25" i="38"/>
  <c r="Z29" i="38"/>
  <c r="Z33" i="38"/>
  <c r="Z34" i="38"/>
  <c r="N13" i="40"/>
  <c r="N22" i="40"/>
  <c r="N24" i="40"/>
  <c r="L13" i="41"/>
  <c r="N21" i="41"/>
  <c r="L25" i="41"/>
  <c r="L29" i="41"/>
  <c r="L33" i="41"/>
  <c r="L34" i="41"/>
  <c r="L16" i="43"/>
  <c r="L20" i="43"/>
  <c r="V36" i="44"/>
  <c r="V34" i="44"/>
  <c r="V33" i="44"/>
  <c r="V31" i="44"/>
  <c r="V29" i="44"/>
  <c r="V27" i="44"/>
  <c r="V25" i="44"/>
  <c r="V21" i="44"/>
  <c r="V20" i="44"/>
  <c r="V16" i="44"/>
  <c r="Z12" i="44"/>
  <c r="V24" i="44"/>
  <c r="V18" i="44"/>
  <c r="T18" i="44"/>
  <c r="V22" i="44"/>
  <c r="V15" i="44"/>
  <c r="Z34" i="44"/>
  <c r="X33" i="46"/>
  <c r="L15" i="47"/>
  <c r="X15" i="40"/>
  <c r="N25" i="40"/>
  <c r="N29" i="40"/>
  <c r="N33" i="40"/>
  <c r="N34" i="40"/>
  <c r="N13" i="41"/>
  <c r="N22" i="41"/>
  <c r="N24" i="41"/>
  <c r="N16" i="43"/>
  <c r="N20" i="43"/>
  <c r="L22" i="43"/>
  <c r="N21" i="47"/>
  <c r="N20" i="49"/>
  <c r="X34" i="49"/>
  <c r="X16" i="50"/>
  <c r="L21" i="38"/>
  <c r="L12" i="40"/>
  <c r="F36" i="40"/>
  <c r="F34" i="40"/>
  <c r="F33" i="40"/>
  <c r="F31" i="40"/>
  <c r="F29" i="40"/>
  <c r="F27" i="40"/>
  <c r="F25" i="40"/>
  <c r="F24" i="40"/>
  <c r="F22" i="40"/>
  <c r="F20" i="40"/>
  <c r="F15" i="40"/>
  <c r="F18" i="40"/>
  <c r="F21" i="40"/>
  <c r="D18" i="40"/>
  <c r="F16" i="40"/>
  <c r="X16" i="40"/>
  <c r="X20" i="40"/>
  <c r="X15" i="41"/>
  <c r="N25" i="41"/>
  <c r="N29" i="41"/>
  <c r="N33" i="41"/>
  <c r="N34" i="41"/>
  <c r="L13" i="43"/>
  <c r="L25" i="43"/>
  <c r="L29" i="43"/>
  <c r="L33" i="43"/>
  <c r="N16" i="44"/>
  <c r="N20" i="44"/>
  <c r="L22" i="44"/>
  <c r="X34" i="46"/>
  <c r="X34" i="47"/>
  <c r="X24" i="50"/>
  <c r="Z24" i="53"/>
  <c r="N12" i="40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J15" i="40"/>
  <c r="H18" i="40"/>
  <c r="X13" i="40"/>
  <c r="Z15" i="40"/>
  <c r="X21" i="40"/>
  <c r="L12" i="41"/>
  <c r="F36" i="41"/>
  <c r="F34" i="41"/>
  <c r="F33" i="41"/>
  <c r="F31" i="41"/>
  <c r="F29" i="41"/>
  <c r="F27" i="41"/>
  <c r="F25" i="41"/>
  <c r="F24" i="41"/>
  <c r="F22" i="41"/>
  <c r="F21" i="41"/>
  <c r="F16" i="41"/>
  <c r="F20" i="41"/>
  <c r="F15" i="41"/>
  <c r="F18" i="41"/>
  <c r="D18" i="41"/>
  <c r="X16" i="41"/>
  <c r="X20" i="41"/>
  <c r="X13" i="43"/>
  <c r="X16" i="44"/>
  <c r="X20" i="44"/>
  <c r="Z21" i="46"/>
  <c r="Z34" i="46"/>
  <c r="L29" i="47"/>
  <c r="Z20" i="49"/>
  <c r="N20" i="52"/>
  <c r="N21" i="38"/>
  <c r="L25" i="38"/>
  <c r="L29" i="38"/>
  <c r="L33" i="38"/>
  <c r="L34" i="38"/>
  <c r="Z13" i="40"/>
  <c r="Z16" i="40"/>
  <c r="Z20" i="40"/>
  <c r="X22" i="40"/>
  <c r="X24" i="40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H18" i="41"/>
  <c r="J15" i="41"/>
  <c r="N12" i="41"/>
  <c r="X13" i="41"/>
  <c r="Z15" i="41"/>
  <c r="X21" i="41"/>
  <c r="X25" i="43"/>
  <c r="X29" i="43"/>
  <c r="X33" i="43"/>
  <c r="Z13" i="44"/>
  <c r="Z16" i="44"/>
  <c r="Z20" i="44"/>
  <c r="X22" i="44"/>
  <c r="Z16" i="47"/>
  <c r="X13" i="49"/>
  <c r="N22" i="38"/>
  <c r="N24" i="38"/>
  <c r="Z21" i="40"/>
  <c r="X25" i="40"/>
  <c r="X29" i="40"/>
  <c r="X33" i="40"/>
  <c r="X34" i="40"/>
  <c r="Z13" i="41"/>
  <c r="Z16" i="41"/>
  <c r="Z20" i="41"/>
  <c r="X22" i="41"/>
  <c r="X24" i="41"/>
  <c r="Z22" i="43"/>
  <c r="X25" i="44"/>
  <c r="X29" i="44"/>
  <c r="X33" i="44"/>
  <c r="Z13" i="49"/>
  <c r="Z21" i="49"/>
  <c r="J24" i="50"/>
  <c r="J22" i="50"/>
  <c r="J21" i="50"/>
  <c r="H18" i="50"/>
  <c r="J15" i="50"/>
  <c r="J20" i="50"/>
  <c r="J16" i="50"/>
  <c r="N12" i="50"/>
  <c r="J34" i="50"/>
  <c r="J31" i="50"/>
  <c r="J27" i="50"/>
  <c r="J18" i="50"/>
  <c r="J25" i="50"/>
  <c r="J33" i="50"/>
  <c r="J36" i="50"/>
  <c r="J29" i="50"/>
  <c r="L12" i="46"/>
  <c r="F24" i="46"/>
  <c r="F22" i="46"/>
  <c r="F21" i="46"/>
  <c r="F20" i="46"/>
  <c r="F18" i="46"/>
  <c r="F16" i="46"/>
  <c r="F15" i="46"/>
  <c r="F31" i="46"/>
  <c r="F25" i="46"/>
  <c r="D18" i="46"/>
  <c r="F34" i="46"/>
  <c r="F36" i="46"/>
  <c r="F29" i="46"/>
  <c r="F27" i="46"/>
  <c r="F33" i="46"/>
  <c r="Z13" i="47"/>
  <c r="Z21" i="47"/>
  <c r="N24" i="49"/>
  <c r="N21" i="50"/>
  <c r="L34" i="50"/>
  <c r="Z13" i="43"/>
  <c r="Z16" i="43"/>
  <c r="Z20" i="43"/>
  <c r="X22" i="43"/>
  <c r="X24" i="43"/>
  <c r="J24" i="44"/>
  <c r="J22" i="44"/>
  <c r="J21" i="44"/>
  <c r="J20" i="44"/>
  <c r="J18" i="44"/>
  <c r="J16" i="44"/>
  <c r="J36" i="44"/>
  <c r="J33" i="44"/>
  <c r="J29" i="44"/>
  <c r="J25" i="44"/>
  <c r="N12" i="44"/>
  <c r="J15" i="44"/>
  <c r="J27" i="44"/>
  <c r="J34" i="44"/>
  <c r="H18" i="44"/>
  <c r="J31" i="44"/>
  <c r="X13" i="44"/>
  <c r="Z15" i="44"/>
  <c r="X21" i="44"/>
  <c r="X15" i="46"/>
  <c r="N34" i="46"/>
  <c r="X24" i="47"/>
  <c r="Z29" i="47"/>
  <c r="X33" i="47"/>
  <c r="J36" i="49"/>
  <c r="J34" i="49"/>
  <c r="J33" i="49"/>
  <c r="J31" i="49"/>
  <c r="J29" i="49"/>
  <c r="J27" i="49"/>
  <c r="J25" i="49"/>
  <c r="J24" i="49"/>
  <c r="J22" i="49"/>
  <c r="J20" i="49"/>
  <c r="J18" i="49"/>
  <c r="J16" i="49"/>
  <c r="H18" i="49"/>
  <c r="J15" i="49"/>
  <c r="J21" i="49"/>
  <c r="N12" i="49"/>
  <c r="Z15" i="49"/>
  <c r="X21" i="49"/>
  <c r="F36" i="50"/>
  <c r="F34" i="50"/>
  <c r="F33" i="50"/>
  <c r="F31" i="50"/>
  <c r="F29" i="50"/>
  <c r="F27" i="50"/>
  <c r="F25" i="50"/>
  <c r="F21" i="50"/>
  <c r="D18" i="50"/>
  <c r="F15" i="50"/>
  <c r="F18" i="50"/>
  <c r="F22" i="50"/>
  <c r="F24" i="50"/>
  <c r="F20" i="50"/>
  <c r="F16" i="50"/>
  <c r="L12" i="50"/>
  <c r="Z22" i="53"/>
  <c r="Z12" i="43"/>
  <c r="V24" i="43"/>
  <c r="V22" i="43"/>
  <c r="T18" i="43"/>
  <c r="V15" i="43"/>
  <c r="V20" i="43"/>
  <c r="V16" i="43"/>
  <c r="V34" i="43"/>
  <c r="V31" i="43"/>
  <c r="V27" i="43"/>
  <c r="V21" i="43"/>
  <c r="V33" i="43"/>
  <c r="V29" i="43"/>
  <c r="V36" i="43"/>
  <c r="V25" i="43"/>
  <c r="V18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0" i="44"/>
  <c r="R18" i="44"/>
  <c r="R16" i="44"/>
  <c r="R22" i="44"/>
  <c r="R24" i="44"/>
  <c r="R21" i="44"/>
  <c r="P18" i="44"/>
  <c r="R15" i="44"/>
  <c r="Z22" i="44"/>
  <c r="Z24" i="44"/>
  <c r="X25" i="46"/>
  <c r="N29" i="46"/>
  <c r="Z20" i="47"/>
  <c r="N22" i="47"/>
  <c r="L34" i="47"/>
  <c r="P18" i="49"/>
  <c r="R15" i="49"/>
  <c r="X12" i="49"/>
  <c r="R36" i="49"/>
  <c r="R33" i="49"/>
  <c r="R29" i="49"/>
  <c r="R25" i="49"/>
  <c r="R22" i="49"/>
  <c r="R34" i="49"/>
  <c r="R31" i="49"/>
  <c r="R27" i="49"/>
  <c r="R18" i="49"/>
  <c r="R21" i="49"/>
  <c r="R20" i="49"/>
  <c r="R24" i="49"/>
  <c r="R16" i="49"/>
  <c r="Z24" i="49"/>
  <c r="Z21" i="50"/>
  <c r="X34" i="50"/>
  <c r="L20" i="52"/>
  <c r="L12" i="53"/>
  <c r="F36" i="53"/>
  <c r="F34" i="53"/>
  <c r="F33" i="53"/>
  <c r="F31" i="53"/>
  <c r="F29" i="53"/>
  <c r="F27" i="53"/>
  <c r="F25" i="53"/>
  <c r="F24" i="53"/>
  <c r="F22" i="53"/>
  <c r="F20" i="53"/>
  <c r="F18" i="53"/>
  <c r="F16" i="53"/>
  <c r="F21" i="53"/>
  <c r="D18" i="53"/>
  <c r="F15" i="53"/>
  <c r="N15" i="43"/>
  <c r="L21" i="43"/>
  <c r="L16" i="44"/>
  <c r="L20" i="44"/>
  <c r="L16" i="46"/>
  <c r="N24" i="46"/>
  <c r="Z25" i="46"/>
  <c r="X29" i="46"/>
  <c r="N33" i="46"/>
  <c r="X15" i="47"/>
  <c r="X22" i="47"/>
  <c r="N34" i="47"/>
  <c r="N13" i="49"/>
  <c r="N22" i="49"/>
  <c r="L13" i="50"/>
  <c r="L25" i="50"/>
  <c r="L29" i="50"/>
  <c r="L33" i="50"/>
  <c r="N33" i="52"/>
  <c r="R24" i="53"/>
  <c r="R22" i="53"/>
  <c r="R21" i="53"/>
  <c r="R20" i="53"/>
  <c r="R18" i="53"/>
  <c r="R16" i="53"/>
  <c r="R36" i="53"/>
  <c r="R29" i="53"/>
  <c r="R15" i="53"/>
  <c r="R34" i="53"/>
  <c r="R25" i="53"/>
  <c r="R33" i="53"/>
  <c r="P18" i="53"/>
  <c r="R31" i="53"/>
  <c r="R27" i="53"/>
  <c r="X12" i="53"/>
  <c r="N13" i="43"/>
  <c r="N22" i="43"/>
  <c r="N24" i="43"/>
  <c r="L13" i="44"/>
  <c r="N21" i="44"/>
  <c r="L25" i="44"/>
  <c r="L29" i="44"/>
  <c r="L33" i="44"/>
  <c r="L34" i="44"/>
  <c r="X16" i="46"/>
  <c r="L13" i="47"/>
  <c r="X25" i="47"/>
  <c r="N29" i="47"/>
  <c r="L33" i="47"/>
  <c r="X25" i="49"/>
  <c r="X29" i="49"/>
  <c r="X33" i="49"/>
  <c r="Z13" i="50"/>
  <c r="Z16" i="50"/>
  <c r="Z20" i="50"/>
  <c r="X22" i="50"/>
  <c r="N24" i="52"/>
  <c r="L29" i="52"/>
  <c r="L34" i="52"/>
  <c r="X15" i="43"/>
  <c r="N25" i="43"/>
  <c r="N29" i="43"/>
  <c r="N33" i="43"/>
  <c r="N34" i="43"/>
  <c r="N13" i="44"/>
  <c r="N22" i="44"/>
  <c r="N24" i="44"/>
  <c r="L15" i="46"/>
  <c r="Z24" i="46"/>
  <c r="Z33" i="46"/>
  <c r="N13" i="47"/>
  <c r="Z34" i="47"/>
  <c r="Z22" i="49"/>
  <c r="X25" i="50"/>
  <c r="X29" i="50"/>
  <c r="X33" i="50"/>
  <c r="L12" i="52"/>
  <c r="F21" i="52"/>
  <c r="F34" i="52"/>
  <c r="F29" i="52"/>
  <c r="F24" i="52"/>
  <c r="F31" i="52"/>
  <c r="F25" i="52"/>
  <c r="F18" i="52"/>
  <c r="F16" i="52"/>
  <c r="F20" i="52"/>
  <c r="F33" i="52"/>
  <c r="F27" i="52"/>
  <c r="F22" i="52"/>
  <c r="F15" i="52"/>
  <c r="F36" i="52"/>
  <c r="D18" i="52"/>
  <c r="N29" i="52"/>
  <c r="F36" i="43"/>
  <c r="F34" i="43"/>
  <c r="F33" i="43"/>
  <c r="F31" i="43"/>
  <c r="F29" i="43"/>
  <c r="F27" i="43"/>
  <c r="F25" i="43"/>
  <c r="F20" i="43"/>
  <c r="F18" i="43"/>
  <c r="F16" i="43"/>
  <c r="L12" i="43"/>
  <c r="F22" i="43"/>
  <c r="F24" i="43"/>
  <c r="D18" i="43"/>
  <c r="F15" i="43"/>
  <c r="F21" i="43"/>
  <c r="X16" i="43"/>
  <c r="X20" i="43"/>
  <c r="X15" i="44"/>
  <c r="N25" i="44"/>
  <c r="N29" i="44"/>
  <c r="N33" i="44"/>
  <c r="N34" i="44"/>
  <c r="X20" i="46"/>
  <c r="N22" i="46"/>
  <c r="N24" i="47"/>
  <c r="Z25" i="47"/>
  <c r="X29" i="47"/>
  <c r="N33" i="47"/>
  <c r="L24" i="49"/>
  <c r="N15" i="50"/>
  <c r="L21" i="50"/>
  <c r="X16" i="52"/>
  <c r="N21" i="52"/>
  <c r="Z29" i="52"/>
  <c r="N15" i="46"/>
  <c r="L21" i="46"/>
  <c r="L16" i="47"/>
  <c r="L20" i="47"/>
  <c r="Z12" i="49"/>
  <c r="V36" i="49"/>
  <c r="V34" i="49"/>
  <c r="V33" i="49"/>
  <c r="V31" i="49"/>
  <c r="V29" i="49"/>
  <c r="V27" i="49"/>
  <c r="V25" i="49"/>
  <c r="V24" i="49"/>
  <c r="V22" i="49"/>
  <c r="V20" i="49"/>
  <c r="V16" i="49"/>
  <c r="V21" i="49"/>
  <c r="V18" i="49"/>
  <c r="T18" i="49"/>
  <c r="V15" i="49"/>
  <c r="L15" i="49"/>
  <c r="Z25" i="49"/>
  <c r="Z29" i="49"/>
  <c r="Z33" i="49"/>
  <c r="Z34" i="49"/>
  <c r="X12" i="50"/>
  <c r="R36" i="50"/>
  <c r="R34" i="50"/>
  <c r="R33" i="50"/>
  <c r="R31" i="50"/>
  <c r="R29" i="50"/>
  <c r="R27" i="50"/>
  <c r="R25" i="50"/>
  <c r="R22" i="50"/>
  <c r="R24" i="50"/>
  <c r="P18" i="50"/>
  <c r="R15" i="50"/>
  <c r="R18" i="50"/>
  <c r="R16" i="50"/>
  <c r="R21" i="50"/>
  <c r="R20" i="50"/>
  <c r="Z22" i="50"/>
  <c r="Z24" i="50"/>
  <c r="N13" i="52"/>
  <c r="Z15" i="52"/>
  <c r="X21" i="52"/>
  <c r="Z33" i="52"/>
  <c r="N16" i="53"/>
  <c r="N20" i="53"/>
  <c r="L22" i="53"/>
  <c r="N16" i="46"/>
  <c r="N20" i="46"/>
  <c r="L22" i="46"/>
  <c r="L24" i="46"/>
  <c r="N15" i="47"/>
  <c r="L21" i="47"/>
  <c r="L16" i="49"/>
  <c r="L20" i="49"/>
  <c r="V36" i="50"/>
  <c r="V34" i="50"/>
  <c r="V33" i="50"/>
  <c r="V31" i="50"/>
  <c r="V29" i="50"/>
  <c r="V27" i="50"/>
  <c r="V25" i="50"/>
  <c r="V24" i="50"/>
  <c r="V22" i="50"/>
  <c r="V21" i="50"/>
  <c r="V20" i="50"/>
  <c r="V16" i="50"/>
  <c r="V18" i="50"/>
  <c r="T18" i="50"/>
  <c r="V15" i="50"/>
  <c r="Z12" i="50"/>
  <c r="L15" i="50"/>
  <c r="Z25" i="50"/>
  <c r="Z29" i="50"/>
  <c r="Z33" i="50"/>
  <c r="Z34" i="50"/>
  <c r="L24" i="52"/>
  <c r="N25" i="52"/>
  <c r="N25" i="53"/>
  <c r="N29" i="53"/>
  <c r="N33" i="53"/>
  <c r="L13" i="46"/>
  <c r="N21" i="46"/>
  <c r="L25" i="46"/>
  <c r="L29" i="46"/>
  <c r="L33" i="46"/>
  <c r="L34" i="46"/>
  <c r="N16" i="47"/>
  <c r="N20" i="47"/>
  <c r="L22" i="47"/>
  <c r="L24" i="47"/>
  <c r="N15" i="49"/>
  <c r="L21" i="49"/>
  <c r="L16" i="50"/>
  <c r="L20" i="50"/>
  <c r="L16" i="52"/>
  <c r="X20" i="52"/>
  <c r="X16" i="53"/>
  <c r="X20" i="53"/>
  <c r="L13" i="49"/>
  <c r="N21" i="49"/>
  <c r="L25" i="49"/>
  <c r="L29" i="49"/>
  <c r="L33" i="49"/>
  <c r="L34" i="49"/>
  <c r="N16" i="50"/>
  <c r="N20" i="50"/>
  <c r="L22" i="50"/>
  <c r="L24" i="50"/>
  <c r="L15" i="52"/>
  <c r="N16" i="52"/>
  <c r="L22" i="52"/>
  <c r="Z25" i="52"/>
  <c r="L15" i="53"/>
  <c r="Z25" i="53"/>
  <c r="Z29" i="53"/>
  <c r="Z33" i="53"/>
  <c r="J20" i="46"/>
  <c r="J18" i="46"/>
  <c r="J16" i="46"/>
  <c r="H18" i="46"/>
  <c r="J15" i="46"/>
  <c r="J27" i="46"/>
  <c r="J36" i="46"/>
  <c r="J21" i="46"/>
  <c r="N12" i="46"/>
  <c r="J31" i="46"/>
  <c r="J22" i="46"/>
  <c r="J29" i="46"/>
  <c r="J34" i="46"/>
  <c r="J33" i="46"/>
  <c r="J25" i="46"/>
  <c r="J24" i="46"/>
  <c r="X13" i="46"/>
  <c r="Z15" i="46"/>
  <c r="X21" i="46"/>
  <c r="F21" i="47"/>
  <c r="F20" i="47"/>
  <c r="F18" i="47"/>
  <c r="F16" i="47"/>
  <c r="D18" i="47"/>
  <c r="F15" i="47"/>
  <c r="F33" i="47"/>
  <c r="F24" i="47"/>
  <c r="F25" i="47"/>
  <c r="F27" i="47"/>
  <c r="F36" i="47"/>
  <c r="F29" i="47"/>
  <c r="F22" i="47"/>
  <c r="F34" i="47"/>
  <c r="F31" i="47"/>
  <c r="L12" i="47"/>
  <c r="X16" i="47"/>
  <c r="X20" i="47"/>
  <c r="X15" i="49"/>
  <c r="N25" i="49"/>
  <c r="N29" i="49"/>
  <c r="N33" i="49"/>
  <c r="N34" i="49"/>
  <c r="N13" i="50"/>
  <c r="N22" i="50"/>
  <c r="N24" i="50"/>
  <c r="N12" i="52"/>
  <c r="J22" i="52"/>
  <c r="J15" i="52"/>
  <c r="J29" i="52"/>
  <c r="J24" i="52"/>
  <c r="J31" i="52"/>
  <c r="J25" i="52"/>
  <c r="J18" i="52"/>
  <c r="H18" i="52"/>
  <c r="J36" i="52"/>
  <c r="J34" i="52"/>
  <c r="J16" i="52"/>
  <c r="J21" i="52"/>
  <c r="J20" i="52"/>
  <c r="J33" i="52"/>
  <c r="J27" i="52"/>
  <c r="N15" i="52"/>
  <c r="L21" i="52"/>
  <c r="N22" i="52"/>
  <c r="L24" i="53"/>
  <c r="Z13" i="46"/>
  <c r="Z16" i="46"/>
  <c r="Z20" i="46"/>
  <c r="X22" i="46"/>
  <c r="X24" i="46"/>
  <c r="J36" i="47"/>
  <c r="J34" i="47"/>
  <c r="J33" i="47"/>
  <c r="J31" i="47"/>
  <c r="J29" i="47"/>
  <c r="J27" i="47"/>
  <c r="J25" i="47"/>
  <c r="H18" i="47"/>
  <c r="J15" i="47"/>
  <c r="J16" i="47"/>
  <c r="J21" i="47"/>
  <c r="J18" i="47"/>
  <c r="N12" i="47"/>
  <c r="J20" i="47"/>
  <c r="J24" i="47"/>
  <c r="J22" i="47"/>
  <c r="X13" i="47"/>
  <c r="Z15" i="47"/>
  <c r="X21" i="47"/>
  <c r="F24" i="49"/>
  <c r="F22" i="49"/>
  <c r="F20" i="49"/>
  <c r="F18" i="49"/>
  <c r="F16" i="49"/>
  <c r="D18" i="49"/>
  <c r="F15" i="49"/>
  <c r="F21" i="49"/>
  <c r="F36" i="49"/>
  <c r="F33" i="49"/>
  <c r="F29" i="49"/>
  <c r="F25" i="49"/>
  <c r="F34" i="49"/>
  <c r="F31" i="49"/>
  <c r="F27" i="49"/>
  <c r="L12" i="49"/>
  <c r="X16" i="49"/>
  <c r="X20" i="49"/>
  <c r="X15" i="50"/>
  <c r="N25" i="50"/>
  <c r="N29" i="50"/>
  <c r="N33" i="50"/>
  <c r="N34" i="50"/>
  <c r="V21" i="52"/>
  <c r="V20" i="52"/>
  <c r="V18" i="52"/>
  <c r="V16" i="52"/>
  <c r="T18" i="52"/>
  <c r="V15" i="52"/>
  <c r="V24" i="52"/>
  <c r="V33" i="52"/>
  <c r="V27" i="52"/>
  <c r="V34" i="52"/>
  <c r="V31" i="52"/>
  <c r="V25" i="52"/>
  <c r="V29" i="52"/>
  <c r="Z12" i="52"/>
  <c r="V36" i="52"/>
  <c r="V22" i="52"/>
  <c r="L33" i="52"/>
  <c r="Z34" i="52"/>
  <c r="X15" i="53"/>
  <c r="N34" i="53"/>
  <c r="N15" i="53"/>
  <c r="L21" i="53"/>
  <c r="L13" i="53"/>
  <c r="N21" i="53"/>
  <c r="L25" i="53"/>
  <c r="L29" i="53"/>
  <c r="L33" i="53"/>
  <c r="L34" i="53"/>
  <c r="N34" i="52"/>
  <c r="N13" i="53"/>
  <c r="N22" i="53"/>
  <c r="N24" i="53"/>
  <c r="Z13" i="52"/>
  <c r="Z16" i="52"/>
  <c r="Z20" i="52"/>
  <c r="X22" i="52"/>
  <c r="X24" i="52"/>
  <c r="N12" i="53"/>
  <c r="J21" i="53"/>
  <c r="J20" i="53"/>
  <c r="J18" i="53"/>
  <c r="J16" i="53"/>
  <c r="J24" i="53"/>
  <c r="H18" i="53"/>
  <c r="J15" i="53"/>
  <c r="J33" i="53"/>
  <c r="J29" i="53"/>
  <c r="J25" i="53"/>
  <c r="J36" i="53"/>
  <c r="J22" i="53"/>
  <c r="J34" i="53"/>
  <c r="J31" i="53"/>
  <c r="J27" i="53"/>
  <c r="X13" i="53"/>
  <c r="Z15" i="53"/>
  <c r="X21" i="53"/>
  <c r="Z21" i="52"/>
  <c r="X25" i="52"/>
  <c r="X29" i="52"/>
  <c r="X33" i="52"/>
  <c r="X34" i="52"/>
  <c r="Z13" i="53"/>
  <c r="Z16" i="53"/>
  <c r="Z20" i="53"/>
  <c r="X22" i="53"/>
  <c r="X24" i="53"/>
  <c r="R36" i="52"/>
  <c r="R34" i="52"/>
  <c r="R33" i="52"/>
  <c r="R31" i="52"/>
  <c r="R29" i="52"/>
  <c r="R27" i="52"/>
  <c r="R25" i="52"/>
  <c r="R24" i="52"/>
  <c r="R22" i="52"/>
  <c r="R21" i="52"/>
  <c r="R18" i="52"/>
  <c r="X12" i="52"/>
  <c r="R20" i="52"/>
  <c r="P18" i="52"/>
  <c r="R16" i="52"/>
  <c r="R15" i="52"/>
  <c r="Z22" i="52"/>
  <c r="Z24" i="52"/>
  <c r="Z21" i="53"/>
  <c r="X25" i="53"/>
  <c r="X29" i="53"/>
  <c r="X33" i="53"/>
  <c r="X34" i="53"/>
  <c r="L34" i="112"/>
  <c r="N13" i="113"/>
  <c r="X34" i="111"/>
  <c r="N16" i="113"/>
  <c r="L20" i="113"/>
  <c r="N13" i="111"/>
  <c r="X20" i="112"/>
  <c r="N22" i="112"/>
  <c r="Z29" i="113"/>
  <c r="Z15" i="111"/>
  <c r="N21" i="111"/>
  <c r="X22" i="111"/>
  <c r="N15" i="112"/>
  <c r="X16" i="112"/>
  <c r="L22" i="112"/>
  <c r="L16" i="113"/>
  <c r="N21" i="113"/>
  <c r="Z25" i="113"/>
  <c r="L13" i="111"/>
  <c r="N29" i="111"/>
  <c r="L33" i="111"/>
  <c r="L13" i="113"/>
  <c r="L24" i="113"/>
  <c r="N29" i="113"/>
  <c r="L33" i="113"/>
  <c r="N24" i="111"/>
  <c r="X25" i="111"/>
  <c r="N33" i="111"/>
  <c r="D18" i="112"/>
  <c r="F15" i="112"/>
  <c r="L12" i="112"/>
  <c r="F27" i="112"/>
  <c r="F36" i="112"/>
  <c r="F20" i="112"/>
  <c r="F33" i="112"/>
  <c r="F24" i="112"/>
  <c r="F16" i="112"/>
  <c r="F29" i="112"/>
  <c r="F21" i="112"/>
  <c r="F25" i="112"/>
  <c r="F34" i="112"/>
  <c r="F31" i="112"/>
  <c r="F22" i="112"/>
  <c r="F18" i="112"/>
  <c r="L25" i="112"/>
  <c r="N24" i="113"/>
  <c r="N33" i="113"/>
  <c r="X21" i="111"/>
  <c r="N12" i="112"/>
  <c r="J20" i="112"/>
  <c r="J33" i="112"/>
  <c r="J24" i="112"/>
  <c r="J16" i="112"/>
  <c r="J29" i="112"/>
  <c r="J21" i="112"/>
  <c r="J25" i="112"/>
  <c r="J34" i="112"/>
  <c r="J18" i="112"/>
  <c r="J31" i="112"/>
  <c r="J22" i="112"/>
  <c r="H18" i="112"/>
  <c r="J27" i="112"/>
  <c r="J15" i="112"/>
  <c r="J36" i="112"/>
  <c r="X15" i="112"/>
  <c r="L21" i="112"/>
  <c r="N34" i="112"/>
  <c r="L15" i="113"/>
  <c r="N20" i="113"/>
  <c r="Z33" i="113"/>
  <c r="X13" i="111"/>
  <c r="X29" i="111"/>
  <c r="N25" i="112"/>
  <c r="L29" i="112"/>
  <c r="Z13" i="111"/>
  <c r="X16" i="111"/>
  <c r="Z21" i="111"/>
  <c r="Z15" i="112"/>
  <c r="N21" i="112"/>
  <c r="N15" i="113"/>
  <c r="L22" i="113"/>
  <c r="X24" i="111"/>
  <c r="X33" i="111"/>
  <c r="L13" i="112"/>
  <c r="L24" i="112"/>
  <c r="N29" i="112"/>
  <c r="L33" i="112"/>
  <c r="Z16" i="111"/>
  <c r="X20" i="111"/>
  <c r="N22" i="111"/>
  <c r="L34" i="111"/>
  <c r="N13" i="112"/>
  <c r="N16" i="112"/>
  <c r="N22" i="113"/>
  <c r="L34" i="113"/>
  <c r="F21" i="111"/>
  <c r="F20" i="111"/>
  <c r="F18" i="111"/>
  <c r="F16" i="111"/>
  <c r="D18" i="111"/>
  <c r="F15" i="111"/>
  <c r="L12" i="111"/>
  <c r="F25" i="111"/>
  <c r="F34" i="111"/>
  <c r="F31" i="111"/>
  <c r="F22" i="111"/>
  <c r="F27" i="111"/>
  <c r="F36" i="111"/>
  <c r="F29" i="111"/>
  <c r="F33" i="111"/>
  <c r="F24" i="111"/>
  <c r="L25" i="111"/>
  <c r="N24" i="112"/>
  <c r="N33" i="112"/>
  <c r="V21" i="113"/>
  <c r="V20" i="113"/>
  <c r="V18" i="113"/>
  <c r="V16" i="113"/>
  <c r="T18" i="113"/>
  <c r="V15" i="113"/>
  <c r="Z12" i="113"/>
  <c r="V31" i="113"/>
  <c r="V22" i="113"/>
  <c r="V27" i="113"/>
  <c r="V36" i="113"/>
  <c r="V33" i="113"/>
  <c r="V24" i="113"/>
  <c r="V29" i="113"/>
  <c r="V25" i="113"/>
  <c r="V34" i="113"/>
  <c r="L25" i="113"/>
  <c r="H18" i="111"/>
  <c r="J15" i="111"/>
  <c r="J34" i="111"/>
  <c r="J18" i="111"/>
  <c r="J31" i="111"/>
  <c r="J22" i="111"/>
  <c r="J27" i="111"/>
  <c r="J36" i="111"/>
  <c r="J20" i="111"/>
  <c r="J33" i="111"/>
  <c r="J24" i="111"/>
  <c r="J16" i="111"/>
  <c r="J21" i="111"/>
  <c r="J25" i="111"/>
  <c r="N12" i="111"/>
  <c r="J29" i="111"/>
  <c r="X15" i="111"/>
  <c r="Z20" i="111"/>
  <c r="N34" i="111"/>
  <c r="N20" i="112"/>
  <c r="X21" i="112"/>
  <c r="X15" i="113"/>
  <c r="L21" i="113"/>
  <c r="N34" i="113"/>
  <c r="N25" i="111"/>
  <c r="L29" i="111"/>
  <c r="X13" i="112"/>
  <c r="N25" i="113"/>
  <c r="L29" i="113"/>
  <c r="Z34" i="113"/>
  <c r="X12" i="111"/>
  <c r="R36" i="111"/>
  <c r="R34" i="111"/>
  <c r="R33" i="111"/>
  <c r="R31" i="111"/>
  <c r="R29" i="111"/>
  <c r="R27" i="111"/>
  <c r="R25" i="111"/>
  <c r="R15" i="111"/>
  <c r="R20" i="111"/>
  <c r="R24" i="111"/>
  <c r="R16" i="111"/>
  <c r="R21" i="111"/>
  <c r="R22" i="111"/>
  <c r="P18" i="111"/>
  <c r="R18" i="111"/>
  <c r="Z22" i="111"/>
  <c r="Z24" i="111"/>
  <c r="Z13" i="112"/>
  <c r="Z16" i="112"/>
  <c r="Z20" i="112"/>
  <c r="X22" i="112"/>
  <c r="X24" i="112"/>
  <c r="L12" i="113"/>
  <c r="F21" i="113"/>
  <c r="F25" i="113"/>
  <c r="F34" i="113"/>
  <c r="F18" i="113"/>
  <c r="F31" i="113"/>
  <c r="F22" i="113"/>
  <c r="D18" i="113"/>
  <c r="F27" i="113"/>
  <c r="F15" i="113"/>
  <c r="F36" i="113"/>
  <c r="F20" i="113"/>
  <c r="F16" i="113"/>
  <c r="F29" i="113"/>
  <c r="F33" i="113"/>
  <c r="F24" i="113"/>
  <c r="X16" i="113"/>
  <c r="X20" i="113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6" i="111"/>
  <c r="V18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2" i="113"/>
  <c r="J36" i="113"/>
  <c r="J34" i="113"/>
  <c r="J33" i="113"/>
  <c r="J31" i="113"/>
  <c r="J29" i="113"/>
  <c r="J27" i="113"/>
  <c r="J25" i="113"/>
  <c r="J18" i="113"/>
  <c r="J22" i="113"/>
  <c r="H18" i="113"/>
  <c r="J15" i="113"/>
  <c r="J20" i="113"/>
  <c r="J24" i="113"/>
  <c r="J16" i="113"/>
  <c r="J21" i="113"/>
  <c r="X13" i="113"/>
  <c r="Z15" i="113"/>
  <c r="X21" i="113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18" i="112"/>
  <c r="P18" i="112"/>
  <c r="R15" i="112"/>
  <c r="R20" i="112"/>
  <c r="R16" i="112"/>
  <c r="Z22" i="112"/>
  <c r="Z24" i="112"/>
  <c r="Z13" i="113"/>
  <c r="Z16" i="113"/>
  <c r="Z20" i="113"/>
  <c r="X22" i="113"/>
  <c r="X24" i="113"/>
  <c r="N15" i="111"/>
  <c r="L21" i="111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Z12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R36" i="113"/>
  <c r="R34" i="113"/>
  <c r="R33" i="113"/>
  <c r="R31" i="113"/>
  <c r="R29" i="113"/>
  <c r="R27" i="113"/>
  <c r="R25" i="113"/>
  <c r="R24" i="113"/>
  <c r="R22" i="113"/>
  <c r="R21" i="113"/>
  <c r="R20" i="113"/>
  <c r="R18" i="113"/>
  <c r="R16" i="113"/>
  <c r="P18" i="113"/>
  <c r="R15" i="113"/>
  <c r="X12" i="113"/>
  <c r="Z22" i="113"/>
  <c r="Z24" i="113"/>
  <c r="Z107" i="3"/>
  <c r="N226" i="3"/>
  <c r="Z226" i="3"/>
  <c r="Z264" i="3"/>
  <c r="R281" i="3"/>
  <c r="R280" i="3"/>
  <c r="R265" i="3"/>
  <c r="R264" i="3"/>
  <c r="R267" i="3"/>
  <c r="R268" i="3"/>
  <c r="R269" i="3"/>
  <c r="R270" i="3"/>
  <c r="R271" i="3"/>
  <c r="R272" i="3"/>
  <c r="R266" i="3"/>
  <c r="R255" i="3"/>
  <c r="R254" i="3"/>
  <c r="R234" i="3"/>
  <c r="R215" i="3"/>
  <c r="R214" i="3"/>
  <c r="R190" i="3"/>
  <c r="R150" i="3"/>
  <c r="R146" i="3"/>
  <c r="R142" i="3"/>
  <c r="R138" i="3"/>
  <c r="R134" i="3"/>
  <c r="R130" i="3"/>
  <c r="R126" i="3"/>
  <c r="R122" i="3"/>
  <c r="R118" i="3"/>
  <c r="R114" i="3"/>
  <c r="R110" i="3"/>
  <c r="R237" i="3"/>
  <c r="R129" i="3"/>
  <c r="R183" i="3"/>
  <c r="R163" i="3"/>
  <c r="R262" i="3"/>
  <c r="R249" i="3"/>
  <c r="R245" i="3"/>
  <c r="R229" i="3"/>
  <c r="R206" i="3"/>
  <c r="R205" i="3"/>
  <c r="R197" i="3"/>
  <c r="R177" i="3"/>
  <c r="R173" i="3"/>
  <c r="R158" i="3"/>
  <c r="R149" i="3"/>
  <c r="R145" i="3"/>
  <c r="R141" i="3"/>
  <c r="R257" i="3"/>
  <c r="R256" i="3"/>
  <c r="R241" i="3"/>
  <c r="R240" i="3"/>
  <c r="R224" i="3"/>
  <c r="R217" i="3"/>
  <c r="R216" i="3"/>
  <c r="R185" i="3"/>
  <c r="R184" i="3"/>
  <c r="R169" i="3"/>
  <c r="R168" i="3"/>
  <c r="R164" i="3"/>
  <c r="R160" i="3"/>
  <c r="R235" i="3"/>
  <c r="R207" i="3"/>
  <c r="R192" i="3"/>
  <c r="R191" i="3"/>
  <c r="R151" i="3"/>
  <c r="R147" i="3"/>
  <c r="R143" i="3"/>
  <c r="R139" i="3"/>
  <c r="R135" i="3"/>
  <c r="R131" i="3"/>
  <c r="R127" i="3"/>
  <c r="R123" i="3"/>
  <c r="R119" i="3"/>
  <c r="R115" i="3"/>
  <c r="R111" i="3"/>
  <c r="R233" i="3"/>
  <c r="R181" i="3"/>
  <c r="R109" i="3"/>
  <c r="R223" i="3"/>
  <c r="R159" i="3"/>
  <c r="R258" i="3"/>
  <c r="R250" i="3"/>
  <c r="R246" i="3"/>
  <c r="R242" i="3"/>
  <c r="R231" i="3"/>
  <c r="R230" i="3"/>
  <c r="R219" i="3"/>
  <c r="R218" i="3"/>
  <c r="R199" i="3"/>
  <c r="R198" i="3"/>
  <c r="R187" i="3"/>
  <c r="R186" i="3"/>
  <c r="R178" i="3"/>
  <c r="R174" i="3"/>
  <c r="R170" i="3"/>
  <c r="R107" i="3"/>
  <c r="X12" i="3"/>
  <c r="R133" i="3"/>
  <c r="R117" i="3"/>
  <c r="R276" i="3"/>
  <c r="R226" i="3"/>
  <c r="R225" i="3"/>
  <c r="R193" i="3"/>
  <c r="R165" i="3"/>
  <c r="R161" i="3"/>
  <c r="R238" i="3"/>
  <c r="R113" i="3"/>
  <c r="P155" i="3"/>
  <c r="R236" i="3"/>
  <c r="R232" i="3"/>
  <c r="R221" i="3"/>
  <c r="R220" i="3"/>
  <c r="R209" i="3"/>
  <c r="R208" i="3"/>
  <c r="R201" i="3"/>
  <c r="R200" i="3"/>
  <c r="R188" i="3"/>
  <c r="R152" i="3"/>
  <c r="R148" i="3"/>
  <c r="R144" i="3"/>
  <c r="R140" i="3"/>
  <c r="R136" i="3"/>
  <c r="R132" i="3"/>
  <c r="R128" i="3"/>
  <c r="R124" i="3"/>
  <c r="R120" i="3"/>
  <c r="R116" i="3"/>
  <c r="R112" i="3"/>
  <c r="R108" i="3"/>
  <c r="R253" i="3"/>
  <c r="R189" i="3"/>
  <c r="R153" i="3"/>
  <c r="R259" i="3"/>
  <c r="R252" i="3"/>
  <c r="R251" i="3"/>
  <c r="R247" i="3"/>
  <c r="R243" i="3"/>
  <c r="R227" i="3"/>
  <c r="R180" i="3"/>
  <c r="R179" i="3"/>
  <c r="R175" i="3"/>
  <c r="R171" i="3"/>
  <c r="R137" i="3"/>
  <c r="R125" i="3"/>
  <c r="R121" i="3"/>
  <c r="R167" i="3"/>
  <c r="R222" i="3"/>
  <c r="R211" i="3"/>
  <c r="R210" i="3"/>
  <c r="R203" i="3"/>
  <c r="R202" i="3"/>
  <c r="R195" i="3"/>
  <c r="R194" i="3"/>
  <c r="R166" i="3"/>
  <c r="R162" i="3"/>
  <c r="R182" i="3"/>
  <c r="R261" i="3"/>
  <c r="R260" i="3"/>
  <c r="R248" i="3"/>
  <c r="R244" i="3"/>
  <c r="R228" i="3"/>
  <c r="R213" i="3"/>
  <c r="R212" i="3"/>
  <c r="R204" i="3"/>
  <c r="R196" i="3"/>
  <c r="R176" i="3"/>
  <c r="R172" i="3"/>
  <c r="R157" i="3"/>
  <c r="R155" i="3"/>
  <c r="R239" i="3"/>
  <c r="N157" i="3"/>
  <c r="N261" i="3"/>
  <c r="N217" i="3"/>
  <c r="Z219" i="3"/>
  <c r="N241" i="3"/>
  <c r="N199" i="3"/>
  <c r="N187" i="3"/>
  <c r="Z203" i="3"/>
  <c r="N213" i="3"/>
  <c r="N231" i="3"/>
  <c r="N107" i="3"/>
  <c r="Z211" i="3"/>
  <c r="J252" i="3"/>
  <c r="N29" i="6"/>
  <c r="L29" i="6"/>
  <c r="X150" i="15"/>
  <c r="Z150" i="15" s="1"/>
  <c r="J249" i="18"/>
  <c r="J235" i="18"/>
  <c r="J217" i="18"/>
  <c r="J199" i="18"/>
  <c r="J189" i="18"/>
  <c r="J173" i="18"/>
  <c r="J165" i="18"/>
  <c r="J161" i="18"/>
  <c r="J157" i="18"/>
  <c r="J236" i="18"/>
  <c r="J228" i="18"/>
  <c r="J218" i="18"/>
  <c r="J212" i="18"/>
  <c r="J200" i="18"/>
  <c r="J180" i="18"/>
  <c r="J174" i="18"/>
  <c r="J152" i="18"/>
  <c r="J148" i="18"/>
  <c r="J229" i="18"/>
  <c r="J223" i="18"/>
  <c r="J219" i="18"/>
  <c r="J207" i="18"/>
  <c r="J201" i="18"/>
  <c r="J181" i="18"/>
  <c r="J175" i="18"/>
  <c r="J139" i="18"/>
  <c r="J135" i="18"/>
  <c r="J131" i="18"/>
  <c r="J127" i="18"/>
  <c r="J123" i="18"/>
  <c r="J119" i="18"/>
  <c r="J115" i="18"/>
  <c r="J111" i="18"/>
  <c r="J107" i="18"/>
  <c r="J103" i="18"/>
  <c r="J99" i="18"/>
  <c r="J240" i="18"/>
  <c r="J231" i="18"/>
  <c r="J213" i="18"/>
  <c r="J191" i="18"/>
  <c r="J167" i="18"/>
  <c r="J153" i="18"/>
  <c r="J149" i="18"/>
  <c r="J241" i="18"/>
  <c r="J232" i="18"/>
  <c r="J224" i="18"/>
  <c r="J220" i="18"/>
  <c r="J208" i="18"/>
  <c r="J192" i="18"/>
  <c r="J176" i="18"/>
  <c r="J168" i="18"/>
  <c r="J140" i="18"/>
  <c r="J136" i="18"/>
  <c r="J132" i="18"/>
  <c r="J128" i="18"/>
  <c r="J124" i="18"/>
  <c r="J120" i="18"/>
  <c r="J116" i="18"/>
  <c r="J112" i="18"/>
  <c r="J108" i="18"/>
  <c r="J104" i="18"/>
  <c r="J100" i="18"/>
  <c r="J242" i="18"/>
  <c r="J203" i="18"/>
  <c r="J193" i="18"/>
  <c r="J183" i="18"/>
  <c r="J169" i="18"/>
  <c r="J163" i="18"/>
  <c r="J159" i="18"/>
  <c r="J145" i="18"/>
  <c r="J227" i="18"/>
  <c r="J211" i="18"/>
  <c r="J205" i="18"/>
  <c r="J197" i="18"/>
  <c r="J187" i="18"/>
  <c r="J179" i="18"/>
  <c r="J171" i="18"/>
  <c r="J155" i="18"/>
  <c r="J151" i="18"/>
  <c r="J147" i="18"/>
  <c r="J245" i="18"/>
  <c r="J186" i="18"/>
  <c r="J146" i="18"/>
  <c r="J243" i="18"/>
  <c r="J226" i="18"/>
  <c r="J209" i="18"/>
  <c r="J172" i="18"/>
  <c r="J150" i="18"/>
  <c r="J238" i="18"/>
  <c r="J233" i="18"/>
  <c r="J198" i="18"/>
  <c r="J184" i="18"/>
  <c r="J154" i="18"/>
  <c r="J144" i="18"/>
  <c r="J133" i="18"/>
  <c r="J126" i="18"/>
  <c r="J117" i="18"/>
  <c r="J110" i="18"/>
  <c r="J101" i="18"/>
  <c r="J222" i="18"/>
  <c r="J216" i="18"/>
  <c r="J214" i="18"/>
  <c r="J210" i="18"/>
  <c r="J196" i="18"/>
  <c r="J194" i="18"/>
  <c r="J177" i="18"/>
  <c r="J170" i="18"/>
  <c r="J138" i="18"/>
  <c r="J129" i="18"/>
  <c r="J122" i="18"/>
  <c r="J113" i="18"/>
  <c r="J106" i="18"/>
  <c r="J239" i="18"/>
  <c r="J182" i="18"/>
  <c r="J244" i="18"/>
  <c r="J221" i="18"/>
  <c r="J234" i="18"/>
  <c r="J230" i="18"/>
  <c r="J162" i="18"/>
  <c r="J96" i="18"/>
  <c r="J204" i="18"/>
  <c r="J202" i="18"/>
  <c r="J158" i="18"/>
  <c r="J156" i="18"/>
  <c r="J137" i="18"/>
  <c r="J130" i="18"/>
  <c r="J121" i="18"/>
  <c r="J114" i="18"/>
  <c r="J105" i="18"/>
  <c r="J98" i="18"/>
  <c r="J109" i="18"/>
  <c r="J190" i="18"/>
  <c r="J142" i="18"/>
  <c r="J215" i="18"/>
  <c r="H142" i="18"/>
  <c r="J225" i="18"/>
  <c r="J134" i="18"/>
  <c r="J102" i="18"/>
  <c r="J185" i="18"/>
  <c r="J160" i="18"/>
  <c r="J125" i="18"/>
  <c r="J195" i="18"/>
  <c r="J178" i="18"/>
  <c r="J97" i="18"/>
  <c r="J118" i="18"/>
  <c r="D12" i="3"/>
  <c r="V159" i="3"/>
  <c r="V163" i="3"/>
  <c r="V167" i="3"/>
  <c r="J171" i="3"/>
  <c r="J175" i="3"/>
  <c r="J179" i="3"/>
  <c r="V183" i="3"/>
  <c r="J201" i="3"/>
  <c r="J209" i="3"/>
  <c r="V215" i="3"/>
  <c r="J221" i="3"/>
  <c r="V223" i="3"/>
  <c r="J227" i="3"/>
  <c r="V239" i="3"/>
  <c r="J243" i="3"/>
  <c r="J247" i="3"/>
  <c r="J251" i="3"/>
  <c r="V255" i="3"/>
  <c r="J259" i="3"/>
  <c r="X280" i="3"/>
  <c r="Z280" i="3" s="1"/>
  <c r="L18" i="9"/>
  <c r="N42" i="9"/>
  <c r="N48" i="9"/>
  <c r="N54" i="9"/>
  <c r="N60" i="9"/>
  <c r="Z128" i="12"/>
  <c r="Z158" i="12"/>
  <c r="X189" i="12"/>
  <c r="Z189" i="12" s="1"/>
  <c r="Z193" i="12"/>
  <c r="L226" i="12"/>
  <c r="N226" i="12" s="1"/>
  <c r="J164" i="18"/>
  <c r="J188" i="3"/>
  <c r="N52" i="9"/>
  <c r="J107" i="3"/>
  <c r="V109" i="3"/>
  <c r="V113" i="3"/>
  <c r="V117" i="3"/>
  <c r="V121" i="3"/>
  <c r="V125" i="3"/>
  <c r="V129" i="3"/>
  <c r="V133" i="3"/>
  <c r="V137" i="3"/>
  <c r="V141" i="3"/>
  <c r="V145" i="3"/>
  <c r="V149" i="3"/>
  <c r="V153" i="3"/>
  <c r="V155" i="3"/>
  <c r="V157" i="3"/>
  <c r="J161" i="3"/>
  <c r="J165" i="3"/>
  <c r="V181" i="3"/>
  <c r="J187" i="3"/>
  <c r="V189" i="3"/>
  <c r="J193" i="3"/>
  <c r="J199" i="3"/>
  <c r="N201" i="3"/>
  <c r="N209" i="3"/>
  <c r="V213" i="3"/>
  <c r="Z215" i="3"/>
  <c r="J219" i="3"/>
  <c r="N221" i="3"/>
  <c r="J225" i="3"/>
  <c r="J231" i="3"/>
  <c r="V233" i="3"/>
  <c r="V237" i="3"/>
  <c r="V253" i="3"/>
  <c r="Z255" i="3"/>
  <c r="V261" i="3"/>
  <c r="V280" i="3"/>
  <c r="Z48" i="9"/>
  <c r="Z60" i="9"/>
  <c r="X60" i="9"/>
  <c r="Z66" i="9"/>
  <c r="P12" i="12"/>
  <c r="J95" i="12"/>
  <c r="J136" i="12"/>
  <c r="J159" i="12"/>
  <c r="J192" i="12"/>
  <c r="J226" i="12"/>
  <c r="D12" i="15"/>
  <c r="F128" i="30"/>
  <c r="F127" i="30"/>
  <c r="F120" i="30"/>
  <c r="F108" i="30"/>
  <c r="F80" i="30"/>
  <c r="F79" i="30"/>
  <c r="F64" i="30"/>
  <c r="F60" i="30"/>
  <c r="F115" i="30"/>
  <c r="F103" i="30"/>
  <c r="F102" i="30"/>
  <c r="F91" i="30"/>
  <c r="F90" i="30"/>
  <c r="F51" i="30"/>
  <c r="F47" i="30"/>
  <c r="F43" i="30"/>
  <c r="F39" i="30"/>
  <c r="F35" i="30"/>
  <c r="F130" i="30"/>
  <c r="F129" i="30"/>
  <c r="F110" i="30"/>
  <c r="F109" i="30"/>
  <c r="F74" i="30"/>
  <c r="F70" i="30"/>
  <c r="F121" i="30"/>
  <c r="F117" i="30"/>
  <c r="F116" i="30"/>
  <c r="F93" i="30"/>
  <c r="F92" i="30"/>
  <c r="F81" i="30"/>
  <c r="F65" i="30"/>
  <c r="F61" i="30"/>
  <c r="F57" i="30"/>
  <c r="F56" i="30"/>
  <c r="F133" i="30"/>
  <c r="F104" i="30"/>
  <c r="F55" i="30"/>
  <c r="F53" i="30"/>
  <c r="F48" i="30"/>
  <c r="F44" i="30"/>
  <c r="F40" i="30"/>
  <c r="F36" i="30"/>
  <c r="F134" i="30"/>
  <c r="F132" i="30"/>
  <c r="F123" i="30"/>
  <c r="F122" i="30"/>
  <c r="F111" i="30"/>
  <c r="F95" i="30"/>
  <c r="F94" i="30"/>
  <c r="F83" i="30"/>
  <c r="F82" i="30"/>
  <c r="F75" i="30"/>
  <c r="F71" i="30"/>
  <c r="F67" i="30"/>
  <c r="F66" i="30"/>
  <c r="D53" i="30"/>
  <c r="F135" i="30"/>
  <c r="F118" i="30"/>
  <c r="F106" i="30"/>
  <c r="F105" i="30"/>
  <c r="F62" i="30"/>
  <c r="F58" i="30"/>
  <c r="L12" i="30"/>
  <c r="N12" i="30" s="1"/>
  <c r="F97" i="30"/>
  <c r="F96" i="30"/>
  <c r="F85" i="30"/>
  <c r="F84" i="30"/>
  <c r="F49" i="30"/>
  <c r="F45" i="30"/>
  <c r="F41" i="30"/>
  <c r="F37" i="30"/>
  <c r="F101" i="30"/>
  <c r="F89" i="30"/>
  <c r="F112" i="30"/>
  <c r="F77" i="30"/>
  <c r="F139" i="30"/>
  <c r="F87" i="30"/>
  <c r="F33" i="30"/>
  <c r="F125" i="30"/>
  <c r="F46" i="30"/>
  <c r="F63" i="30"/>
  <c r="F119" i="30"/>
  <c r="F124" i="30"/>
  <c r="F86" i="30"/>
  <c r="F34" i="30"/>
  <c r="F126" i="30"/>
  <c r="F113" i="30"/>
  <c r="F50" i="30"/>
  <c r="F69" i="30"/>
  <c r="F73" i="30"/>
  <c r="F42" i="30"/>
  <c r="F38" i="30"/>
  <c r="F100" i="30"/>
  <c r="F98" i="30"/>
  <c r="F68" i="30"/>
  <c r="F114" i="30"/>
  <c r="F107" i="30"/>
  <c r="F99" i="30"/>
  <c r="F78" i="30"/>
  <c r="F59" i="30"/>
  <c r="F88" i="30"/>
  <c r="F72" i="30"/>
  <c r="J152" i="3"/>
  <c r="J226" i="3"/>
  <c r="V158" i="3"/>
  <c r="V162" i="3"/>
  <c r="V166" i="3"/>
  <c r="J170" i="3"/>
  <c r="J174" i="3"/>
  <c r="J178" i="3"/>
  <c r="V182" i="3"/>
  <c r="J186" i="3"/>
  <c r="J192" i="3"/>
  <c r="V194" i="3"/>
  <c r="J198" i="3"/>
  <c r="V202" i="3"/>
  <c r="V210" i="3"/>
  <c r="J218" i="3"/>
  <c r="V222" i="3"/>
  <c r="J230" i="3"/>
  <c r="V238" i="3"/>
  <c r="J242" i="3"/>
  <c r="J246" i="3"/>
  <c r="J250" i="3"/>
  <c r="J258" i="3"/>
  <c r="V265" i="3"/>
  <c r="J271" i="3"/>
  <c r="Z52" i="9"/>
  <c r="Z54" i="9"/>
  <c r="N90" i="9"/>
  <c r="X13" i="12"/>
  <c r="Z13" i="12" s="1"/>
  <c r="J91" i="12"/>
  <c r="N172" i="12"/>
  <c r="Z229" i="12"/>
  <c r="J148" i="3"/>
  <c r="J111" i="3"/>
  <c r="J115" i="3"/>
  <c r="J119" i="3"/>
  <c r="J123" i="3"/>
  <c r="J127" i="3"/>
  <c r="J131" i="3"/>
  <c r="J135" i="3"/>
  <c r="J139" i="3"/>
  <c r="J143" i="3"/>
  <c r="J147" i="3"/>
  <c r="J151" i="3"/>
  <c r="J169" i="3"/>
  <c r="V171" i="3"/>
  <c r="V175" i="3"/>
  <c r="V179" i="3"/>
  <c r="J185" i="3"/>
  <c r="J191" i="3"/>
  <c r="V195" i="3"/>
  <c r="V203" i="3"/>
  <c r="J207" i="3"/>
  <c r="V211" i="3"/>
  <c r="J217" i="3"/>
  <c r="V227" i="3"/>
  <c r="J235" i="3"/>
  <c r="J241" i="3"/>
  <c r="V243" i="3"/>
  <c r="V247" i="3"/>
  <c r="V251" i="3"/>
  <c r="J257" i="3"/>
  <c r="V259" i="3"/>
  <c r="N281" i="3"/>
  <c r="L28" i="6"/>
  <c r="N28" i="6" s="1"/>
  <c r="Z46" i="9"/>
  <c r="Z58" i="9"/>
  <c r="X92" i="9"/>
  <c r="D97" i="9"/>
  <c r="J87" i="12"/>
  <c r="J120" i="3"/>
  <c r="J208" i="3"/>
  <c r="J236" i="3"/>
  <c r="N140" i="12"/>
  <c r="J188" i="18"/>
  <c r="V108" i="3"/>
  <c r="V112" i="3"/>
  <c r="V116" i="3"/>
  <c r="V120" i="3"/>
  <c r="V124" i="3"/>
  <c r="V128" i="3"/>
  <c r="V132" i="3"/>
  <c r="V136" i="3"/>
  <c r="V140" i="3"/>
  <c r="V144" i="3"/>
  <c r="V148" i="3"/>
  <c r="V152" i="3"/>
  <c r="J160" i="3"/>
  <c r="J164" i="3"/>
  <c r="J168" i="3"/>
  <c r="V180" i="3"/>
  <c r="J184" i="3"/>
  <c r="V188" i="3"/>
  <c r="V200" i="3"/>
  <c r="J206" i="3"/>
  <c r="V208" i="3"/>
  <c r="J216" i="3"/>
  <c r="V220" i="3"/>
  <c r="J224" i="3"/>
  <c r="V232" i="3"/>
  <c r="V236" i="3"/>
  <c r="J240" i="3"/>
  <c r="J256" i="3"/>
  <c r="Z79" i="9"/>
  <c r="L82" i="9"/>
  <c r="N82" i="9" s="1"/>
  <c r="Z92" i="9"/>
  <c r="X129" i="12"/>
  <c r="J164" i="12"/>
  <c r="N168" i="12"/>
  <c r="L218" i="15"/>
  <c r="D216" i="15"/>
  <c r="L216" i="15" s="1"/>
  <c r="J112" i="3"/>
  <c r="N18" i="9"/>
  <c r="V266" i="3"/>
  <c r="V268" i="3"/>
  <c r="V269" i="3"/>
  <c r="V270" i="3"/>
  <c r="V271" i="3"/>
  <c r="V272" i="3"/>
  <c r="V161" i="3"/>
  <c r="V165" i="3"/>
  <c r="J173" i="3"/>
  <c r="J177" i="3"/>
  <c r="X180" i="3"/>
  <c r="Z180" i="3" s="1"/>
  <c r="V193" i="3"/>
  <c r="J197" i="3"/>
  <c r="V201" i="3"/>
  <c r="J205" i="3"/>
  <c r="V209" i="3"/>
  <c r="J215" i="3"/>
  <c r="V221" i="3"/>
  <c r="V225" i="3"/>
  <c r="J229" i="3"/>
  <c r="J245" i="3"/>
  <c r="J249" i="3"/>
  <c r="J255" i="3"/>
  <c r="J262" i="3"/>
  <c r="V267" i="3"/>
  <c r="V276" i="3"/>
  <c r="T16" i="6"/>
  <c r="V31" i="6"/>
  <c r="V29" i="6"/>
  <c r="V28" i="6"/>
  <c r="V26" i="6"/>
  <c r="V24" i="6"/>
  <c r="Z12" i="6"/>
  <c r="V22" i="6"/>
  <c r="L19" i="9"/>
  <c r="Z90" i="9"/>
  <c r="J132" i="12"/>
  <c r="N162" i="12"/>
  <c r="N181" i="12"/>
  <c r="N183" i="12"/>
  <c r="X205" i="12"/>
  <c r="J227" i="12"/>
  <c r="L81" i="15"/>
  <c r="N166" i="15"/>
  <c r="L166" i="15"/>
  <c r="J116" i="3"/>
  <c r="J124" i="3"/>
  <c r="J132" i="3"/>
  <c r="T274" i="3"/>
  <c r="V274" i="3" s="1"/>
  <c r="J220" i="3"/>
  <c r="J110" i="3"/>
  <c r="J114" i="3"/>
  <c r="J118" i="3"/>
  <c r="J122" i="3"/>
  <c r="J126" i="3"/>
  <c r="J130" i="3"/>
  <c r="J134" i="3"/>
  <c r="J138" i="3"/>
  <c r="J142" i="3"/>
  <c r="J146" i="3"/>
  <c r="J150" i="3"/>
  <c r="H155" i="3"/>
  <c r="V170" i="3"/>
  <c r="V174" i="3"/>
  <c r="V178" i="3"/>
  <c r="V186" i="3"/>
  <c r="J190" i="3"/>
  <c r="V198" i="3"/>
  <c r="J214" i="3"/>
  <c r="V218" i="3"/>
  <c r="V226" i="3"/>
  <c r="V230" i="3"/>
  <c r="J234" i="3"/>
  <c r="V242" i="3"/>
  <c r="V246" i="3"/>
  <c r="V250" i="3"/>
  <c r="J254" i="3"/>
  <c r="V258" i="3"/>
  <c r="V264" i="3"/>
  <c r="V281" i="3"/>
  <c r="X12" i="6"/>
  <c r="J123" i="12"/>
  <c r="T236" i="12"/>
  <c r="Z129" i="12"/>
  <c r="Z168" i="12"/>
  <c r="L198" i="12"/>
  <c r="N198" i="12" s="1"/>
  <c r="J203" i="12"/>
  <c r="N81" i="15"/>
  <c r="J166" i="15"/>
  <c r="J206" i="18"/>
  <c r="V107" i="3"/>
  <c r="V111" i="3"/>
  <c r="V115" i="3"/>
  <c r="V119" i="3"/>
  <c r="V123" i="3"/>
  <c r="V127" i="3"/>
  <c r="V131" i="3"/>
  <c r="V135" i="3"/>
  <c r="V139" i="3"/>
  <c r="V143" i="3"/>
  <c r="V147" i="3"/>
  <c r="V151" i="3"/>
  <c r="J155" i="3"/>
  <c r="J157" i="3"/>
  <c r="J159" i="3"/>
  <c r="J163" i="3"/>
  <c r="J167" i="3"/>
  <c r="J183" i="3"/>
  <c r="V187" i="3"/>
  <c r="V191" i="3"/>
  <c r="V199" i="3"/>
  <c r="V207" i="3"/>
  <c r="J213" i="3"/>
  <c r="V219" i="3"/>
  <c r="J223" i="3"/>
  <c r="V231" i="3"/>
  <c r="V235" i="3"/>
  <c r="J239" i="3"/>
  <c r="J261" i="3"/>
  <c r="N19" i="9"/>
  <c r="D12" i="12"/>
  <c r="N85" i="12"/>
  <c r="J119" i="12"/>
  <c r="V126" i="12"/>
  <c r="L158" i="12"/>
  <c r="X177" i="12"/>
  <c r="Z205" i="12"/>
  <c r="P12" i="15"/>
  <c r="X13" i="15"/>
  <c r="Z13" i="15" s="1"/>
  <c r="J81" i="15"/>
  <c r="N216" i="15"/>
  <c r="F96" i="24"/>
  <c r="F95" i="24"/>
  <c r="F84" i="24"/>
  <c r="F83" i="24"/>
  <c r="F56" i="24"/>
  <c r="F52" i="24"/>
  <c r="F48" i="24"/>
  <c r="F44" i="24"/>
  <c r="F43" i="24"/>
  <c r="F79" i="24"/>
  <c r="F75" i="24"/>
  <c r="F107" i="24"/>
  <c r="F98" i="24"/>
  <c r="F97" i="24"/>
  <c r="F86" i="24"/>
  <c r="F85" i="24"/>
  <c r="F70" i="24"/>
  <c r="F66" i="24"/>
  <c r="F99" i="24"/>
  <c r="F71" i="24"/>
  <c r="F67" i="24"/>
  <c r="F63" i="24"/>
  <c r="F62" i="24"/>
  <c r="F90" i="24"/>
  <c r="F89" i="24"/>
  <c r="F61" i="24"/>
  <c r="F59" i="24"/>
  <c r="F54" i="24"/>
  <c r="F50" i="24"/>
  <c r="F46" i="24"/>
  <c r="L12" i="24"/>
  <c r="N12" i="24" s="1"/>
  <c r="F101" i="24"/>
  <c r="F100" i="24"/>
  <c r="F81" i="24"/>
  <c r="F77" i="24"/>
  <c r="F73" i="24"/>
  <c r="F72" i="24"/>
  <c r="D59" i="24"/>
  <c r="F105" i="24"/>
  <c r="F74" i="24"/>
  <c r="F65" i="24"/>
  <c r="F53" i="24"/>
  <c r="F87" i="24"/>
  <c r="F111" i="24"/>
  <c r="F49" i="24"/>
  <c r="F88" i="24"/>
  <c r="F82" i="24"/>
  <c r="F68" i="24"/>
  <c r="F102" i="24"/>
  <c r="F76" i="24"/>
  <c r="F69" i="24"/>
  <c r="F92" i="24"/>
  <c r="F64" i="24"/>
  <c r="F94" i="24"/>
  <c r="F104" i="24"/>
  <c r="F57" i="24"/>
  <c r="F78" i="24"/>
  <c r="F55" i="24"/>
  <c r="F80" i="24"/>
  <c r="F93" i="24"/>
  <c r="F91" i="24"/>
  <c r="F51" i="24"/>
  <c r="F45" i="24"/>
  <c r="F103" i="24"/>
  <c r="J276" i="3"/>
  <c r="J281" i="3"/>
  <c r="J280" i="3"/>
  <c r="J265" i="3"/>
  <c r="J264" i="3"/>
  <c r="J266" i="3"/>
  <c r="J267" i="3"/>
  <c r="J268" i="3"/>
  <c r="J269" i="3"/>
  <c r="J270" i="3"/>
  <c r="J128" i="3"/>
  <c r="J158" i="3"/>
  <c r="V160" i="3"/>
  <c r="V164" i="3"/>
  <c r="V168" i="3"/>
  <c r="J172" i="3"/>
  <c r="J176" i="3"/>
  <c r="J182" i="3"/>
  <c r="V184" i="3"/>
  <c r="V192" i="3"/>
  <c r="J196" i="3"/>
  <c r="J204" i="3"/>
  <c r="J212" i="3"/>
  <c r="V216" i="3"/>
  <c r="V224" i="3"/>
  <c r="J228" i="3"/>
  <c r="J238" i="3"/>
  <c r="V240" i="3"/>
  <c r="J244" i="3"/>
  <c r="J248" i="3"/>
  <c r="V256" i="3"/>
  <c r="J260" i="3"/>
  <c r="L87" i="9"/>
  <c r="N87" i="9" s="1"/>
  <c r="J220" i="12"/>
  <c r="J214" i="12"/>
  <c r="J210" i="12"/>
  <c r="J194" i="12"/>
  <c r="J186" i="12"/>
  <c r="J174" i="12"/>
  <c r="J166" i="12"/>
  <c r="J150" i="12"/>
  <c r="J146" i="12"/>
  <c r="J142" i="12"/>
  <c r="J230" i="12"/>
  <c r="J229" i="12"/>
  <c r="J221" i="12"/>
  <c r="J187" i="12"/>
  <c r="J175" i="12"/>
  <c r="J151" i="12"/>
  <c r="J137" i="12"/>
  <c r="J133" i="12"/>
  <c r="J231" i="12"/>
  <c r="J222" i="12"/>
  <c r="J204" i="12"/>
  <c r="J200" i="12"/>
  <c r="J188" i="12"/>
  <c r="J176" i="12"/>
  <c r="J160" i="12"/>
  <c r="J152" i="12"/>
  <c r="J124" i="12"/>
  <c r="J120" i="12"/>
  <c r="J116" i="12"/>
  <c r="J112" i="12"/>
  <c r="J108" i="12"/>
  <c r="J104" i="12"/>
  <c r="J100" i="12"/>
  <c r="J96" i="12"/>
  <c r="J92" i="12"/>
  <c r="J88" i="12"/>
  <c r="J232" i="12"/>
  <c r="J223" i="12"/>
  <c r="J215" i="12"/>
  <c r="J211" i="12"/>
  <c r="J205" i="12"/>
  <c r="J195" i="12"/>
  <c r="J189" i="12"/>
  <c r="J177" i="12"/>
  <c r="J167" i="12"/>
  <c r="J153" i="12"/>
  <c r="J147" i="12"/>
  <c r="J143" i="12"/>
  <c r="J129" i="12"/>
  <c r="J233" i="12"/>
  <c r="J206" i="12"/>
  <c r="J190" i="12"/>
  <c r="J178" i="12"/>
  <c r="J168" i="12"/>
  <c r="J154" i="12"/>
  <c r="J138" i="12"/>
  <c r="J134" i="12"/>
  <c r="J130" i="12"/>
  <c r="J128" i="12"/>
  <c r="J126" i="12"/>
  <c r="J234" i="12"/>
  <c r="J201" i="12"/>
  <c r="J179" i="12"/>
  <c r="J169" i="12"/>
  <c r="J161" i="12"/>
  <c r="H126" i="12"/>
  <c r="J121" i="12"/>
  <c r="J117" i="12"/>
  <c r="J113" i="12"/>
  <c r="J109" i="12"/>
  <c r="J105" i="12"/>
  <c r="J101" i="12"/>
  <c r="J97" i="12"/>
  <c r="J93" i="12"/>
  <c r="J89" i="12"/>
  <c r="J224" i="12"/>
  <c r="J216" i="12"/>
  <c r="J212" i="12"/>
  <c r="J196" i="12"/>
  <c r="J180" i="12"/>
  <c r="J170" i="12"/>
  <c r="J162" i="12"/>
  <c r="J148" i="12"/>
  <c r="J144" i="12"/>
  <c r="J217" i="12"/>
  <c r="J207" i="12"/>
  <c r="J191" i="12"/>
  <c r="J181" i="12"/>
  <c r="J171" i="12"/>
  <c r="J163" i="12"/>
  <c r="J155" i="12"/>
  <c r="J139" i="12"/>
  <c r="J135" i="12"/>
  <c r="J131" i="12"/>
  <c r="J85" i="12"/>
  <c r="J238" i="12"/>
  <c r="J218" i="12"/>
  <c r="J208" i="12"/>
  <c r="J202" i="12"/>
  <c r="J182" i="12"/>
  <c r="J172" i="12"/>
  <c r="J156" i="12"/>
  <c r="J140" i="12"/>
  <c r="J122" i="12"/>
  <c r="J118" i="12"/>
  <c r="J114" i="12"/>
  <c r="J110" i="12"/>
  <c r="J106" i="12"/>
  <c r="J102" i="12"/>
  <c r="J98" i="12"/>
  <c r="J94" i="12"/>
  <c r="J90" i="12"/>
  <c r="J86" i="12"/>
  <c r="J225" i="12"/>
  <c r="J213" i="12"/>
  <c r="J209" i="12"/>
  <c r="J197" i="12"/>
  <c r="J183" i="12"/>
  <c r="J173" i="12"/>
  <c r="J157" i="12"/>
  <c r="J149" i="12"/>
  <c r="J145" i="12"/>
  <c r="J141" i="12"/>
  <c r="J115" i="12"/>
  <c r="N158" i="12"/>
  <c r="Z179" i="12"/>
  <c r="J185" i="12"/>
  <c r="J193" i="12"/>
  <c r="J198" i="12"/>
  <c r="Z220" i="12"/>
  <c r="Z222" i="12"/>
  <c r="N169" i="15"/>
  <c r="F47" i="24"/>
  <c r="J222" i="3"/>
  <c r="J108" i="3"/>
  <c r="J136" i="3"/>
  <c r="J140" i="3"/>
  <c r="J144" i="3"/>
  <c r="J200" i="3"/>
  <c r="J232" i="3"/>
  <c r="Z12" i="3"/>
  <c r="J109" i="3"/>
  <c r="J113" i="3"/>
  <c r="J117" i="3"/>
  <c r="J121" i="3"/>
  <c r="J125" i="3"/>
  <c r="J129" i="3"/>
  <c r="J133" i="3"/>
  <c r="J137" i="3"/>
  <c r="J141" i="3"/>
  <c r="J145" i="3"/>
  <c r="J149" i="3"/>
  <c r="J153" i="3"/>
  <c r="V169" i="3"/>
  <c r="V173" i="3"/>
  <c r="V177" i="3"/>
  <c r="J181" i="3"/>
  <c r="V185" i="3"/>
  <c r="J189" i="3"/>
  <c r="J195" i="3"/>
  <c r="V197" i="3"/>
  <c r="J203" i="3"/>
  <c r="V205" i="3"/>
  <c r="J211" i="3"/>
  <c r="V217" i="3"/>
  <c r="V229" i="3"/>
  <c r="J233" i="3"/>
  <c r="J237" i="3"/>
  <c r="V241" i="3"/>
  <c r="V245" i="3"/>
  <c r="V249" i="3"/>
  <c r="J253" i="3"/>
  <c r="V257" i="3"/>
  <c r="V262" i="3"/>
  <c r="H97" i="9"/>
  <c r="N16" i="9"/>
  <c r="Z19" i="9"/>
  <c r="V236" i="12"/>
  <c r="J111" i="12"/>
  <c r="N128" i="12"/>
  <c r="N156" i="12"/>
  <c r="J158" i="12"/>
  <c r="Z177" i="12"/>
  <c r="N208" i="12"/>
  <c r="Z159" i="15"/>
  <c r="F234" i="18"/>
  <c r="F222" i="18"/>
  <c r="F206" i="18"/>
  <c r="F205" i="18"/>
  <c r="F198" i="18"/>
  <c r="F197" i="18"/>
  <c r="F138" i="18"/>
  <c r="F134" i="18"/>
  <c r="F130" i="18"/>
  <c r="F126" i="18"/>
  <c r="F122" i="18"/>
  <c r="F118" i="18"/>
  <c r="F114" i="18"/>
  <c r="F110" i="18"/>
  <c r="F106" i="18"/>
  <c r="F102" i="18"/>
  <c r="F98" i="18"/>
  <c r="F249" i="18"/>
  <c r="F217" i="18"/>
  <c r="F189" i="18"/>
  <c r="F188" i="18"/>
  <c r="F173" i="18"/>
  <c r="F172" i="18"/>
  <c r="F165" i="18"/>
  <c r="F161" i="18"/>
  <c r="F157" i="18"/>
  <c r="F156" i="18"/>
  <c r="F236" i="18"/>
  <c r="F235" i="18"/>
  <c r="F228" i="18"/>
  <c r="F212" i="18"/>
  <c r="F200" i="18"/>
  <c r="F199" i="18"/>
  <c r="F180" i="18"/>
  <c r="F152" i="18"/>
  <c r="F148" i="18"/>
  <c r="L12" i="18"/>
  <c r="N12" i="18" s="1"/>
  <c r="F239" i="18"/>
  <c r="F230" i="18"/>
  <c r="F229" i="18"/>
  <c r="F202" i="18"/>
  <c r="F201" i="18"/>
  <c r="F190" i="18"/>
  <c r="F182" i="18"/>
  <c r="F181" i="18"/>
  <c r="F166" i="18"/>
  <c r="F162" i="18"/>
  <c r="F158" i="18"/>
  <c r="F240" i="18"/>
  <c r="F213" i="18"/>
  <c r="F153" i="18"/>
  <c r="F149" i="18"/>
  <c r="F241" i="18"/>
  <c r="F232" i="18"/>
  <c r="F231" i="18"/>
  <c r="F224" i="18"/>
  <c r="F220" i="18"/>
  <c r="F208" i="18"/>
  <c r="F192" i="18"/>
  <c r="F191" i="18"/>
  <c r="F176" i="18"/>
  <c r="F168" i="18"/>
  <c r="F167" i="18"/>
  <c r="F140" i="18"/>
  <c r="F136" i="18"/>
  <c r="F132" i="18"/>
  <c r="F128" i="18"/>
  <c r="F124" i="18"/>
  <c r="F120" i="18"/>
  <c r="F116" i="18"/>
  <c r="F112" i="18"/>
  <c r="F108" i="18"/>
  <c r="F104" i="18"/>
  <c r="F100" i="18"/>
  <c r="F245" i="18"/>
  <c r="F216" i="18"/>
  <c r="F215" i="18"/>
  <c r="F204" i="18"/>
  <c r="F196" i="18"/>
  <c r="F195" i="18"/>
  <c r="F164" i="18"/>
  <c r="F160" i="18"/>
  <c r="D142" i="18"/>
  <c r="F183" i="18"/>
  <c r="F174" i="18"/>
  <c r="F137" i="18"/>
  <c r="F135" i="18"/>
  <c r="F121" i="18"/>
  <c r="F119" i="18"/>
  <c r="F105" i="18"/>
  <c r="F103" i="18"/>
  <c r="F96" i="18"/>
  <c r="F146" i="18"/>
  <c r="F243" i="18"/>
  <c r="F209" i="18"/>
  <c r="F207" i="18"/>
  <c r="F186" i="18"/>
  <c r="F179" i="18"/>
  <c r="F150" i="18"/>
  <c r="F233" i="18"/>
  <c r="F226" i="18"/>
  <c r="F218" i="18"/>
  <c r="F163" i="18"/>
  <c r="F154" i="18"/>
  <c r="F184" i="18"/>
  <c r="F175" i="18"/>
  <c r="F159" i="18"/>
  <c r="F144" i="18"/>
  <c r="F97" i="18"/>
  <c r="F214" i="18"/>
  <c r="F203" i="18"/>
  <c r="F194" i="18"/>
  <c r="F187" i="18"/>
  <c r="F177" i="18"/>
  <c r="F170" i="18"/>
  <c r="F227" i="18"/>
  <c r="F210" i="18"/>
  <c r="F147" i="18"/>
  <c r="F129" i="18"/>
  <c r="F127" i="18"/>
  <c r="F113" i="18"/>
  <c r="F111" i="18"/>
  <c r="F219" i="18"/>
  <c r="F171" i="18"/>
  <c r="F142" i="18"/>
  <c r="F193" i="18"/>
  <c r="F178" i="18"/>
  <c r="F169" i="18"/>
  <c r="F151" i="18"/>
  <c r="F139" i="18"/>
  <c r="F107" i="18"/>
  <c r="F109" i="18"/>
  <c r="F223" i="18"/>
  <c r="F115" i="18"/>
  <c r="F242" i="18"/>
  <c r="F117" i="18"/>
  <c r="F225" i="18"/>
  <c r="F185" i="18"/>
  <c r="F145" i="18"/>
  <c r="F244" i="18"/>
  <c r="F155" i="18"/>
  <c r="F123" i="18"/>
  <c r="F125" i="18"/>
  <c r="F131" i="18"/>
  <c r="F99" i="18"/>
  <c r="F211" i="18"/>
  <c r="F133" i="18"/>
  <c r="F101" i="18"/>
  <c r="J166" i="18"/>
  <c r="J26" i="6"/>
  <c r="J28" i="6"/>
  <c r="J29" i="6"/>
  <c r="J31" i="6"/>
  <c r="L14" i="9"/>
  <c r="J19" i="9"/>
  <c r="V21" i="9"/>
  <c r="V25" i="9"/>
  <c r="V29" i="9"/>
  <c r="J33" i="9"/>
  <c r="R34" i="9"/>
  <c r="J37" i="9"/>
  <c r="R38" i="9"/>
  <c r="J41" i="9"/>
  <c r="V45" i="9"/>
  <c r="J53" i="9"/>
  <c r="V57" i="9"/>
  <c r="V65" i="9"/>
  <c r="J69" i="9"/>
  <c r="R70" i="9"/>
  <c r="R71" i="9"/>
  <c r="F74" i="9"/>
  <c r="V77" i="9"/>
  <c r="J81" i="9"/>
  <c r="F86" i="9"/>
  <c r="J87" i="9"/>
  <c r="V89" i="9"/>
  <c r="F95" i="9"/>
  <c r="F97" i="9"/>
  <c r="J99" i="9"/>
  <c r="V129" i="12"/>
  <c r="V133" i="12"/>
  <c r="V137" i="12"/>
  <c r="V153" i="12"/>
  <c r="V177" i="12"/>
  <c r="V189" i="12"/>
  <c r="V205" i="12"/>
  <c r="V221" i="12"/>
  <c r="V231" i="12"/>
  <c r="J217" i="15"/>
  <c r="J216" i="15"/>
  <c r="J208" i="15"/>
  <c r="J180" i="15"/>
  <c r="J218" i="15"/>
  <c r="J209" i="15"/>
  <c r="J191" i="15"/>
  <c r="J169" i="15"/>
  <c r="J145" i="15"/>
  <c r="J131" i="15"/>
  <c r="J127" i="15"/>
  <c r="J219" i="15"/>
  <c r="J210" i="15"/>
  <c r="J202" i="15"/>
  <c r="J198" i="15"/>
  <c r="J221" i="15"/>
  <c r="J192" i="15"/>
  <c r="J172" i="15"/>
  <c r="J162" i="15"/>
  <c r="J148" i="15"/>
  <c r="J132" i="15"/>
  <c r="J128" i="15"/>
  <c r="J124" i="15"/>
  <c r="J211" i="15"/>
  <c r="J203" i="15"/>
  <c r="J199" i="15"/>
  <c r="J193" i="15"/>
  <c r="J187" i="15"/>
  <c r="J173" i="15"/>
  <c r="J163" i="15"/>
  <c r="J155" i="15"/>
  <c r="J204" i="15"/>
  <c r="J194" i="15"/>
  <c r="J188" i="15"/>
  <c r="J182" i="15"/>
  <c r="J174" i="15"/>
  <c r="J214" i="15"/>
  <c r="J206" i="15"/>
  <c r="J196" i="15"/>
  <c r="J190" i="15"/>
  <c r="J178" i="15"/>
  <c r="J158" i="15"/>
  <c r="J152" i="15"/>
  <c r="J130" i="15"/>
  <c r="J126" i="15"/>
  <c r="J207" i="15"/>
  <c r="J201" i="15"/>
  <c r="J197" i="15"/>
  <c r="J185" i="15"/>
  <c r="J179" i="15"/>
  <c r="J159" i="15"/>
  <c r="J153" i="15"/>
  <c r="J109" i="15"/>
  <c r="J135" i="15"/>
  <c r="J143" i="15"/>
  <c r="J149" i="15"/>
  <c r="V150" i="15"/>
  <c r="V156" i="15"/>
  <c r="Z164" i="15"/>
  <c r="V172" i="15"/>
  <c r="J184" i="15"/>
  <c r="J186" i="15"/>
  <c r="X209" i="15"/>
  <c r="Z209" i="15" s="1"/>
  <c r="D16" i="6"/>
  <c r="F24" i="6"/>
  <c r="F23" i="9"/>
  <c r="F27" i="9"/>
  <c r="V34" i="9"/>
  <c r="V38" i="9"/>
  <c r="R43" i="9"/>
  <c r="R44" i="9"/>
  <c r="V46" i="9"/>
  <c r="F50" i="9"/>
  <c r="F51" i="9"/>
  <c r="J52" i="9"/>
  <c r="R55" i="9"/>
  <c r="R56" i="9"/>
  <c r="V58" i="9"/>
  <c r="F62" i="9"/>
  <c r="F63" i="9"/>
  <c r="V66" i="9"/>
  <c r="V70" i="9"/>
  <c r="J74" i="9"/>
  <c r="R75" i="9"/>
  <c r="R76" i="9"/>
  <c r="R83" i="9"/>
  <c r="J86" i="9"/>
  <c r="V90" i="9"/>
  <c r="V142" i="12"/>
  <c r="V146" i="12"/>
  <c r="V150" i="12"/>
  <c r="V166" i="12"/>
  <c r="V174" i="12"/>
  <c r="V186" i="12"/>
  <c r="V194" i="12"/>
  <c r="V210" i="12"/>
  <c r="V214" i="12"/>
  <c r="V222" i="12"/>
  <c r="V230" i="12"/>
  <c r="J85" i="15"/>
  <c r="J89" i="15"/>
  <c r="J93" i="15"/>
  <c r="J97" i="15"/>
  <c r="J101" i="15"/>
  <c r="J105" i="15"/>
  <c r="J116" i="15"/>
  <c r="N123" i="15"/>
  <c r="V124" i="15"/>
  <c r="J140" i="15"/>
  <c r="V153" i="15"/>
  <c r="V164" i="15"/>
  <c r="X175" i="15"/>
  <c r="Z175" i="15"/>
  <c r="V209" i="15"/>
  <c r="V213" i="15"/>
  <c r="Z216" i="15"/>
  <c r="L197" i="18"/>
  <c r="N197" i="18" s="1"/>
  <c r="F14" i="6"/>
  <c r="F16" i="6"/>
  <c r="F18" i="6"/>
  <c r="F20" i="6"/>
  <c r="F22" i="6"/>
  <c r="J24" i="6"/>
  <c r="P16" i="9"/>
  <c r="R20" i="9"/>
  <c r="J23" i="9"/>
  <c r="R24" i="9"/>
  <c r="J27" i="9"/>
  <c r="R28" i="9"/>
  <c r="F31" i="9"/>
  <c r="F32" i="9"/>
  <c r="F36" i="9"/>
  <c r="F40" i="9"/>
  <c r="V43" i="9"/>
  <c r="J51" i="9"/>
  <c r="V55" i="9"/>
  <c r="J63" i="9"/>
  <c r="R64" i="9"/>
  <c r="F68" i="9"/>
  <c r="V71" i="9"/>
  <c r="V75" i="9"/>
  <c r="F79" i="9"/>
  <c r="F80" i="9"/>
  <c r="V83" i="9"/>
  <c r="R88" i="9"/>
  <c r="J95" i="9"/>
  <c r="J97" i="9"/>
  <c r="R101" i="9"/>
  <c r="R104" i="9"/>
  <c r="V87" i="12"/>
  <c r="V91" i="12"/>
  <c r="V95" i="12"/>
  <c r="V99" i="12"/>
  <c r="V103" i="12"/>
  <c r="V107" i="12"/>
  <c r="V111" i="12"/>
  <c r="V115" i="12"/>
  <c r="V119" i="12"/>
  <c r="V123" i="12"/>
  <c r="V151" i="12"/>
  <c r="V159" i="12"/>
  <c r="V175" i="12"/>
  <c r="V187" i="12"/>
  <c r="V199" i="12"/>
  <c r="V203" i="12"/>
  <c r="V219" i="12"/>
  <c r="V227" i="12"/>
  <c r="V229" i="12"/>
  <c r="V82" i="15"/>
  <c r="V86" i="15"/>
  <c r="V90" i="15"/>
  <c r="V94" i="15"/>
  <c r="V98" i="15"/>
  <c r="V102" i="15"/>
  <c r="J112" i="15"/>
  <c r="V117" i="15"/>
  <c r="J123" i="15"/>
  <c r="V126" i="15"/>
  <c r="J137" i="15"/>
  <c r="V138" i="15"/>
  <c r="J146" i="15"/>
  <c r="V147" i="15"/>
  <c r="V149" i="15"/>
  <c r="V160" i="15"/>
  <c r="J168" i="15"/>
  <c r="X169" i="15"/>
  <c r="Z169" i="15" s="1"/>
  <c r="J171" i="15"/>
  <c r="J181" i="15"/>
  <c r="N188" i="15"/>
  <c r="V197" i="15"/>
  <c r="N204" i="15"/>
  <c r="J212" i="15"/>
  <c r="V218" i="15"/>
  <c r="J220" i="15"/>
  <c r="N42" i="21"/>
  <c r="L55" i="21"/>
  <c r="N55" i="21" s="1"/>
  <c r="H16" i="6"/>
  <c r="R14" i="9"/>
  <c r="R16" i="9"/>
  <c r="R18" i="9"/>
  <c r="V20" i="9"/>
  <c r="V24" i="9"/>
  <c r="V28" i="9"/>
  <c r="J32" i="9"/>
  <c r="R33" i="9"/>
  <c r="J36" i="9"/>
  <c r="R37" i="9"/>
  <c r="J40" i="9"/>
  <c r="R41" i="9"/>
  <c r="R42" i="9"/>
  <c r="V44" i="9"/>
  <c r="F48" i="9"/>
  <c r="F49" i="9"/>
  <c r="J50" i="9"/>
  <c r="R53" i="9"/>
  <c r="R54" i="9"/>
  <c r="V56" i="9"/>
  <c r="F60" i="9"/>
  <c r="F61" i="9"/>
  <c r="J62" i="9"/>
  <c r="V64" i="9"/>
  <c r="J68" i="9"/>
  <c r="R69" i="9"/>
  <c r="F73" i="9"/>
  <c r="V76" i="9"/>
  <c r="J80" i="9"/>
  <c r="R81" i="9"/>
  <c r="R82" i="9"/>
  <c r="F85" i="9"/>
  <c r="V88" i="9"/>
  <c r="F92" i="9"/>
  <c r="F93" i="9"/>
  <c r="R99" i="9"/>
  <c r="V132" i="12"/>
  <c r="V136" i="12"/>
  <c r="V164" i="12"/>
  <c r="V184" i="12"/>
  <c r="V192" i="12"/>
  <c r="V220" i="12"/>
  <c r="J108" i="15"/>
  <c r="V113" i="15"/>
  <c r="H120" i="15"/>
  <c r="J122" i="15"/>
  <c r="V128" i="15"/>
  <c r="J151" i="15"/>
  <c r="J157" i="15"/>
  <c r="V169" i="15"/>
  <c r="Z177" i="15"/>
  <c r="L53" i="21"/>
  <c r="N53" i="21" s="1"/>
  <c r="L18" i="27"/>
  <c r="D12" i="27"/>
  <c r="J14" i="6"/>
  <c r="J16" i="6"/>
  <c r="J18" i="6"/>
  <c r="J20" i="6"/>
  <c r="J22" i="6"/>
  <c r="R26" i="6"/>
  <c r="R28" i="6"/>
  <c r="R29" i="6"/>
  <c r="R31" i="6"/>
  <c r="T16" i="9"/>
  <c r="R19" i="9"/>
  <c r="F22" i="9"/>
  <c r="F26" i="9"/>
  <c r="F30" i="9"/>
  <c r="J31" i="9"/>
  <c r="V33" i="9"/>
  <c r="V37" i="9"/>
  <c r="V41" i="9"/>
  <c r="J49" i="9"/>
  <c r="V53" i="9"/>
  <c r="J61" i="9"/>
  <c r="V69" i="9"/>
  <c r="J73" i="9"/>
  <c r="R74" i="9"/>
  <c r="F78" i="9"/>
  <c r="J79" i="9"/>
  <c r="V81" i="9"/>
  <c r="J85" i="9"/>
  <c r="R86" i="9"/>
  <c r="R87" i="9"/>
  <c r="J93" i="9"/>
  <c r="V99" i="9"/>
  <c r="V101" i="9"/>
  <c r="V104" i="9"/>
  <c r="V141" i="12"/>
  <c r="V145" i="12"/>
  <c r="V149" i="12"/>
  <c r="V157" i="12"/>
  <c r="V165" i="12"/>
  <c r="V173" i="12"/>
  <c r="V185" i="12"/>
  <c r="V193" i="12"/>
  <c r="V197" i="12"/>
  <c r="V209" i="12"/>
  <c r="V213" i="12"/>
  <c r="V225" i="12"/>
  <c r="V204" i="15"/>
  <c r="V192" i="15"/>
  <c r="V188" i="15"/>
  <c r="V211" i="15"/>
  <c r="V203" i="15"/>
  <c r="V199" i="15"/>
  <c r="V187" i="15"/>
  <c r="V183" i="15"/>
  <c r="V175" i="15"/>
  <c r="V163" i="15"/>
  <c r="V155" i="15"/>
  <c r="V212" i="15"/>
  <c r="V200" i="15"/>
  <c r="V196" i="15"/>
  <c r="V184" i="15"/>
  <c r="V176" i="15"/>
  <c r="V152" i="15"/>
  <c r="V207" i="15"/>
  <c r="V195" i="15"/>
  <c r="V179" i="15"/>
  <c r="V167" i="15"/>
  <c r="V159" i="15"/>
  <c r="V151" i="15"/>
  <c r="V143" i="15"/>
  <c r="V139" i="15"/>
  <c r="V135" i="15"/>
  <c r="V216" i="15"/>
  <c r="V214" i="15"/>
  <c r="V206" i="15"/>
  <c r="V190" i="15"/>
  <c r="V178" i="15"/>
  <c r="V220" i="15"/>
  <c r="V210" i="15"/>
  <c r="V202" i="15"/>
  <c r="V198" i="15"/>
  <c r="V186" i="15"/>
  <c r="V170" i="15"/>
  <c r="V162" i="15"/>
  <c r="V154" i="15"/>
  <c r="V146" i="15"/>
  <c r="V122" i="15"/>
  <c r="V118" i="15"/>
  <c r="V114" i="15"/>
  <c r="V110" i="15"/>
  <c r="V106" i="15"/>
  <c r="V221" i="15"/>
  <c r="V193" i="15"/>
  <c r="V181" i="15"/>
  <c r="V173" i="15"/>
  <c r="V161" i="15"/>
  <c r="V141" i="15"/>
  <c r="V137" i="15"/>
  <c r="J84" i="15"/>
  <c r="J88" i="15"/>
  <c r="J92" i="15"/>
  <c r="J96" i="15"/>
  <c r="J100" i="15"/>
  <c r="J104" i="15"/>
  <c r="V109" i="15"/>
  <c r="J115" i="15"/>
  <c r="J120" i="15"/>
  <c r="J134" i="15"/>
  <c r="J142" i="15"/>
  <c r="J165" i="15"/>
  <c r="V166" i="15"/>
  <c r="J176" i="15"/>
  <c r="V177" i="15"/>
  <c r="J200" i="15"/>
  <c r="Z204" i="15"/>
  <c r="V208" i="15"/>
  <c r="J53" i="21"/>
  <c r="N62" i="21"/>
  <c r="J62" i="21"/>
  <c r="L99" i="21"/>
  <c r="N99" i="21" s="1"/>
  <c r="R24" i="6"/>
  <c r="V14" i="9"/>
  <c r="V16" i="9"/>
  <c r="V18" i="9"/>
  <c r="J22" i="9"/>
  <c r="R23" i="9"/>
  <c r="J26" i="9"/>
  <c r="R27" i="9"/>
  <c r="J30" i="9"/>
  <c r="F35" i="9"/>
  <c r="F39" i="9"/>
  <c r="V42" i="9"/>
  <c r="F46" i="9"/>
  <c r="F47" i="9"/>
  <c r="J48" i="9"/>
  <c r="R51" i="9"/>
  <c r="R52" i="9"/>
  <c r="V54" i="9"/>
  <c r="F58" i="9"/>
  <c r="F59" i="9"/>
  <c r="J60" i="9"/>
  <c r="R63" i="9"/>
  <c r="F66" i="9"/>
  <c r="F67" i="9"/>
  <c r="V74" i="9"/>
  <c r="J78" i="9"/>
  <c r="V82" i="9"/>
  <c r="V86" i="9"/>
  <c r="F90" i="9"/>
  <c r="F91" i="9"/>
  <c r="J92" i="9"/>
  <c r="V86" i="12"/>
  <c r="V90" i="12"/>
  <c r="V94" i="12"/>
  <c r="V98" i="12"/>
  <c r="V102" i="12"/>
  <c r="V106" i="12"/>
  <c r="V110" i="12"/>
  <c r="V114" i="12"/>
  <c r="V118" i="12"/>
  <c r="V122" i="12"/>
  <c r="V158" i="12"/>
  <c r="V182" i="12"/>
  <c r="V198" i="12"/>
  <c r="V202" i="12"/>
  <c r="V218" i="12"/>
  <c r="V226" i="12"/>
  <c r="V238" i="12"/>
  <c r="V81" i="15"/>
  <c r="V85" i="15"/>
  <c r="V89" i="15"/>
  <c r="V93" i="15"/>
  <c r="V97" i="15"/>
  <c r="V101" i="15"/>
  <c r="V105" i="15"/>
  <c r="J111" i="15"/>
  <c r="V116" i="15"/>
  <c r="J125" i="15"/>
  <c r="V130" i="15"/>
  <c r="V132" i="15"/>
  <c r="V140" i="15"/>
  <c r="J154" i="15"/>
  <c r="L156" i="15"/>
  <c r="V157" i="15"/>
  <c r="V168" i="15"/>
  <c r="L183" i="15"/>
  <c r="N183" i="15" s="1"/>
  <c r="V194" i="15"/>
  <c r="J225" i="15"/>
  <c r="N61" i="33"/>
  <c r="L61" i="33"/>
  <c r="J61" i="33"/>
  <c r="X12" i="9"/>
  <c r="V23" i="9"/>
  <c r="V27" i="9"/>
  <c r="R32" i="9"/>
  <c r="J35" i="9"/>
  <c r="R36" i="9"/>
  <c r="J39" i="9"/>
  <c r="R40" i="9"/>
  <c r="X42" i="9"/>
  <c r="Z42" i="9" s="1"/>
  <c r="J47" i="9"/>
  <c r="V51" i="9"/>
  <c r="X54" i="9"/>
  <c r="J59" i="9"/>
  <c r="V63" i="9"/>
  <c r="J67" i="9"/>
  <c r="R68" i="9"/>
  <c r="F71" i="9"/>
  <c r="F72" i="9"/>
  <c r="R80" i="9"/>
  <c r="F84" i="9"/>
  <c r="V87" i="9"/>
  <c r="J91" i="9"/>
  <c r="R95" i="9"/>
  <c r="R97" i="9"/>
  <c r="V131" i="12"/>
  <c r="V135" i="12"/>
  <c r="V139" i="12"/>
  <c r="V155" i="12"/>
  <c r="V163" i="12"/>
  <c r="V171" i="12"/>
  <c r="V183" i="12"/>
  <c r="V191" i="12"/>
  <c r="V207" i="12"/>
  <c r="J107" i="15"/>
  <c r="V112" i="15"/>
  <c r="J139" i="15"/>
  <c r="L145" i="15"/>
  <c r="N145" i="15" s="1"/>
  <c r="X159" i="15"/>
  <c r="J161" i="15"/>
  <c r="L164" i="15"/>
  <c r="V165" i="15"/>
  <c r="J170" i="15"/>
  <c r="V171" i="15"/>
  <c r="J183" i="15"/>
  <c r="Z193" i="18"/>
  <c r="N215" i="18"/>
  <c r="J59" i="33"/>
  <c r="P16" i="6"/>
  <c r="Z12" i="9"/>
  <c r="F21" i="9"/>
  <c r="F25" i="9"/>
  <c r="F29" i="9"/>
  <c r="V32" i="9"/>
  <c r="V36" i="9"/>
  <c r="V40" i="9"/>
  <c r="F44" i="9"/>
  <c r="F45" i="9"/>
  <c r="J46" i="9"/>
  <c r="R49" i="9"/>
  <c r="R50" i="9"/>
  <c r="V52" i="9"/>
  <c r="F56" i="9"/>
  <c r="F57" i="9"/>
  <c r="J58" i="9"/>
  <c r="R61" i="9"/>
  <c r="R62" i="9"/>
  <c r="F65" i="9"/>
  <c r="J66" i="9"/>
  <c r="V68" i="9"/>
  <c r="J72" i="9"/>
  <c r="R73" i="9"/>
  <c r="F76" i="9"/>
  <c r="F77" i="9"/>
  <c r="V80" i="9"/>
  <c r="J84" i="9"/>
  <c r="R85" i="9"/>
  <c r="F89" i="9"/>
  <c r="J90" i="9"/>
  <c r="R93" i="9"/>
  <c r="V140" i="12"/>
  <c r="V144" i="12"/>
  <c r="V148" i="12"/>
  <c r="V156" i="12"/>
  <c r="V172" i="12"/>
  <c r="V180" i="12"/>
  <c r="V196" i="12"/>
  <c r="V208" i="12"/>
  <c r="V212" i="12"/>
  <c r="V216" i="12"/>
  <c r="V224" i="12"/>
  <c r="J83" i="15"/>
  <c r="J87" i="15"/>
  <c r="J91" i="15"/>
  <c r="J95" i="15"/>
  <c r="J99" i="15"/>
  <c r="J103" i="15"/>
  <c r="V108" i="15"/>
  <c r="J118" i="15"/>
  <c r="V123" i="15"/>
  <c r="V125" i="15"/>
  <c r="J129" i="15"/>
  <c r="J136" i="15"/>
  <c r="J144" i="15"/>
  <c r="J150" i="15"/>
  <c r="N156" i="15"/>
  <c r="J167" i="15"/>
  <c r="X173" i="15"/>
  <c r="Z173" i="15" s="1"/>
  <c r="J205" i="15"/>
  <c r="V217" i="15"/>
  <c r="V225" i="15"/>
  <c r="T106" i="21"/>
  <c r="R14" i="6"/>
  <c r="R16" i="6"/>
  <c r="R18" i="6"/>
  <c r="R20" i="6"/>
  <c r="J21" i="9"/>
  <c r="R22" i="9"/>
  <c r="J25" i="9"/>
  <c r="R26" i="9"/>
  <c r="J29" i="9"/>
  <c r="R30" i="9"/>
  <c r="R31" i="9"/>
  <c r="F34" i="9"/>
  <c r="F38" i="9"/>
  <c r="J45" i="9"/>
  <c r="V49" i="9"/>
  <c r="J57" i="9"/>
  <c r="V61" i="9"/>
  <c r="J65" i="9"/>
  <c r="F70" i="9"/>
  <c r="J71" i="9"/>
  <c r="V73" i="9"/>
  <c r="J77" i="9"/>
  <c r="R78" i="9"/>
  <c r="R79" i="9"/>
  <c r="V85" i="9"/>
  <c r="J89" i="9"/>
  <c r="V93" i="9"/>
  <c r="V95" i="9"/>
  <c r="V97" i="9"/>
  <c r="F101" i="9"/>
  <c r="F104" i="9"/>
  <c r="V85" i="12"/>
  <c r="V89" i="12"/>
  <c r="V93" i="12"/>
  <c r="V97" i="12"/>
  <c r="V101" i="12"/>
  <c r="V105" i="12"/>
  <c r="V109" i="12"/>
  <c r="V113" i="12"/>
  <c r="V117" i="12"/>
  <c r="V121" i="12"/>
  <c r="V161" i="12"/>
  <c r="V169" i="12"/>
  <c r="V181" i="12"/>
  <c r="V201" i="12"/>
  <c r="V217" i="12"/>
  <c r="J114" i="15"/>
  <c r="V142" i="15"/>
  <c r="V148" i="15"/>
  <c r="J156" i="15"/>
  <c r="N164" i="15"/>
  <c r="V185" i="15"/>
  <c r="J189" i="15"/>
  <c r="J213" i="15"/>
  <c r="Z169" i="18"/>
  <c r="X174" i="18"/>
  <c r="Z174" i="18" s="1"/>
  <c r="F14" i="9"/>
  <c r="F16" i="9"/>
  <c r="F18" i="9"/>
  <c r="V22" i="9"/>
  <c r="V26" i="9"/>
  <c r="V30" i="9"/>
  <c r="J34" i="9"/>
  <c r="R35" i="9"/>
  <c r="J38" i="9"/>
  <c r="R39" i="9"/>
  <c r="F42" i="9"/>
  <c r="F43" i="9"/>
  <c r="J44" i="9"/>
  <c r="R47" i="9"/>
  <c r="R48" i="9"/>
  <c r="V50" i="9"/>
  <c r="F54" i="9"/>
  <c r="F55" i="9"/>
  <c r="J56" i="9"/>
  <c r="R59" i="9"/>
  <c r="R60" i="9"/>
  <c r="V62" i="9"/>
  <c r="R67" i="9"/>
  <c r="J70" i="9"/>
  <c r="F75" i="9"/>
  <c r="F82" i="9"/>
  <c r="R91" i="9"/>
  <c r="V130" i="12"/>
  <c r="V134" i="12"/>
  <c r="V138" i="12"/>
  <c r="V154" i="12"/>
  <c r="V162" i="12"/>
  <c r="V170" i="12"/>
  <c r="V178" i="12"/>
  <c r="V190" i="12"/>
  <c r="V206" i="12"/>
  <c r="V234" i="12"/>
  <c r="J110" i="15"/>
  <c r="V111" i="15"/>
  <c r="T120" i="15"/>
  <c r="V120" i="15" s="1"/>
  <c r="V127" i="15"/>
  <c r="J133" i="15"/>
  <c r="V134" i="15"/>
  <c r="J141" i="15"/>
  <c r="Z145" i="15"/>
  <c r="N147" i="15"/>
  <c r="J164" i="15"/>
  <c r="L175" i="15"/>
  <c r="N175" i="15" s="1"/>
  <c r="X183" i="15"/>
  <c r="Z183" i="15"/>
  <c r="V191" i="15"/>
  <c r="J195" i="15"/>
  <c r="V205" i="15"/>
  <c r="V219" i="15"/>
  <c r="N209" i="15"/>
  <c r="V154" i="18"/>
  <c r="V189" i="18"/>
  <c r="V210" i="18"/>
  <c r="V222" i="18"/>
  <c r="V238" i="18"/>
  <c r="J29" i="21"/>
  <c r="V80" i="21"/>
  <c r="L90" i="21"/>
  <c r="N90" i="21" s="1"/>
  <c r="H106" i="21"/>
  <c r="L14" i="24"/>
  <c r="N62" i="24"/>
  <c r="V87" i="27"/>
  <c r="J94" i="27"/>
  <c r="J100" i="27"/>
  <c r="V110" i="18"/>
  <c r="V126" i="18"/>
  <c r="V150" i="18"/>
  <c r="V152" i="18"/>
  <c r="N169" i="18"/>
  <c r="Z181" i="18"/>
  <c r="N193" i="18"/>
  <c r="N195" i="18"/>
  <c r="V198" i="18"/>
  <c r="V200" i="18"/>
  <c r="Z218" i="18"/>
  <c r="Z235" i="18"/>
  <c r="L62" i="21"/>
  <c r="J62" i="24"/>
  <c r="V49" i="27"/>
  <c r="J77" i="27"/>
  <c r="F115" i="36"/>
  <c r="F114" i="36"/>
  <c r="F99" i="36"/>
  <c r="F67" i="36"/>
  <c r="F27" i="36"/>
  <c r="F26" i="36"/>
  <c r="F122" i="36"/>
  <c r="F110" i="36"/>
  <c r="F106" i="36"/>
  <c r="F94" i="36"/>
  <c r="F78" i="36"/>
  <c r="F62" i="36"/>
  <c r="F61" i="36"/>
  <c r="F54" i="36"/>
  <c r="F50" i="36"/>
  <c r="F46" i="36"/>
  <c r="F45" i="36"/>
  <c r="F89" i="36"/>
  <c r="F69" i="36"/>
  <c r="F68" i="36"/>
  <c r="F41" i="36"/>
  <c r="F37" i="36"/>
  <c r="F124" i="36"/>
  <c r="F123" i="36"/>
  <c r="F116" i="36"/>
  <c r="F100" i="36"/>
  <c r="F96" i="36"/>
  <c r="F95" i="36"/>
  <c r="F80" i="36"/>
  <c r="F79" i="36"/>
  <c r="F64" i="36"/>
  <c r="F63" i="36"/>
  <c r="F28" i="36"/>
  <c r="F111" i="36"/>
  <c r="F107" i="36"/>
  <c r="F71" i="36"/>
  <c r="F70" i="36"/>
  <c r="F55" i="36"/>
  <c r="F51" i="36"/>
  <c r="F47" i="36"/>
  <c r="F127" i="36"/>
  <c r="F118" i="36"/>
  <c r="F117" i="36"/>
  <c r="F102" i="36"/>
  <c r="F101" i="36"/>
  <c r="F90" i="36"/>
  <c r="F82" i="36"/>
  <c r="F81" i="36"/>
  <c r="F42" i="36"/>
  <c r="F38" i="36"/>
  <c r="F128" i="36"/>
  <c r="F97" i="36"/>
  <c r="F73" i="36"/>
  <c r="F72" i="36"/>
  <c r="F65" i="36"/>
  <c r="F57" i="36"/>
  <c r="F56" i="36"/>
  <c r="F29" i="36"/>
  <c r="F129" i="36"/>
  <c r="F120" i="36"/>
  <c r="F119" i="36"/>
  <c r="F112" i="36"/>
  <c r="F108" i="36"/>
  <c r="F104" i="36"/>
  <c r="F103" i="36"/>
  <c r="F84" i="36"/>
  <c r="F83" i="36"/>
  <c r="F52" i="36"/>
  <c r="F48" i="36"/>
  <c r="L12" i="36"/>
  <c r="F130" i="36"/>
  <c r="F53" i="36"/>
  <c r="F121" i="36"/>
  <c r="F105" i="36"/>
  <c r="F91" i="36"/>
  <c r="F58" i="36"/>
  <c r="F93" i="36"/>
  <c r="F60" i="36"/>
  <c r="F34" i="36"/>
  <c r="F87" i="36"/>
  <c r="F36" i="36"/>
  <c r="D31" i="36"/>
  <c r="F134" i="36"/>
  <c r="F85" i="36"/>
  <c r="F109" i="36"/>
  <c r="F76" i="36"/>
  <c r="F74" i="36"/>
  <c r="F44" i="36"/>
  <c r="F40" i="36"/>
  <c r="F59" i="36"/>
  <c r="F88" i="36"/>
  <c r="F35" i="36"/>
  <c r="F43" i="36"/>
  <c r="F92" i="36"/>
  <c r="F77" i="36"/>
  <c r="F33" i="36"/>
  <c r="F66" i="36"/>
  <c r="F49" i="36"/>
  <c r="F113" i="36"/>
  <c r="F39" i="36"/>
  <c r="F75" i="36"/>
  <c r="J27" i="36"/>
  <c r="V217" i="18"/>
  <c r="P238" i="18"/>
  <c r="X238" i="18" s="1"/>
  <c r="Z238" i="18" s="1"/>
  <c r="V137" i="30"/>
  <c r="L88" i="30"/>
  <c r="N88" i="30" s="1"/>
  <c r="Z29" i="33"/>
  <c r="V29" i="33"/>
  <c r="V241" i="18"/>
  <c r="V213" i="18"/>
  <c r="V193" i="18"/>
  <c r="V169" i="18"/>
  <c r="V153" i="18"/>
  <c r="V149" i="18"/>
  <c r="V145" i="18"/>
  <c r="V242" i="18"/>
  <c r="V232" i="18"/>
  <c r="V224" i="18"/>
  <c r="V220" i="18"/>
  <c r="V208" i="18"/>
  <c r="V192" i="18"/>
  <c r="V184" i="18"/>
  <c r="V176" i="18"/>
  <c r="V168" i="18"/>
  <c r="V144" i="18"/>
  <c r="V140" i="18"/>
  <c r="V136" i="18"/>
  <c r="V132" i="18"/>
  <c r="V128" i="18"/>
  <c r="V124" i="18"/>
  <c r="V120" i="18"/>
  <c r="V116" i="18"/>
  <c r="V112" i="18"/>
  <c r="V108" i="18"/>
  <c r="V104" i="18"/>
  <c r="V100" i="18"/>
  <c r="V96" i="18"/>
  <c r="V243" i="18"/>
  <c r="V215" i="18"/>
  <c r="V203" i="18"/>
  <c r="V195" i="18"/>
  <c r="V183" i="18"/>
  <c r="V163" i="18"/>
  <c r="V159" i="18"/>
  <c r="T142" i="18"/>
  <c r="V142" i="18" s="1"/>
  <c r="V245" i="18"/>
  <c r="V233" i="18"/>
  <c r="V225" i="18"/>
  <c r="V221" i="18"/>
  <c r="V209" i="18"/>
  <c r="V205" i="18"/>
  <c r="V197" i="18"/>
  <c r="V185" i="18"/>
  <c r="V177" i="18"/>
  <c r="V137" i="18"/>
  <c r="V133" i="18"/>
  <c r="V129" i="18"/>
  <c r="V125" i="18"/>
  <c r="V121" i="18"/>
  <c r="V117" i="18"/>
  <c r="V113" i="18"/>
  <c r="V109" i="18"/>
  <c r="V105" i="18"/>
  <c r="V101" i="18"/>
  <c r="V97" i="18"/>
  <c r="V216" i="18"/>
  <c r="V204" i="18"/>
  <c r="V196" i="18"/>
  <c r="V188" i="18"/>
  <c r="V172" i="18"/>
  <c r="V164" i="18"/>
  <c r="V160" i="18"/>
  <c r="V156" i="18"/>
  <c r="V235" i="18"/>
  <c r="V227" i="18"/>
  <c r="V211" i="18"/>
  <c r="V199" i="18"/>
  <c r="V187" i="18"/>
  <c r="V179" i="18"/>
  <c r="V171" i="18"/>
  <c r="V155" i="18"/>
  <c r="V151" i="18"/>
  <c r="V147" i="18"/>
  <c r="V239" i="18"/>
  <c r="V231" i="18"/>
  <c r="V223" i="18"/>
  <c r="V219" i="18"/>
  <c r="V207" i="18"/>
  <c r="V191" i="18"/>
  <c r="V175" i="18"/>
  <c r="V167" i="18"/>
  <c r="V139" i="18"/>
  <c r="V135" i="18"/>
  <c r="V131" i="18"/>
  <c r="V127" i="18"/>
  <c r="V123" i="18"/>
  <c r="V119" i="18"/>
  <c r="V115" i="18"/>
  <c r="V111" i="18"/>
  <c r="V107" i="18"/>
  <c r="V103" i="18"/>
  <c r="V99" i="18"/>
  <c r="N145" i="18"/>
  <c r="V174" i="18"/>
  <c r="X195" i="18"/>
  <c r="Z195" i="18" s="1"/>
  <c r="N199" i="18"/>
  <c r="V234" i="18"/>
  <c r="V236" i="18"/>
  <c r="V240" i="18"/>
  <c r="Z99" i="21"/>
  <c r="J101" i="27"/>
  <c r="J93" i="27"/>
  <c r="J85" i="27"/>
  <c r="J73" i="27"/>
  <c r="J45" i="27"/>
  <c r="J41" i="27"/>
  <c r="J37" i="27"/>
  <c r="J33" i="27"/>
  <c r="J86" i="27"/>
  <c r="J74" i="27"/>
  <c r="J68" i="27"/>
  <c r="J64" i="27"/>
  <c r="J50" i="27"/>
  <c r="J104" i="27"/>
  <c r="J103" i="27"/>
  <c r="J87" i="27"/>
  <c r="J75" i="27"/>
  <c r="J59" i="27"/>
  <c r="J55" i="27"/>
  <c r="J51" i="27"/>
  <c r="J49" i="27"/>
  <c r="J47" i="27"/>
  <c r="J105" i="27"/>
  <c r="J95" i="27"/>
  <c r="J96" i="27"/>
  <c r="J88" i="27"/>
  <c r="J78" i="27"/>
  <c r="J60" i="27"/>
  <c r="J56" i="27"/>
  <c r="J52" i="27"/>
  <c r="J109" i="27"/>
  <c r="J89" i="27"/>
  <c r="J79" i="27"/>
  <c r="J61" i="27"/>
  <c r="J43" i="27"/>
  <c r="J39" i="27"/>
  <c r="J35" i="27"/>
  <c r="J90" i="27"/>
  <c r="J80" i="27"/>
  <c r="J70" i="27"/>
  <c r="J66" i="27"/>
  <c r="J62" i="27"/>
  <c r="J40" i="27"/>
  <c r="J82" i="27"/>
  <c r="J92" i="27"/>
  <c r="J54" i="27"/>
  <c r="J38" i="27"/>
  <c r="J36" i="27"/>
  <c r="J57" i="27"/>
  <c r="J97" i="27"/>
  <c r="J83" i="27"/>
  <c r="J69" i="27"/>
  <c r="J67" i="27"/>
  <c r="J34" i="27"/>
  <c r="J98" i="27"/>
  <c r="J84" i="27"/>
  <c r="J76" i="27"/>
  <c r="J58" i="27"/>
  <c r="J42" i="27"/>
  <c r="J63" i="27"/>
  <c r="H53" i="30"/>
  <c r="J33" i="30"/>
  <c r="N33" i="36"/>
  <c r="H137" i="39"/>
  <c r="L144" i="18"/>
  <c r="V166" i="18"/>
  <c r="V180" i="18"/>
  <c r="L184" i="18"/>
  <c r="V190" i="18"/>
  <c r="N201" i="18"/>
  <c r="L201" i="18"/>
  <c r="V206" i="18"/>
  <c r="Z215" i="18"/>
  <c r="X215" i="18"/>
  <c r="V95" i="21"/>
  <c r="V83" i="21"/>
  <c r="V71" i="21"/>
  <c r="V51" i="21"/>
  <c r="V47" i="21"/>
  <c r="V43" i="21"/>
  <c r="V106" i="21"/>
  <c r="V104" i="21"/>
  <c r="V102" i="21"/>
  <c r="V90" i="21"/>
  <c r="V74" i="21"/>
  <c r="V62" i="21"/>
  <c r="V38" i="21"/>
  <c r="V34" i="21"/>
  <c r="V89" i="21"/>
  <c r="V85" i="21"/>
  <c r="V73" i="21"/>
  <c r="V61" i="21"/>
  <c r="V53" i="21"/>
  <c r="V25" i="21"/>
  <c r="V91" i="21"/>
  <c r="V75" i="21"/>
  <c r="V63" i="21"/>
  <c r="V55" i="21"/>
  <c r="V39" i="21"/>
  <c r="V35" i="21"/>
  <c r="V108" i="21"/>
  <c r="V86" i="21"/>
  <c r="V78" i="21"/>
  <c r="V66" i="21"/>
  <c r="V54" i="21"/>
  <c r="V26" i="21"/>
  <c r="V97" i="21"/>
  <c r="V93" i="21"/>
  <c r="V77" i="21"/>
  <c r="V65" i="21"/>
  <c r="V57" i="21"/>
  <c r="V49" i="21"/>
  <c r="V45" i="21"/>
  <c r="V101" i="21"/>
  <c r="V81" i="21"/>
  <c r="V69" i="21"/>
  <c r="V41" i="21"/>
  <c r="V37" i="21"/>
  <c r="V33" i="21"/>
  <c r="L31" i="21"/>
  <c r="N31" i="21" s="1"/>
  <c r="J31" i="21"/>
  <c r="Z32" i="21"/>
  <c r="V36" i="21"/>
  <c r="V44" i="21"/>
  <c r="V46" i="21"/>
  <c r="X53" i="21"/>
  <c r="Z53" i="21" s="1"/>
  <c r="N57" i="21"/>
  <c r="V76" i="21"/>
  <c r="V99" i="21"/>
  <c r="J104" i="21"/>
  <c r="V87" i="24"/>
  <c r="V89" i="27"/>
  <c r="V77" i="27"/>
  <c r="V69" i="27"/>
  <c r="V65" i="27"/>
  <c r="V61" i="27"/>
  <c r="V96" i="27"/>
  <c r="V88" i="27"/>
  <c r="V80" i="27"/>
  <c r="V60" i="27"/>
  <c r="V56" i="27"/>
  <c r="V52" i="27"/>
  <c r="V109" i="27"/>
  <c r="V91" i="27"/>
  <c r="V79" i="27"/>
  <c r="V43" i="27"/>
  <c r="V39" i="27"/>
  <c r="V35" i="27"/>
  <c r="V97" i="27"/>
  <c r="V100" i="27"/>
  <c r="V92" i="27"/>
  <c r="V84" i="27"/>
  <c r="V72" i="27"/>
  <c r="V44" i="27"/>
  <c r="V40" i="27"/>
  <c r="V36" i="27"/>
  <c r="V32" i="27"/>
  <c r="V99" i="27"/>
  <c r="V83" i="27"/>
  <c r="V71" i="27"/>
  <c r="V67" i="27"/>
  <c r="V63" i="27"/>
  <c r="V86" i="27"/>
  <c r="V74" i="27"/>
  <c r="V58" i="27"/>
  <c r="V54" i="27"/>
  <c r="V50" i="27"/>
  <c r="V94" i="27"/>
  <c r="V90" i="27"/>
  <c r="V62" i="27"/>
  <c r="V105" i="27"/>
  <c r="V57" i="27"/>
  <c r="V103" i="27"/>
  <c r="V95" i="27"/>
  <c r="V78" i="27"/>
  <c r="V75" i="27"/>
  <c r="T47" i="27"/>
  <c r="V53" i="27"/>
  <c r="V98" i="27"/>
  <c r="V93" i="27"/>
  <c r="V76" i="27"/>
  <c r="V51" i="27"/>
  <c r="V104" i="27"/>
  <c r="V101" i="27"/>
  <c r="V66" i="27"/>
  <c r="V33" i="27"/>
  <c r="V85" i="27"/>
  <c r="V64" i="27"/>
  <c r="V59" i="27"/>
  <c r="V45" i="27"/>
  <c r="V38" i="27"/>
  <c r="V37" i="27"/>
  <c r="Z132" i="30"/>
  <c r="V132" i="30"/>
  <c r="T35" i="33"/>
  <c r="F98" i="36"/>
  <c r="V102" i="18"/>
  <c r="V118" i="18"/>
  <c r="V134" i="18"/>
  <c r="Z145" i="18"/>
  <c r="V173" i="18"/>
  <c r="V178" i="18"/>
  <c r="V182" i="18"/>
  <c r="X199" i="18"/>
  <c r="L229" i="18"/>
  <c r="N229" i="18" s="1"/>
  <c r="V244" i="18"/>
  <c r="V32" i="21"/>
  <c r="V48" i="21"/>
  <c r="L59" i="21"/>
  <c r="N59" i="21" s="1"/>
  <c r="V68" i="21"/>
  <c r="H47" i="27"/>
  <c r="V70" i="27"/>
  <c r="J72" i="27"/>
  <c r="J122" i="36"/>
  <c r="J110" i="36"/>
  <c r="J106" i="36"/>
  <c r="J94" i="36"/>
  <c r="J78" i="36"/>
  <c r="J68" i="36"/>
  <c r="J62" i="36"/>
  <c r="J54" i="36"/>
  <c r="J50" i="36"/>
  <c r="J46" i="36"/>
  <c r="J123" i="36"/>
  <c r="J95" i="36"/>
  <c r="J89" i="36"/>
  <c r="J79" i="36"/>
  <c r="J69" i="36"/>
  <c r="J63" i="36"/>
  <c r="J41" i="36"/>
  <c r="J37" i="36"/>
  <c r="J124" i="36"/>
  <c r="J116" i="36"/>
  <c r="J100" i="36"/>
  <c r="J96" i="36"/>
  <c r="J80" i="36"/>
  <c r="J70" i="36"/>
  <c r="J64" i="36"/>
  <c r="J28" i="36"/>
  <c r="J117" i="36"/>
  <c r="J111" i="36"/>
  <c r="J107" i="36"/>
  <c r="J101" i="36"/>
  <c r="J81" i="36"/>
  <c r="J71" i="36"/>
  <c r="J55" i="36"/>
  <c r="J51" i="36"/>
  <c r="J47" i="36"/>
  <c r="J127" i="36"/>
  <c r="J126" i="36"/>
  <c r="J118" i="36"/>
  <c r="J102" i="36"/>
  <c r="J90" i="36"/>
  <c r="J82" i="36"/>
  <c r="J72" i="36"/>
  <c r="J56" i="36"/>
  <c r="J42" i="36"/>
  <c r="J38" i="36"/>
  <c r="J128" i="36"/>
  <c r="J119" i="36"/>
  <c r="J103" i="36"/>
  <c r="J97" i="36"/>
  <c r="J83" i="36"/>
  <c r="J73" i="36"/>
  <c r="J65" i="36"/>
  <c r="J57" i="36"/>
  <c r="J29" i="36"/>
  <c r="J129" i="36"/>
  <c r="J120" i="36"/>
  <c r="J112" i="36"/>
  <c r="J108" i="36"/>
  <c r="J104" i="36"/>
  <c r="J84" i="36"/>
  <c r="J74" i="36"/>
  <c r="J58" i="36"/>
  <c r="J52" i="36"/>
  <c r="J48" i="36"/>
  <c r="J34" i="36"/>
  <c r="N12" i="36"/>
  <c r="J130" i="36"/>
  <c r="J91" i="36"/>
  <c r="J85" i="36"/>
  <c r="J75" i="36"/>
  <c r="J59" i="36"/>
  <c r="J43" i="36"/>
  <c r="J39" i="36"/>
  <c r="J35" i="36"/>
  <c r="J33" i="36"/>
  <c r="J31" i="36"/>
  <c r="J121" i="36"/>
  <c r="J114" i="36"/>
  <c r="J105" i="36"/>
  <c r="J93" i="36"/>
  <c r="J87" i="36"/>
  <c r="J60" i="36"/>
  <c r="H31" i="36"/>
  <c r="J99" i="36"/>
  <c r="J36" i="36"/>
  <c r="J134" i="36"/>
  <c r="J76" i="36"/>
  <c r="J115" i="36"/>
  <c r="J109" i="36"/>
  <c r="J44" i="36"/>
  <c r="J40" i="36"/>
  <c r="J26" i="36"/>
  <c r="J67" i="36"/>
  <c r="J61" i="36"/>
  <c r="J92" i="36"/>
  <c r="J88" i="36"/>
  <c r="J113" i="36"/>
  <c r="J98" i="36"/>
  <c r="J77" i="36"/>
  <c r="J45" i="36"/>
  <c r="J66" i="36"/>
  <c r="J49" i="36"/>
  <c r="F86" i="36"/>
  <c r="X126" i="36"/>
  <c r="N144" i="18"/>
  <c r="N184" i="18"/>
  <c r="Z201" i="18"/>
  <c r="L241" i="18"/>
  <c r="D238" i="18"/>
  <c r="L238" i="18" s="1"/>
  <c r="N238" i="18" s="1"/>
  <c r="Z31" i="21"/>
  <c r="T116" i="24"/>
  <c r="L100" i="30"/>
  <c r="N100" i="30" s="1"/>
  <c r="Z116" i="30"/>
  <c r="V157" i="18"/>
  <c r="V170" i="18"/>
  <c r="V194" i="18"/>
  <c r="Z199" i="18"/>
  <c r="V201" i="18"/>
  <c r="Z229" i="18"/>
  <c r="N235" i="18"/>
  <c r="L15" i="21"/>
  <c r="D12" i="21"/>
  <c r="V31" i="21"/>
  <c r="Z59" i="21"/>
  <c r="V87" i="21"/>
  <c r="V94" i="21"/>
  <c r="X13" i="24"/>
  <c r="Z13" i="24" s="1"/>
  <c r="P12" i="24"/>
  <c r="N102" i="24"/>
  <c r="N104" i="24"/>
  <c r="L104" i="24"/>
  <c r="J104" i="24"/>
  <c r="V113" i="24"/>
  <c r="J53" i="27"/>
  <c r="J100" i="30"/>
  <c r="Z126" i="36"/>
  <c r="P12" i="18"/>
  <c r="L96" i="18"/>
  <c r="N96" i="18" s="1"/>
  <c r="V106" i="18"/>
  <c r="V122" i="18"/>
  <c r="V138" i="18"/>
  <c r="V161" i="18"/>
  <c r="V214" i="18"/>
  <c r="V229" i="18"/>
  <c r="Z57" i="21"/>
  <c r="V59" i="21"/>
  <c r="V70" i="21"/>
  <c r="N74" i="21"/>
  <c r="V92" i="21"/>
  <c r="V96" i="21"/>
  <c r="V98" i="21"/>
  <c r="J32" i="27"/>
  <c r="V42" i="27"/>
  <c r="J91" i="27"/>
  <c r="X82" i="30"/>
  <c r="Z82" i="30" s="1"/>
  <c r="V126" i="36"/>
  <c r="V165" i="18"/>
  <c r="L181" i="18"/>
  <c r="N181" i="18" s="1"/>
  <c r="V212" i="18"/>
  <c r="V249" i="18"/>
  <c r="V72" i="21"/>
  <c r="X80" i="21"/>
  <c r="Z80" i="21" s="1"/>
  <c r="V100" i="21"/>
  <c r="L62" i="24"/>
  <c r="X104" i="24"/>
  <c r="Z104" i="24" s="1"/>
  <c r="J71" i="27"/>
  <c r="Z76" i="27"/>
  <c r="X76" i="27"/>
  <c r="J81" i="27"/>
  <c r="X94" i="30"/>
  <c r="Z94" i="30" s="1"/>
  <c r="V94" i="30"/>
  <c r="V37" i="33"/>
  <c r="X88" i="33"/>
  <c r="P87" i="33"/>
  <c r="X87" i="33" s="1"/>
  <c r="Z87" i="33" s="1"/>
  <c r="X87" i="24"/>
  <c r="Z87" i="24" s="1"/>
  <c r="L102" i="24"/>
  <c r="X49" i="27"/>
  <c r="Z49" i="27" s="1"/>
  <c r="L76" i="27"/>
  <c r="N76" i="27" s="1"/>
  <c r="N98" i="27"/>
  <c r="L86" i="30"/>
  <c r="N86" i="30" s="1"/>
  <c r="X116" i="30"/>
  <c r="P12" i="33"/>
  <c r="F69" i="33"/>
  <c r="F126" i="39"/>
  <c r="F118" i="39"/>
  <c r="F114" i="39"/>
  <c r="F110" i="39"/>
  <c r="F98" i="39"/>
  <c r="F82" i="39"/>
  <c r="F66" i="39"/>
  <c r="F65" i="39"/>
  <c r="F58" i="39"/>
  <c r="F54" i="39"/>
  <c r="D36" i="39"/>
  <c r="F139" i="39"/>
  <c r="F93" i="39"/>
  <c r="F73" i="39"/>
  <c r="F72" i="39"/>
  <c r="F49" i="39"/>
  <c r="F45" i="39"/>
  <c r="F41" i="39"/>
  <c r="F120" i="39"/>
  <c r="F119" i="39"/>
  <c r="F104" i="39"/>
  <c r="F100" i="39"/>
  <c r="F99" i="39"/>
  <c r="F84" i="39"/>
  <c r="F83" i="39"/>
  <c r="F68" i="39"/>
  <c r="F67" i="39"/>
  <c r="F127" i="39"/>
  <c r="F115" i="39"/>
  <c r="F111" i="39"/>
  <c r="F75" i="39"/>
  <c r="F74" i="39"/>
  <c r="F59" i="39"/>
  <c r="F55" i="39"/>
  <c r="F51" i="39"/>
  <c r="F50" i="39"/>
  <c r="F94" i="39"/>
  <c r="F86" i="39"/>
  <c r="F85" i="39"/>
  <c r="F46" i="39"/>
  <c r="F42" i="39"/>
  <c r="F129" i="39"/>
  <c r="F128" i="39"/>
  <c r="F121" i="39"/>
  <c r="F105" i="39"/>
  <c r="F101" i="39"/>
  <c r="F77" i="39"/>
  <c r="F76" i="39"/>
  <c r="F69" i="39"/>
  <c r="F33" i="39"/>
  <c r="F116" i="39"/>
  <c r="F112" i="39"/>
  <c r="F88" i="39"/>
  <c r="F87" i="39"/>
  <c r="F60" i="39"/>
  <c r="F56" i="39"/>
  <c r="F52" i="39"/>
  <c r="F122" i="39"/>
  <c r="F92" i="39"/>
  <c r="F53" i="39"/>
  <c r="F135" i="39"/>
  <c r="F96" i="39"/>
  <c r="F90" i="39"/>
  <c r="F70" i="39"/>
  <c r="F78" i="39"/>
  <c r="F133" i="39"/>
  <c r="F125" i="39"/>
  <c r="F63" i="39"/>
  <c r="F47" i="39"/>
  <c r="F38" i="39"/>
  <c r="F31" i="39"/>
  <c r="F123" i="39"/>
  <c r="F103" i="39"/>
  <c r="F81" i="39"/>
  <c r="F43" i="39"/>
  <c r="F108" i="39"/>
  <c r="F61" i="39"/>
  <c r="F39" i="39"/>
  <c r="F34" i="39"/>
  <c r="F97" i="39"/>
  <c r="F79" i="39"/>
  <c r="F32" i="39"/>
  <c r="F106" i="39"/>
  <c r="F95" i="39"/>
  <c r="F91" i="39"/>
  <c r="F64" i="39"/>
  <c r="F134" i="39"/>
  <c r="F124" i="39"/>
  <c r="F113" i="39"/>
  <c r="F57" i="39"/>
  <c r="F48" i="39"/>
  <c r="F117" i="39"/>
  <c r="F40" i="39"/>
  <c r="F89" i="39"/>
  <c r="F71" i="39"/>
  <c r="F132" i="39"/>
  <c r="F62" i="39"/>
  <c r="L12" i="39"/>
  <c r="N68" i="42"/>
  <c r="L68" i="42"/>
  <c r="J68" i="42"/>
  <c r="X240" i="18"/>
  <c r="P12" i="21"/>
  <c r="J45" i="21"/>
  <c r="J49" i="21"/>
  <c r="J55" i="21"/>
  <c r="J65" i="21"/>
  <c r="J77" i="21"/>
  <c r="J93" i="21"/>
  <c r="J97" i="21"/>
  <c r="V59" i="24"/>
  <c r="V79" i="24"/>
  <c r="Z93" i="24"/>
  <c r="N95" i="24"/>
  <c r="V98" i="24"/>
  <c r="Z82" i="27"/>
  <c r="X82" i="27"/>
  <c r="L91" i="27"/>
  <c r="N91" i="27" s="1"/>
  <c r="Z56" i="30"/>
  <c r="Z77" i="30"/>
  <c r="N79" i="30"/>
  <c r="Z92" i="30"/>
  <c r="L98" i="30"/>
  <c r="N98" i="30" s="1"/>
  <c r="L113" i="30"/>
  <c r="N113" i="30" s="1"/>
  <c r="X13" i="33"/>
  <c r="Z13" i="33" s="1"/>
  <c r="L59" i="33"/>
  <c r="N59" i="33" s="1"/>
  <c r="Z63" i="33"/>
  <c r="Z65" i="33"/>
  <c r="X95" i="36"/>
  <c r="Z95" i="36" s="1"/>
  <c r="J139" i="39"/>
  <c r="J119" i="39"/>
  <c r="J99" i="39"/>
  <c r="J93" i="39"/>
  <c r="J83" i="39"/>
  <c r="J73" i="39"/>
  <c r="J67" i="39"/>
  <c r="J49" i="39"/>
  <c r="J45" i="39"/>
  <c r="J41" i="39"/>
  <c r="J31" i="39"/>
  <c r="J120" i="39"/>
  <c r="J104" i="39"/>
  <c r="J100" i="39"/>
  <c r="J84" i="39"/>
  <c r="J74" i="39"/>
  <c r="J68" i="39"/>
  <c r="J50" i="39"/>
  <c r="J32" i="39"/>
  <c r="J127" i="39"/>
  <c r="J115" i="39"/>
  <c r="J111" i="39"/>
  <c r="J85" i="39"/>
  <c r="J75" i="39"/>
  <c r="J128" i="39"/>
  <c r="J94" i="39"/>
  <c r="J86" i="39"/>
  <c r="J76" i="39"/>
  <c r="J46" i="39"/>
  <c r="J42" i="39"/>
  <c r="J129" i="39"/>
  <c r="J121" i="39"/>
  <c r="J105" i="39"/>
  <c r="J101" i="39"/>
  <c r="J87" i="39"/>
  <c r="J77" i="39"/>
  <c r="J69" i="39"/>
  <c r="J33" i="39"/>
  <c r="J122" i="39"/>
  <c r="J116" i="39"/>
  <c r="J112" i="39"/>
  <c r="J106" i="39"/>
  <c r="J88" i="39"/>
  <c r="J78" i="39"/>
  <c r="J60" i="39"/>
  <c r="J56" i="39"/>
  <c r="J52" i="39"/>
  <c r="J132" i="39"/>
  <c r="J131" i="39"/>
  <c r="J123" i="39"/>
  <c r="J107" i="39"/>
  <c r="J95" i="39"/>
  <c r="J89" i="39"/>
  <c r="J79" i="39"/>
  <c r="J61" i="39"/>
  <c r="J47" i="39"/>
  <c r="J43" i="39"/>
  <c r="J135" i="39"/>
  <c r="J98" i="39"/>
  <c r="J90" i="39"/>
  <c r="J70" i="39"/>
  <c r="J63" i="39"/>
  <c r="J51" i="39"/>
  <c r="J38" i="39"/>
  <c r="J133" i="39"/>
  <c r="J125" i="39"/>
  <c r="J108" i="39"/>
  <c r="J103" i="39"/>
  <c r="J81" i="39"/>
  <c r="J58" i="39"/>
  <c r="J39" i="39"/>
  <c r="J118" i="39"/>
  <c r="J114" i="39"/>
  <c r="J110" i="39"/>
  <c r="J66" i="39"/>
  <c r="J34" i="39"/>
  <c r="J97" i="39"/>
  <c r="J91" i="39"/>
  <c r="J54" i="39"/>
  <c r="J137" i="39"/>
  <c r="J64" i="39"/>
  <c r="J71" i="39"/>
  <c r="N12" i="39"/>
  <c r="J113" i="39"/>
  <c r="J57" i="39"/>
  <c r="J55" i="39"/>
  <c r="J48" i="39"/>
  <c r="J65" i="39"/>
  <c r="J126" i="39"/>
  <c r="J117" i="39"/>
  <c r="J92" i="39"/>
  <c r="J59" i="39"/>
  <c r="J40" i="39"/>
  <c r="J62" i="39"/>
  <c r="J96" i="39"/>
  <c r="J80" i="39"/>
  <c r="J72" i="39"/>
  <c r="F80" i="39"/>
  <c r="F88" i="33"/>
  <c r="F90" i="33"/>
  <c r="F91" i="33"/>
  <c r="F92" i="33"/>
  <c r="F82" i="33"/>
  <c r="F62" i="33"/>
  <c r="F61" i="33"/>
  <c r="F46" i="33"/>
  <c r="F42" i="33"/>
  <c r="F81" i="33"/>
  <c r="F73" i="33"/>
  <c r="F72" i="33"/>
  <c r="F33" i="33"/>
  <c r="F85" i="33"/>
  <c r="F64" i="33"/>
  <c r="F63" i="33"/>
  <c r="F56" i="33"/>
  <c r="F52" i="33"/>
  <c r="F96" i="33"/>
  <c r="F75" i="33"/>
  <c r="F74" i="33"/>
  <c r="F47" i="33"/>
  <c r="F43" i="33"/>
  <c r="F39" i="33"/>
  <c r="F38" i="33"/>
  <c r="F89" i="33"/>
  <c r="F66" i="33"/>
  <c r="F65" i="33"/>
  <c r="F37" i="33"/>
  <c r="F35" i="33"/>
  <c r="F30" i="33"/>
  <c r="F29" i="33"/>
  <c r="F77" i="33"/>
  <c r="F76" i="33"/>
  <c r="F57" i="33"/>
  <c r="F53" i="33"/>
  <c r="F49" i="33"/>
  <c r="F48" i="33"/>
  <c r="D35" i="33"/>
  <c r="F68" i="33"/>
  <c r="F67" i="33"/>
  <c r="F44" i="33"/>
  <c r="F40" i="33"/>
  <c r="F83" i="33"/>
  <c r="F31" i="33"/>
  <c r="Z38" i="33"/>
  <c r="F54" i="33"/>
  <c r="Z74" i="33"/>
  <c r="F80" i="33"/>
  <c r="F84" i="33"/>
  <c r="J25" i="21"/>
  <c r="J61" i="21"/>
  <c r="J73" i="21"/>
  <c r="J85" i="21"/>
  <c r="J89" i="21"/>
  <c r="V43" i="24"/>
  <c r="N61" i="24"/>
  <c r="V76" i="24"/>
  <c r="V86" i="24"/>
  <c r="L80" i="27"/>
  <c r="X91" i="27"/>
  <c r="Z55" i="30"/>
  <c r="Z122" i="30"/>
  <c r="L125" i="30"/>
  <c r="N125" i="30" s="1"/>
  <c r="J88" i="33"/>
  <c r="J87" i="33"/>
  <c r="J89" i="33"/>
  <c r="J91" i="33"/>
  <c r="J92" i="33"/>
  <c r="J83" i="33"/>
  <c r="J96" i="33"/>
  <c r="J84" i="33"/>
  <c r="J81" i="33"/>
  <c r="J73" i="33"/>
  <c r="J63" i="33"/>
  <c r="J33" i="33"/>
  <c r="J85" i="33"/>
  <c r="J74" i="33"/>
  <c r="J64" i="33"/>
  <c r="J56" i="33"/>
  <c r="J52" i="33"/>
  <c r="J38" i="33"/>
  <c r="J75" i="33"/>
  <c r="J65" i="33"/>
  <c r="J47" i="33"/>
  <c r="J43" i="33"/>
  <c r="J39" i="33"/>
  <c r="J37" i="33"/>
  <c r="J35" i="33"/>
  <c r="J29" i="33"/>
  <c r="J76" i="33"/>
  <c r="J66" i="33"/>
  <c r="J48" i="33"/>
  <c r="H35" i="33"/>
  <c r="J30" i="33"/>
  <c r="J82" i="33"/>
  <c r="J77" i="33"/>
  <c r="J67" i="33"/>
  <c r="J57" i="33"/>
  <c r="J53" i="33"/>
  <c r="J49" i="33"/>
  <c r="J68" i="33"/>
  <c r="J44" i="33"/>
  <c r="J40" i="33"/>
  <c r="J69" i="33"/>
  <c r="J31" i="33"/>
  <c r="J90" i="33"/>
  <c r="J78" i="33"/>
  <c r="J70" i="33"/>
  <c r="J58" i="33"/>
  <c r="J54" i="33"/>
  <c r="J50" i="33"/>
  <c r="N37" i="33"/>
  <c r="J80" i="33"/>
  <c r="N70" i="36"/>
  <c r="J102" i="39"/>
  <c r="F109" i="39"/>
  <c r="J24" i="21"/>
  <c r="J34" i="21"/>
  <c r="J38" i="21"/>
  <c r="J72" i="21"/>
  <c r="J84" i="21"/>
  <c r="J102" i="21"/>
  <c r="Z83" i="24"/>
  <c r="Z91" i="27"/>
  <c r="Z103" i="27"/>
  <c r="L33" i="30"/>
  <c r="N33" i="30" s="1"/>
  <c r="L12" i="33"/>
  <c r="N12" i="33" s="1"/>
  <c r="X29" i="33"/>
  <c r="X37" i="33"/>
  <c r="Z37" i="33" s="1"/>
  <c r="F41" i="33"/>
  <c r="F45" i="33"/>
  <c r="Z48" i="33"/>
  <c r="F58" i="33"/>
  <c r="Z59" i="33"/>
  <c r="Z76" i="33"/>
  <c r="L33" i="36"/>
  <c r="J109" i="39"/>
  <c r="D98" i="45"/>
  <c r="L23" i="45"/>
  <c r="J43" i="21"/>
  <c r="J47" i="21"/>
  <c r="J51" i="21"/>
  <c r="J71" i="21"/>
  <c r="J83" i="21"/>
  <c r="J95" i="21"/>
  <c r="J101" i="21"/>
  <c r="V99" i="24"/>
  <c r="V91" i="24"/>
  <c r="V71" i="24"/>
  <c r="V67" i="24"/>
  <c r="V63" i="24"/>
  <c r="V102" i="24"/>
  <c r="V90" i="24"/>
  <c r="V54" i="24"/>
  <c r="V50" i="24"/>
  <c r="V46" i="24"/>
  <c r="V101" i="24"/>
  <c r="V93" i="24"/>
  <c r="V81" i="24"/>
  <c r="V77" i="24"/>
  <c r="V73" i="24"/>
  <c r="V94" i="24"/>
  <c r="V82" i="24"/>
  <c r="V78" i="24"/>
  <c r="V74" i="24"/>
  <c r="V109" i="24"/>
  <c r="V107" i="24"/>
  <c r="V105" i="24"/>
  <c r="V97" i="24"/>
  <c r="V85" i="24"/>
  <c r="V69" i="24"/>
  <c r="V65" i="24"/>
  <c r="V96" i="24"/>
  <c r="V84" i="24"/>
  <c r="V56" i="24"/>
  <c r="V52" i="24"/>
  <c r="V48" i="24"/>
  <c r="V44" i="24"/>
  <c r="V45" i="24"/>
  <c r="V57" i="24"/>
  <c r="Z62" i="24"/>
  <c r="V80" i="24"/>
  <c r="V83" i="24"/>
  <c r="N80" i="27"/>
  <c r="F36" i="39"/>
  <c r="F107" i="39"/>
  <c r="X178" i="18"/>
  <c r="Z178" i="18" s="1"/>
  <c r="X186" i="18"/>
  <c r="Z186" i="18" s="1"/>
  <c r="X210" i="18"/>
  <c r="Z210" i="18" s="1"/>
  <c r="X226" i="18"/>
  <c r="Z226" i="18" s="1"/>
  <c r="J37" i="21"/>
  <c r="J41" i="21"/>
  <c r="L42" i="21"/>
  <c r="J59" i="21"/>
  <c r="X64" i="21"/>
  <c r="Z64" i="21" s="1"/>
  <c r="J69" i="21"/>
  <c r="L70" i="21"/>
  <c r="N70" i="21" s="1"/>
  <c r="X76" i="21"/>
  <c r="J81" i="21"/>
  <c r="L82" i="21"/>
  <c r="N82" i="21" s="1"/>
  <c r="X92" i="21"/>
  <c r="Z92" i="21" s="1"/>
  <c r="J99" i="21"/>
  <c r="X62" i="24"/>
  <c r="V66" i="24"/>
  <c r="V68" i="24"/>
  <c r="V75" i="24"/>
  <c r="N93" i="24"/>
  <c r="V104" i="24"/>
  <c r="Z86" i="27"/>
  <c r="P12" i="30"/>
  <c r="X13" i="30"/>
  <c r="Z13" i="30" s="1"/>
  <c r="X66" i="30"/>
  <c r="Z66" i="30" s="1"/>
  <c r="Z109" i="30"/>
  <c r="F51" i="33"/>
  <c r="J36" i="39"/>
  <c r="L132" i="39"/>
  <c r="N132" i="39" s="1"/>
  <c r="D131" i="39"/>
  <c r="L131" i="39" s="1"/>
  <c r="J32" i="21"/>
  <c r="J46" i="21"/>
  <c r="J50" i="21"/>
  <c r="J58" i="21"/>
  <c r="J68" i="21"/>
  <c r="J80" i="21"/>
  <c r="J94" i="21"/>
  <c r="J98" i="21"/>
  <c r="V61" i="24"/>
  <c r="V111" i="24"/>
  <c r="V116" i="24"/>
  <c r="N77" i="30"/>
  <c r="F79" i="33"/>
  <c r="J124" i="39"/>
  <c r="J27" i="21"/>
  <c r="J57" i="21"/>
  <c r="J67" i="21"/>
  <c r="J79" i="21"/>
  <c r="V49" i="24"/>
  <c r="V70" i="24"/>
  <c r="N87" i="24"/>
  <c r="X93" i="24"/>
  <c r="V103" i="24"/>
  <c r="P12" i="27"/>
  <c r="N49" i="27"/>
  <c r="Z50" i="27"/>
  <c r="X74" i="27"/>
  <c r="Z74" i="27" s="1"/>
  <c r="L82" i="27"/>
  <c r="Z33" i="30"/>
  <c r="T137" i="30"/>
  <c r="J77" i="30"/>
  <c r="F32" i="33"/>
  <c r="F55" i="33"/>
  <c r="J72" i="33"/>
  <c r="N79" i="33"/>
  <c r="X101" i="36"/>
  <c r="Z101" i="36" s="1"/>
  <c r="X117" i="36"/>
  <c r="Z117" i="36" s="1"/>
  <c r="J64" i="24"/>
  <c r="J68" i="24"/>
  <c r="J92" i="24"/>
  <c r="J102" i="24"/>
  <c r="V56" i="30"/>
  <c r="V60" i="30"/>
  <c r="V64" i="30"/>
  <c r="J68" i="30"/>
  <c r="J72" i="30"/>
  <c r="J76" i="30"/>
  <c r="V80" i="30"/>
  <c r="J86" i="30"/>
  <c r="V92" i="30"/>
  <c r="J98" i="30"/>
  <c r="V108" i="30"/>
  <c r="J112" i="30"/>
  <c r="V116" i="30"/>
  <c r="V120" i="30"/>
  <c r="J124" i="30"/>
  <c r="V128" i="30"/>
  <c r="V38" i="33"/>
  <c r="V42" i="33"/>
  <c r="V46" i="33"/>
  <c r="V62" i="33"/>
  <c r="V74" i="33"/>
  <c r="X70" i="36"/>
  <c r="X79" i="36"/>
  <c r="N92" i="36"/>
  <c r="Z123" i="36"/>
  <c r="J73" i="24"/>
  <c r="J77" i="24"/>
  <c r="J81" i="24"/>
  <c r="J91" i="24"/>
  <c r="J101" i="24"/>
  <c r="J37" i="30"/>
  <c r="J41" i="30"/>
  <c r="J45" i="30"/>
  <c r="J49" i="30"/>
  <c r="V69" i="30"/>
  <c r="V73" i="30"/>
  <c r="J85" i="30"/>
  <c r="V89" i="30"/>
  <c r="J97" i="30"/>
  <c r="V101" i="30"/>
  <c r="V109" i="30"/>
  <c r="V129" i="30"/>
  <c r="V51" i="33"/>
  <c r="V55" i="33"/>
  <c r="V63" i="33"/>
  <c r="V71" i="33"/>
  <c r="V91" i="33"/>
  <c r="L76" i="36"/>
  <c r="L129" i="36"/>
  <c r="D126" i="36"/>
  <c r="L126" i="36" s="1"/>
  <c r="N126" i="36" s="1"/>
  <c r="X31" i="39"/>
  <c r="J33" i="42"/>
  <c r="Z111" i="42"/>
  <c r="J46" i="24"/>
  <c r="J50" i="24"/>
  <c r="J54" i="24"/>
  <c r="H59" i="24"/>
  <c r="J72" i="24"/>
  <c r="J90" i="24"/>
  <c r="J100" i="24"/>
  <c r="D103" i="27"/>
  <c r="L103" i="27" s="1"/>
  <c r="N103" i="27" s="1"/>
  <c r="V34" i="30"/>
  <c r="V38" i="30"/>
  <c r="V42" i="30"/>
  <c r="V46" i="30"/>
  <c r="V50" i="30"/>
  <c r="J58" i="30"/>
  <c r="J62" i="30"/>
  <c r="V78" i="30"/>
  <c r="J84" i="30"/>
  <c r="V90" i="30"/>
  <c r="J96" i="30"/>
  <c r="V102" i="30"/>
  <c r="J106" i="30"/>
  <c r="V114" i="30"/>
  <c r="J118" i="30"/>
  <c r="V126" i="30"/>
  <c r="J135" i="30"/>
  <c r="V83" i="33"/>
  <c r="V96" i="33"/>
  <c r="V87" i="33"/>
  <c r="V85" i="33"/>
  <c r="V88" i="33"/>
  <c r="V32" i="33"/>
  <c r="V60" i="33"/>
  <c r="V72" i="33"/>
  <c r="V80" i="33"/>
  <c r="V84" i="33"/>
  <c r="Z70" i="36"/>
  <c r="Z79" i="36"/>
  <c r="L85" i="36"/>
  <c r="P12" i="42"/>
  <c r="X17" i="42"/>
  <c r="V59" i="30"/>
  <c r="V63" i="30"/>
  <c r="J67" i="30"/>
  <c r="J71" i="30"/>
  <c r="J75" i="30"/>
  <c r="V79" i="30"/>
  <c r="J83" i="30"/>
  <c r="V87" i="30"/>
  <c r="J95" i="30"/>
  <c r="V99" i="30"/>
  <c r="J105" i="30"/>
  <c r="V107" i="30"/>
  <c r="J111" i="30"/>
  <c r="V119" i="30"/>
  <c r="J123" i="30"/>
  <c r="V127" i="30"/>
  <c r="J134" i="30"/>
  <c r="V139" i="30"/>
  <c r="V41" i="33"/>
  <c r="V45" i="33"/>
  <c r="V61" i="33"/>
  <c r="N76" i="36"/>
  <c r="T36" i="39"/>
  <c r="Z31" i="39"/>
  <c r="L50" i="39"/>
  <c r="N50" i="39" s="1"/>
  <c r="F100" i="45"/>
  <c r="F89" i="45"/>
  <c r="F88" i="45"/>
  <c r="F93" i="45"/>
  <c r="F92" i="45"/>
  <c r="F85" i="45"/>
  <c r="F96" i="45"/>
  <c r="F86" i="45"/>
  <c r="F81" i="45"/>
  <c r="F78" i="45"/>
  <c r="F33" i="45"/>
  <c r="F29" i="45"/>
  <c r="F68" i="45"/>
  <c r="F67" i="45"/>
  <c r="F56" i="45"/>
  <c r="F55" i="45"/>
  <c r="F20" i="45"/>
  <c r="F84" i="45"/>
  <c r="F79" i="45"/>
  <c r="F47" i="45"/>
  <c r="F43" i="45"/>
  <c r="F39" i="45"/>
  <c r="F60" i="45"/>
  <c r="F59" i="45"/>
  <c r="F44" i="45"/>
  <c r="F40" i="45"/>
  <c r="F94" i="45"/>
  <c r="F80" i="45"/>
  <c r="F62" i="45"/>
  <c r="F61" i="45"/>
  <c r="F25" i="45"/>
  <c r="F23" i="45"/>
  <c r="F77" i="45"/>
  <c r="F19" i="45"/>
  <c r="F18" i="45"/>
  <c r="F74" i="45"/>
  <c r="F73" i="45"/>
  <c r="F66" i="45"/>
  <c r="F65" i="45"/>
  <c r="F54" i="45"/>
  <c r="F53" i="45"/>
  <c r="F63" i="45"/>
  <c r="F32" i="45"/>
  <c r="F35" i="45"/>
  <c r="F75" i="45"/>
  <c r="F51" i="45"/>
  <c r="F48" i="45"/>
  <c r="F30" i="45"/>
  <c r="F83" i="45"/>
  <c r="F71" i="45"/>
  <c r="F42" i="45"/>
  <c r="F38" i="45"/>
  <c r="F28" i="45"/>
  <c r="F69" i="45"/>
  <c r="F46" i="45"/>
  <c r="F64" i="45"/>
  <c r="F21" i="45"/>
  <c r="L12" i="45"/>
  <c r="N12" i="45" s="1"/>
  <c r="F91" i="45"/>
  <c r="F87" i="45"/>
  <c r="F57" i="45"/>
  <c r="F31" i="45"/>
  <c r="F26" i="45"/>
  <c r="F58" i="45"/>
  <c r="F52" i="45"/>
  <c r="F37" i="45"/>
  <c r="F50" i="45"/>
  <c r="F27" i="45"/>
  <c r="F72" i="45"/>
  <c r="F41" i="45"/>
  <c r="F76" i="45"/>
  <c r="F90" i="45"/>
  <c r="F36" i="45"/>
  <c r="F34" i="45"/>
  <c r="N23" i="45"/>
  <c r="V68" i="30"/>
  <c r="V72" i="30"/>
  <c r="V76" i="30"/>
  <c r="V88" i="30"/>
  <c r="V100" i="30"/>
  <c r="V112" i="30"/>
  <c r="V124" i="30"/>
  <c r="N85" i="36"/>
  <c r="Z55" i="42"/>
  <c r="J45" i="24"/>
  <c r="J49" i="24"/>
  <c r="J53" i="24"/>
  <c r="J57" i="24"/>
  <c r="J87" i="24"/>
  <c r="J111" i="24"/>
  <c r="X98" i="27"/>
  <c r="Z98" i="27" s="1"/>
  <c r="V33" i="30"/>
  <c r="V37" i="30"/>
  <c r="V41" i="30"/>
  <c r="V45" i="30"/>
  <c r="V49" i="30"/>
  <c r="J55" i="30"/>
  <c r="V77" i="30"/>
  <c r="V85" i="30"/>
  <c r="J93" i="30"/>
  <c r="V97" i="30"/>
  <c r="V113" i="30"/>
  <c r="J117" i="30"/>
  <c r="J121" i="30"/>
  <c r="V125" i="30"/>
  <c r="V59" i="33"/>
  <c r="V79" i="33"/>
  <c r="P12" i="36"/>
  <c r="V81" i="36"/>
  <c r="N87" i="36"/>
  <c r="X85" i="39"/>
  <c r="Z85" i="39" s="1"/>
  <c r="F49" i="45"/>
  <c r="J66" i="24"/>
  <c r="J70" i="24"/>
  <c r="J86" i="24"/>
  <c r="J98" i="24"/>
  <c r="J56" i="30"/>
  <c r="V58" i="30"/>
  <c r="V62" i="30"/>
  <c r="J70" i="30"/>
  <c r="J74" i="30"/>
  <c r="X77" i="30"/>
  <c r="V86" i="30"/>
  <c r="J92" i="30"/>
  <c r="V98" i="30"/>
  <c r="V106" i="30"/>
  <c r="J110" i="30"/>
  <c r="J116" i="30"/>
  <c r="V118" i="30"/>
  <c r="X125" i="30"/>
  <c r="Z125" i="30" s="1"/>
  <c r="J130" i="30"/>
  <c r="V40" i="33"/>
  <c r="V44" i="33"/>
  <c r="X59" i="33"/>
  <c r="V68" i="33"/>
  <c r="X79" i="33"/>
  <c r="Z79" i="33" s="1"/>
  <c r="X13" i="36"/>
  <c r="Z13" i="36" s="1"/>
  <c r="N34" i="36"/>
  <c r="Z76" i="36"/>
  <c r="X81" i="36"/>
  <c r="Z81" i="36" s="1"/>
  <c r="P12" i="39"/>
  <c r="X83" i="39"/>
  <c r="Z83" i="39" s="1"/>
  <c r="L124" i="39"/>
  <c r="N124" i="39" s="1"/>
  <c r="F45" i="45"/>
  <c r="J75" i="24"/>
  <c r="J79" i="24"/>
  <c r="J85" i="24"/>
  <c r="J97" i="24"/>
  <c r="J107" i="24"/>
  <c r="J35" i="30"/>
  <c r="J39" i="30"/>
  <c r="J43" i="30"/>
  <c r="J47" i="30"/>
  <c r="J51" i="30"/>
  <c r="V67" i="30"/>
  <c r="V71" i="30"/>
  <c r="V75" i="30"/>
  <c r="V83" i="30"/>
  <c r="J91" i="30"/>
  <c r="V95" i="30"/>
  <c r="J103" i="30"/>
  <c r="J109" i="30"/>
  <c r="V111" i="30"/>
  <c r="J115" i="30"/>
  <c r="V123" i="30"/>
  <c r="V135" i="30"/>
  <c r="V77" i="33"/>
  <c r="V82" i="33"/>
  <c r="T132" i="36"/>
  <c r="Z63" i="36"/>
  <c r="L87" i="36"/>
  <c r="V85" i="39"/>
  <c r="H102" i="45"/>
  <c r="J102" i="45" s="1"/>
  <c r="H95" i="51"/>
  <c r="J95" i="51" s="1"/>
  <c r="V27" i="36"/>
  <c r="V63" i="36"/>
  <c r="V67" i="36"/>
  <c r="V79" i="36"/>
  <c r="V95" i="36"/>
  <c r="V99" i="36"/>
  <c r="V115" i="36"/>
  <c r="V123" i="36"/>
  <c r="N89" i="39"/>
  <c r="D12" i="42"/>
  <c r="N32" i="42"/>
  <c r="Z44" i="42"/>
  <c r="N57" i="42"/>
  <c r="V94" i="42"/>
  <c r="V105" i="42"/>
  <c r="N14" i="54"/>
  <c r="H16" i="54"/>
  <c r="V36" i="36"/>
  <c r="V40" i="36"/>
  <c r="V44" i="36"/>
  <c r="V60" i="36"/>
  <c r="V68" i="36"/>
  <c r="V88" i="36"/>
  <c r="V134" i="36"/>
  <c r="X50" i="39"/>
  <c r="L61" i="39"/>
  <c r="V87" i="39"/>
  <c r="N91" i="39"/>
  <c r="N106" i="39"/>
  <c r="L108" i="39"/>
  <c r="N108" i="39" s="1"/>
  <c r="L14" i="42"/>
  <c r="J32" i="42"/>
  <c r="V50" i="42"/>
  <c r="V55" i="42"/>
  <c r="Z70" i="42"/>
  <c r="X111" i="42"/>
  <c r="N49" i="48"/>
  <c r="L49" i="48"/>
  <c r="J49" i="48"/>
  <c r="V45" i="36"/>
  <c r="V49" i="36"/>
  <c r="V53" i="36"/>
  <c r="V61" i="36"/>
  <c r="V77" i="36"/>
  <c r="V93" i="36"/>
  <c r="V105" i="36"/>
  <c r="V109" i="36"/>
  <c r="V113" i="36"/>
  <c r="V121" i="36"/>
  <c r="X67" i="39"/>
  <c r="X74" i="39"/>
  <c r="Z74" i="39" s="1"/>
  <c r="X87" i="39"/>
  <c r="X119" i="39"/>
  <c r="Z119" i="39" s="1"/>
  <c r="V26" i="42"/>
  <c r="X55" i="42"/>
  <c r="V70" i="42"/>
  <c r="P12" i="45"/>
  <c r="X13" i="45"/>
  <c r="X18" i="45"/>
  <c r="Z18" i="45" s="1"/>
  <c r="N43" i="48"/>
  <c r="L43" i="48"/>
  <c r="V26" i="36"/>
  <c r="V66" i="36"/>
  <c r="V86" i="36"/>
  <c r="V98" i="36"/>
  <c r="V114" i="36"/>
  <c r="Z50" i="39"/>
  <c r="N61" i="39"/>
  <c r="N61" i="42"/>
  <c r="J61" i="42"/>
  <c r="N63" i="45"/>
  <c r="X73" i="45"/>
  <c r="L24" i="51"/>
  <c r="D12" i="51"/>
  <c r="V35" i="36"/>
  <c r="V39" i="36"/>
  <c r="V43" i="36"/>
  <c r="V59" i="36"/>
  <c r="V75" i="36"/>
  <c r="V87" i="36"/>
  <c r="V91" i="36"/>
  <c r="Z67" i="39"/>
  <c r="V121" i="42"/>
  <c r="V89" i="42"/>
  <c r="V77" i="42"/>
  <c r="V65" i="42"/>
  <c r="V61" i="42"/>
  <c r="V122" i="42"/>
  <c r="V112" i="42"/>
  <c r="V104" i="42"/>
  <c r="V100" i="42"/>
  <c r="V96" i="42"/>
  <c r="V84" i="42"/>
  <c r="V76" i="42"/>
  <c r="V68" i="42"/>
  <c r="V60" i="42"/>
  <c r="V126" i="42"/>
  <c r="V80" i="42"/>
  <c r="V114" i="42"/>
  <c r="V102" i="42"/>
  <c r="V98" i="42"/>
  <c r="V86" i="42"/>
  <c r="V119" i="42"/>
  <c r="V111" i="42"/>
  <c r="V103" i="42"/>
  <c r="V99" i="42"/>
  <c r="V95" i="42"/>
  <c r="V75" i="42"/>
  <c r="V59" i="42"/>
  <c r="V120" i="42"/>
  <c r="V74" i="42"/>
  <c r="V71" i="42"/>
  <c r="V41" i="42"/>
  <c r="V37" i="42"/>
  <c r="V33" i="42"/>
  <c r="V92" i="42"/>
  <c r="V90" i="42"/>
  <c r="V78" i="42"/>
  <c r="V67" i="42"/>
  <c r="V32" i="42"/>
  <c r="V28" i="42"/>
  <c r="V83" i="42"/>
  <c r="V56" i="42"/>
  <c r="V51" i="42"/>
  <c r="V47" i="42"/>
  <c r="T30" i="42"/>
  <c r="V109" i="42"/>
  <c r="V79" i="42"/>
  <c r="V64" i="42"/>
  <c r="V57" i="42"/>
  <c r="V42" i="42"/>
  <c r="V38" i="42"/>
  <c r="V34" i="42"/>
  <c r="V118" i="42"/>
  <c r="V115" i="42"/>
  <c r="V25" i="42"/>
  <c r="V107" i="42"/>
  <c r="V93" i="42"/>
  <c r="V87" i="42"/>
  <c r="V81" i="42"/>
  <c r="V72" i="42"/>
  <c r="V62" i="42"/>
  <c r="V52" i="42"/>
  <c r="V48" i="42"/>
  <c r="V44" i="42"/>
  <c r="V43" i="42"/>
  <c r="V39" i="42"/>
  <c r="V35" i="42"/>
  <c r="V63" i="42"/>
  <c r="V101" i="42"/>
  <c r="V110" i="42"/>
  <c r="V116" i="42"/>
  <c r="Z73" i="45"/>
  <c r="V48" i="36"/>
  <c r="V52" i="36"/>
  <c r="V76" i="36"/>
  <c r="V84" i="36"/>
  <c r="V92" i="36"/>
  <c r="V104" i="36"/>
  <c r="V108" i="36"/>
  <c r="V112" i="36"/>
  <c r="V120" i="36"/>
  <c r="V130" i="36"/>
  <c r="V132" i="36"/>
  <c r="L39" i="39"/>
  <c r="N39" i="39" s="1"/>
  <c r="V74" i="39"/>
  <c r="Z91" i="39"/>
  <c r="N131" i="39"/>
  <c r="V45" i="42"/>
  <c r="V54" i="42"/>
  <c r="X59" i="42"/>
  <c r="Z59" i="42" s="1"/>
  <c r="V69" i="42"/>
  <c r="J73" i="42"/>
  <c r="V108" i="42"/>
  <c r="V73" i="45"/>
  <c r="V29" i="36"/>
  <c r="V31" i="36"/>
  <c r="V33" i="36"/>
  <c r="V57" i="36"/>
  <c r="V65" i="36"/>
  <c r="V73" i="36"/>
  <c r="V85" i="36"/>
  <c r="V97" i="36"/>
  <c r="V129" i="36"/>
  <c r="X99" i="39"/>
  <c r="Z99" i="39" s="1"/>
  <c r="L33" i="42"/>
  <c r="N33" i="42" s="1"/>
  <c r="V36" i="42"/>
  <c r="X73" i="42"/>
  <c r="J79" i="42"/>
  <c r="X53" i="45"/>
  <c r="Z53" i="45" s="1"/>
  <c r="V34" i="36"/>
  <c r="V38" i="36"/>
  <c r="V42" i="36"/>
  <c r="V58" i="36"/>
  <c r="V74" i="36"/>
  <c r="V82" i="36"/>
  <c r="V90" i="36"/>
  <c r="V102" i="36"/>
  <c r="V118" i="36"/>
  <c r="L63" i="39"/>
  <c r="N63" i="39" s="1"/>
  <c r="L80" i="39"/>
  <c r="N80" i="39" s="1"/>
  <c r="N96" i="39"/>
  <c r="H124" i="42"/>
  <c r="V40" i="42"/>
  <c r="V49" i="42"/>
  <c r="Z73" i="42"/>
  <c r="N84" i="42"/>
  <c r="N93" i="42"/>
  <c r="V97" i="42"/>
  <c r="N118" i="42"/>
  <c r="N48" i="51"/>
  <c r="L48" i="51"/>
  <c r="X19" i="60"/>
  <c r="Z19" i="60" s="1"/>
  <c r="V67" i="39"/>
  <c r="V71" i="39"/>
  <c r="V83" i="39"/>
  <c r="V99" i="39"/>
  <c r="V103" i="39"/>
  <c r="V119" i="39"/>
  <c r="X79" i="42"/>
  <c r="J83" i="42"/>
  <c r="J86" i="42"/>
  <c r="J102" i="42"/>
  <c r="N109" i="42"/>
  <c r="Z37" i="45"/>
  <c r="V39" i="45"/>
  <c r="V41" i="45"/>
  <c r="V43" i="45"/>
  <c r="V53" i="45"/>
  <c r="V80" i="45"/>
  <c r="D12" i="48"/>
  <c r="L13" i="48"/>
  <c r="N13" i="48" s="1"/>
  <c r="H69" i="48"/>
  <c r="N53" i="48"/>
  <c r="J84" i="51"/>
  <c r="J74" i="51"/>
  <c r="J97" i="51"/>
  <c r="J85" i="51"/>
  <c r="J75" i="51"/>
  <c r="J76" i="51"/>
  <c r="J68" i="51"/>
  <c r="J64" i="51"/>
  <c r="J81" i="51"/>
  <c r="J77" i="51"/>
  <c r="J72" i="51"/>
  <c r="J59" i="51"/>
  <c r="J55" i="51"/>
  <c r="J51" i="51"/>
  <c r="J90" i="51"/>
  <c r="J73" i="51"/>
  <c r="J65" i="51"/>
  <c r="J61" i="51"/>
  <c r="J43" i="51"/>
  <c r="J39" i="51"/>
  <c r="J35" i="51"/>
  <c r="J91" i="51"/>
  <c r="J86" i="51"/>
  <c r="J66" i="51"/>
  <c r="J62" i="51"/>
  <c r="J57" i="51"/>
  <c r="J53" i="51"/>
  <c r="J78" i="51"/>
  <c r="J70" i="51"/>
  <c r="J54" i="51"/>
  <c r="J93" i="51"/>
  <c r="J87" i="51"/>
  <c r="J52" i="51"/>
  <c r="J42" i="51"/>
  <c r="J37" i="51"/>
  <c r="J50" i="51"/>
  <c r="J88" i="51"/>
  <c r="J79" i="51"/>
  <c r="J83" i="51"/>
  <c r="J67" i="51"/>
  <c r="J38" i="51"/>
  <c r="J69" i="51"/>
  <c r="J92" i="51"/>
  <c r="J56" i="51"/>
  <c r="J44" i="51"/>
  <c r="J82" i="51"/>
  <c r="J80" i="51"/>
  <c r="J34" i="51"/>
  <c r="J36" i="51"/>
  <c r="J48" i="51"/>
  <c r="J63" i="51"/>
  <c r="V40" i="39"/>
  <c r="V44" i="39"/>
  <c r="V48" i="39"/>
  <c r="V64" i="39"/>
  <c r="V72" i="39"/>
  <c r="V92" i="39"/>
  <c r="J28" i="42"/>
  <c r="J67" i="42"/>
  <c r="J75" i="42"/>
  <c r="X109" i="42"/>
  <c r="Z109" i="42" s="1"/>
  <c r="J114" i="42"/>
  <c r="V37" i="45"/>
  <c r="Z65" i="45"/>
  <c r="V72" i="45"/>
  <c r="V94" i="45"/>
  <c r="V57" i="57"/>
  <c r="V61" i="57"/>
  <c r="V64" i="57"/>
  <c r="V56" i="57"/>
  <c r="V60" i="57"/>
  <c r="V47" i="57"/>
  <c r="V75" i="57"/>
  <c r="V69" i="57"/>
  <c r="V55" i="57"/>
  <c r="V50" i="57"/>
  <c r="V38" i="57"/>
  <c r="V34" i="57"/>
  <c r="V30" i="57"/>
  <c r="V49" i="57"/>
  <c r="V25" i="57"/>
  <c r="V21" i="57"/>
  <c r="V52" i="57"/>
  <c r="V40" i="57"/>
  <c r="V51" i="57"/>
  <c r="V39" i="57"/>
  <c r="V35" i="57"/>
  <c r="V31" i="57"/>
  <c r="V78" i="57"/>
  <c r="V71" i="57"/>
  <c r="V65" i="57"/>
  <c r="V42" i="57"/>
  <c r="V26" i="57"/>
  <c r="V22" i="57"/>
  <c r="V66" i="57"/>
  <c r="V62" i="57"/>
  <c r="V58" i="57"/>
  <c r="V53" i="57"/>
  <c r="V41" i="57"/>
  <c r="V44" i="57"/>
  <c r="V36" i="57"/>
  <c r="V32" i="57"/>
  <c r="Z12" i="57"/>
  <c r="V43" i="57"/>
  <c r="V27" i="57"/>
  <c r="V23" i="57"/>
  <c r="V19" i="57"/>
  <c r="V73" i="57"/>
  <c r="V54" i="57"/>
  <c r="V45" i="57"/>
  <c r="V37" i="57"/>
  <c r="V33" i="57"/>
  <c r="V29" i="57"/>
  <c r="T16" i="57"/>
  <c r="V67" i="57"/>
  <c r="V59" i="57"/>
  <c r="V48" i="57"/>
  <c r="V28" i="57"/>
  <c r="V24" i="57"/>
  <c r="V20" i="57"/>
  <c r="V63" i="57"/>
  <c r="V46" i="57"/>
  <c r="V16" i="57"/>
  <c r="V18" i="57"/>
  <c r="V14" i="57"/>
  <c r="V53" i="39"/>
  <c r="V57" i="39"/>
  <c r="V65" i="39"/>
  <c r="V81" i="39"/>
  <c r="V97" i="39"/>
  <c r="V109" i="39"/>
  <c r="V113" i="39"/>
  <c r="V117" i="39"/>
  <c r="V125" i="39"/>
  <c r="V135" i="39"/>
  <c r="J37" i="42"/>
  <c r="J41" i="42"/>
  <c r="J55" i="42"/>
  <c r="J60" i="42"/>
  <c r="X68" i="42"/>
  <c r="Z68" i="42" s="1"/>
  <c r="Z79" i="42"/>
  <c r="J95" i="42"/>
  <c r="P118" i="42"/>
  <c r="X118" i="42" s="1"/>
  <c r="Z118" i="42" s="1"/>
  <c r="V49" i="45"/>
  <c r="V52" i="45"/>
  <c r="L59" i="45"/>
  <c r="V65" i="45"/>
  <c r="Z78" i="45"/>
  <c r="V85" i="45"/>
  <c r="V89" i="45"/>
  <c r="T69" i="48"/>
  <c r="J40" i="51"/>
  <c r="Z77" i="51"/>
  <c r="X77" i="51"/>
  <c r="Z12" i="55"/>
  <c r="V31" i="55"/>
  <c r="V29" i="55"/>
  <c r="V27" i="55"/>
  <c r="V19" i="55"/>
  <c r="V21" i="55"/>
  <c r="T16" i="55"/>
  <c r="V20" i="55"/>
  <c r="V38" i="55"/>
  <c r="V35" i="55"/>
  <c r="V33" i="55"/>
  <c r="V23" i="55"/>
  <c r="V22" i="55"/>
  <c r="V25" i="55"/>
  <c r="V14" i="55"/>
  <c r="V26" i="55"/>
  <c r="V24" i="55"/>
  <c r="V18" i="55"/>
  <c r="V16" i="55"/>
  <c r="V34" i="39"/>
  <c r="V36" i="39"/>
  <c r="V38" i="39"/>
  <c r="V62" i="39"/>
  <c r="V70" i="39"/>
  <c r="V90" i="39"/>
  <c r="V102" i="39"/>
  <c r="P131" i="39"/>
  <c r="X131" i="39" s="1"/>
  <c r="Z131" i="39" s="1"/>
  <c r="V134" i="39"/>
  <c r="J120" i="42"/>
  <c r="V93" i="45"/>
  <c r="V76" i="45"/>
  <c r="V88" i="45"/>
  <c r="V87" i="45"/>
  <c r="V83" i="45"/>
  <c r="V79" i="45"/>
  <c r="V100" i="45"/>
  <c r="V90" i="45"/>
  <c r="V74" i="45"/>
  <c r="V82" i="45"/>
  <c r="V60" i="45"/>
  <c r="V44" i="45"/>
  <c r="V40" i="45"/>
  <c r="T23" i="45"/>
  <c r="V71" i="45"/>
  <c r="V63" i="45"/>
  <c r="V51" i="45"/>
  <c r="V35" i="45"/>
  <c r="V31" i="45"/>
  <c r="V27" i="45"/>
  <c r="V62" i="45"/>
  <c r="V18" i="45"/>
  <c r="V78" i="45"/>
  <c r="V77" i="45"/>
  <c r="V67" i="45"/>
  <c r="V55" i="45"/>
  <c r="V19" i="45"/>
  <c r="V69" i="45"/>
  <c r="V57" i="45"/>
  <c r="V33" i="45"/>
  <c r="V29" i="45"/>
  <c r="V84" i="45"/>
  <c r="V75" i="45"/>
  <c r="V70" i="45"/>
  <c r="V58" i="45"/>
  <c r="V50" i="45"/>
  <c r="V34" i="45"/>
  <c r="V30" i="45"/>
  <c r="V26" i="45"/>
  <c r="V61" i="45"/>
  <c r="V36" i="45"/>
  <c r="N59" i="45"/>
  <c r="X69" i="48"/>
  <c r="P73" i="48"/>
  <c r="R73" i="48" s="1"/>
  <c r="Z73" i="51"/>
  <c r="X73" i="51"/>
  <c r="V73" i="51"/>
  <c r="V77" i="51"/>
  <c r="V79" i="39"/>
  <c r="V91" i="39"/>
  <c r="V95" i="39"/>
  <c r="V107" i="39"/>
  <c r="V123" i="39"/>
  <c r="V133" i="39"/>
  <c r="J97" i="42"/>
  <c r="J106" i="42"/>
  <c r="J111" i="42"/>
  <c r="L25" i="45"/>
  <c r="N25" i="45" s="1"/>
  <c r="V54" i="45"/>
  <c r="V91" i="45"/>
  <c r="X55" i="48"/>
  <c r="Z55" i="48" s="1"/>
  <c r="T46" i="51"/>
  <c r="X34" i="51"/>
  <c r="Z34" i="51" s="1"/>
  <c r="V34" i="51"/>
  <c r="V52" i="39"/>
  <c r="V56" i="39"/>
  <c r="V60" i="39"/>
  <c r="X63" i="39"/>
  <c r="Z63" i="39" s="1"/>
  <c r="V80" i="39"/>
  <c r="V88" i="39"/>
  <c r="V96" i="39"/>
  <c r="V108" i="39"/>
  <c r="V112" i="39"/>
  <c r="V116" i="39"/>
  <c r="V124" i="39"/>
  <c r="V132" i="39"/>
  <c r="J115" i="42"/>
  <c r="J87" i="42"/>
  <c r="J81" i="42"/>
  <c r="J116" i="42"/>
  <c r="J108" i="42"/>
  <c r="J92" i="42"/>
  <c r="J88" i="42"/>
  <c r="J72" i="42"/>
  <c r="J64" i="42"/>
  <c r="J56" i="42"/>
  <c r="J109" i="42"/>
  <c r="J103" i="42"/>
  <c r="J99" i="42"/>
  <c r="J93" i="42"/>
  <c r="J121" i="42"/>
  <c r="J112" i="42"/>
  <c r="J104" i="42"/>
  <c r="J100" i="42"/>
  <c r="J96" i="42"/>
  <c r="J76" i="42"/>
  <c r="J124" i="42"/>
  <c r="J90" i="42"/>
  <c r="J84" i="42"/>
  <c r="J78" i="42"/>
  <c r="J107" i="42"/>
  <c r="J91" i="42"/>
  <c r="J71" i="42"/>
  <c r="J63" i="42"/>
  <c r="J36" i="42"/>
  <c r="J40" i="42"/>
  <c r="J59" i="42"/>
  <c r="L73" i="42"/>
  <c r="N73" i="42" s="1"/>
  <c r="J80" i="42"/>
  <c r="J85" i="42"/>
  <c r="J94" i="42"/>
  <c r="J126" i="42"/>
  <c r="V21" i="45"/>
  <c r="V46" i="45"/>
  <c r="N48" i="45"/>
  <c r="J48" i="45"/>
  <c r="X57" i="45"/>
  <c r="Z57" i="45" s="1"/>
  <c r="V64" i="45"/>
  <c r="V55" i="48"/>
  <c r="N60" i="57"/>
  <c r="V33" i="39"/>
  <c r="V61" i="39"/>
  <c r="V69" i="39"/>
  <c r="V77" i="39"/>
  <c r="V89" i="39"/>
  <c r="V101" i="39"/>
  <c r="V105" i="39"/>
  <c r="V121" i="39"/>
  <c r="V129" i="39"/>
  <c r="J45" i="42"/>
  <c r="J49" i="42"/>
  <c r="J53" i="42"/>
  <c r="J70" i="42"/>
  <c r="J82" i="42"/>
  <c r="J101" i="42"/>
  <c r="X106" i="42"/>
  <c r="Z106" i="42" s="1"/>
  <c r="J113" i="42"/>
  <c r="V38" i="45"/>
  <c r="V42" i="45"/>
  <c r="X48" i="45"/>
  <c r="Z48" i="45" s="1"/>
  <c r="V66" i="45"/>
  <c r="Z69" i="45"/>
  <c r="V81" i="45"/>
  <c r="Z63" i="48"/>
  <c r="X63" i="48"/>
  <c r="J58" i="51"/>
  <c r="N78" i="45"/>
  <c r="V66" i="48"/>
  <c r="V64" i="48"/>
  <c r="V56" i="48"/>
  <c r="V44" i="48"/>
  <c r="V28" i="48"/>
  <c r="V24" i="48"/>
  <c r="V20" i="48"/>
  <c r="V69" i="48"/>
  <c r="V67" i="48"/>
  <c r="V47" i="48"/>
  <c r="V19" i="48"/>
  <c r="V17" i="48"/>
  <c r="V15" i="48"/>
  <c r="V49" i="48"/>
  <c r="V29" i="48"/>
  <c r="V25" i="48"/>
  <c r="V21" i="48"/>
  <c r="V71" i="48"/>
  <c r="V59" i="48"/>
  <c r="V51" i="48"/>
  <c r="V39" i="48"/>
  <c r="V35" i="48"/>
  <c r="V31" i="48"/>
  <c r="V50" i="48"/>
  <c r="V26" i="48"/>
  <c r="V22" i="48"/>
  <c r="Z12" i="48"/>
  <c r="V61" i="48"/>
  <c r="V53" i="48"/>
  <c r="V41" i="48"/>
  <c r="V42" i="48"/>
  <c r="V45" i="48"/>
  <c r="N47" i="48"/>
  <c r="J89" i="45"/>
  <c r="J90" i="45"/>
  <c r="J84" i="45"/>
  <c r="J80" i="45"/>
  <c r="J94" i="45"/>
  <c r="J86" i="45"/>
  <c r="J82" i="45"/>
  <c r="J38" i="45"/>
  <c r="J42" i="45"/>
  <c r="J46" i="45"/>
  <c r="J54" i="45"/>
  <c r="J66" i="45"/>
  <c r="J74" i="45"/>
  <c r="J78" i="45"/>
  <c r="N92" i="45"/>
  <c r="J96" i="45"/>
  <c r="J30" i="48"/>
  <c r="V37" i="48"/>
  <c r="L41" i="48"/>
  <c r="N41" i="48" s="1"/>
  <c r="X47" i="48"/>
  <c r="Z47" i="48" s="1"/>
  <c r="N49" i="51"/>
  <c r="J41" i="45"/>
  <c r="J45" i="45"/>
  <c r="J63" i="45"/>
  <c r="J85" i="45"/>
  <c r="J88" i="45"/>
  <c r="J91" i="45"/>
  <c r="X17" i="48"/>
  <c r="Z17" i="48" s="1"/>
  <c r="V52" i="48"/>
  <c r="N77" i="51"/>
  <c r="P16" i="54"/>
  <c r="R24" i="54"/>
  <c r="X12" i="54"/>
  <c r="R14" i="54"/>
  <c r="R31" i="54"/>
  <c r="R20" i="54"/>
  <c r="R16" i="54"/>
  <c r="R28" i="54"/>
  <c r="N19" i="55"/>
  <c r="N21" i="55"/>
  <c r="N50" i="56"/>
  <c r="Z75" i="51"/>
  <c r="N79" i="51"/>
  <c r="L91" i="51"/>
  <c r="D90" i="51"/>
  <c r="L90" i="51" s="1"/>
  <c r="N90" i="51" s="1"/>
  <c r="N25" i="55"/>
  <c r="N16" i="56"/>
  <c r="H71" i="56"/>
  <c r="Z48" i="56"/>
  <c r="X48" i="56"/>
  <c r="J23" i="45"/>
  <c r="J25" i="45"/>
  <c r="J27" i="45"/>
  <c r="J31" i="45"/>
  <c r="J35" i="45"/>
  <c r="J51" i="45"/>
  <c r="J61" i="45"/>
  <c r="J71" i="45"/>
  <c r="J76" i="45"/>
  <c r="Z92" i="45"/>
  <c r="X96" i="45"/>
  <c r="Z41" i="48"/>
  <c r="V46" i="48"/>
  <c r="Z49" i="48"/>
  <c r="X49" i="51"/>
  <c r="Z49" i="51" s="1"/>
  <c r="X75" i="51"/>
  <c r="Z19" i="55"/>
  <c r="N29" i="56"/>
  <c r="J70" i="45"/>
  <c r="J75" i="45"/>
  <c r="J98" i="45"/>
  <c r="N19" i="48"/>
  <c r="V40" i="48"/>
  <c r="Z40" i="57"/>
  <c r="N46" i="57"/>
  <c r="J39" i="45"/>
  <c r="J43" i="45"/>
  <c r="J47" i="45"/>
  <c r="J57" i="45"/>
  <c r="J69" i="45"/>
  <c r="J79" i="45"/>
  <c r="J93" i="45"/>
  <c r="L30" i="48"/>
  <c r="N30" i="48" s="1"/>
  <c r="V43" i="48"/>
  <c r="L47" i="48"/>
  <c r="X53" i="48"/>
  <c r="Z53" i="48" s="1"/>
  <c r="N55" i="48"/>
  <c r="J60" i="48"/>
  <c r="P12" i="51"/>
  <c r="Z60" i="51"/>
  <c r="R18" i="54"/>
  <c r="Z18" i="56"/>
  <c r="L42" i="56"/>
  <c r="N42" i="56" s="1"/>
  <c r="J20" i="45"/>
  <c r="J56" i="45"/>
  <c r="J68" i="45"/>
  <c r="X90" i="45"/>
  <c r="Z90" i="45" s="1"/>
  <c r="R37" i="48"/>
  <c r="R33" i="48"/>
  <c r="R64" i="48"/>
  <c r="R57" i="48"/>
  <c r="R56" i="48"/>
  <c r="R45" i="48"/>
  <c r="R44" i="48"/>
  <c r="R28" i="48"/>
  <c r="R24" i="48"/>
  <c r="R69" i="48"/>
  <c r="R58" i="48"/>
  <c r="R47" i="48"/>
  <c r="R46" i="48"/>
  <c r="R38" i="48"/>
  <c r="R34" i="48"/>
  <c r="R19" i="48"/>
  <c r="R17" i="48"/>
  <c r="R15" i="48"/>
  <c r="R49" i="48"/>
  <c r="R48" i="48"/>
  <c r="R71" i="48"/>
  <c r="R60" i="48"/>
  <c r="R59" i="48"/>
  <c r="R39" i="48"/>
  <c r="R35" i="48"/>
  <c r="R31" i="48"/>
  <c r="R51" i="48"/>
  <c r="R50" i="48"/>
  <c r="R26" i="48"/>
  <c r="R22" i="48"/>
  <c r="X12" i="48"/>
  <c r="V33" i="48"/>
  <c r="R42" i="48"/>
  <c r="X43" i="48"/>
  <c r="Z43" i="48" s="1"/>
  <c r="R53" i="48"/>
  <c r="V58" i="48"/>
  <c r="L63" i="48"/>
  <c r="N63" i="48" s="1"/>
  <c r="D66" i="48"/>
  <c r="L66" i="48" s="1"/>
  <c r="N66" i="48" s="1"/>
  <c r="X13" i="51"/>
  <c r="Z13" i="51" s="1"/>
  <c r="L87" i="51"/>
  <c r="N87" i="51" s="1"/>
  <c r="R22" i="54"/>
  <c r="R29" i="54"/>
  <c r="L14" i="56"/>
  <c r="J15" i="48"/>
  <c r="J17" i="48"/>
  <c r="J19" i="48"/>
  <c r="J21" i="48"/>
  <c r="J25" i="48"/>
  <c r="J29" i="48"/>
  <c r="J47" i="48"/>
  <c r="J69" i="48"/>
  <c r="V37" i="51"/>
  <c r="V41" i="51"/>
  <c r="X71" i="51"/>
  <c r="V31" i="54"/>
  <c r="V29" i="54"/>
  <c r="V28" i="54"/>
  <c r="V26" i="54"/>
  <c r="V24" i="54"/>
  <c r="Z12" i="54"/>
  <c r="X14" i="56"/>
  <c r="R20" i="56"/>
  <c r="L40" i="56"/>
  <c r="Z60" i="56"/>
  <c r="Z49" i="58"/>
  <c r="X49" i="58"/>
  <c r="D58" i="60"/>
  <c r="L16" i="60"/>
  <c r="J20" i="48"/>
  <c r="J34" i="48"/>
  <c r="J38" i="48"/>
  <c r="J46" i="48"/>
  <c r="J58" i="48"/>
  <c r="J66" i="48"/>
  <c r="J67" i="48"/>
  <c r="V86" i="51"/>
  <c r="V78" i="51"/>
  <c r="V81" i="51"/>
  <c r="V69" i="51"/>
  <c r="V90" i="51"/>
  <c r="V88" i="51"/>
  <c r="V80" i="51"/>
  <c r="V50" i="51"/>
  <c r="V54" i="51"/>
  <c r="V58" i="51"/>
  <c r="V84" i="51"/>
  <c r="L14" i="54"/>
  <c r="T16" i="54"/>
  <c r="Z23" i="55"/>
  <c r="Z25" i="55"/>
  <c r="R29" i="56"/>
  <c r="N52" i="56"/>
  <c r="J45" i="48"/>
  <c r="J57" i="48"/>
  <c r="V63" i="51"/>
  <c r="V67" i="51"/>
  <c r="V70" i="51"/>
  <c r="Z71" i="51"/>
  <c r="V83" i="51"/>
  <c r="R24" i="56"/>
  <c r="N40" i="56"/>
  <c r="R54" i="56"/>
  <c r="J33" i="48"/>
  <c r="J37" i="48"/>
  <c r="J43" i="48"/>
  <c r="J55" i="48"/>
  <c r="J63" i="48"/>
  <c r="V49" i="51"/>
  <c r="V53" i="51"/>
  <c r="V57" i="51"/>
  <c r="V75" i="51"/>
  <c r="V79" i="51"/>
  <c r="V92" i="51"/>
  <c r="Z18" i="55"/>
  <c r="L29" i="55"/>
  <c r="P16" i="56"/>
  <c r="R28" i="56"/>
  <c r="Z52" i="56"/>
  <c r="R56" i="56"/>
  <c r="R75" i="56"/>
  <c r="N19" i="57"/>
  <c r="T16" i="56"/>
  <c r="Z64" i="56"/>
  <c r="X19" i="57"/>
  <c r="J23" i="48"/>
  <c r="J27" i="48"/>
  <c r="J41" i="48"/>
  <c r="J53" i="48"/>
  <c r="V39" i="51"/>
  <c r="V43" i="51"/>
  <c r="V91" i="51"/>
  <c r="V97" i="51"/>
  <c r="R64" i="56"/>
  <c r="R63" i="56"/>
  <c r="R48" i="56"/>
  <c r="R47" i="56"/>
  <c r="R38" i="56"/>
  <c r="R34" i="56"/>
  <c r="R30" i="56"/>
  <c r="R66" i="56"/>
  <c r="R65" i="56"/>
  <c r="R58" i="56"/>
  <c r="R57" i="56"/>
  <c r="R50" i="56"/>
  <c r="R49" i="56"/>
  <c r="R25" i="56"/>
  <c r="R21" i="56"/>
  <c r="R67" i="56"/>
  <c r="R60" i="56"/>
  <c r="R59" i="56"/>
  <c r="R52" i="56"/>
  <c r="R51" i="56"/>
  <c r="R40" i="56"/>
  <c r="R39" i="56"/>
  <c r="R35" i="56"/>
  <c r="R31" i="56"/>
  <c r="R71" i="56"/>
  <c r="R69" i="56"/>
  <c r="R26" i="56"/>
  <c r="R22" i="56"/>
  <c r="R61" i="56"/>
  <c r="R53" i="56"/>
  <c r="R42" i="56"/>
  <c r="R41" i="56"/>
  <c r="R36" i="56"/>
  <c r="R32" i="56"/>
  <c r="X12" i="56"/>
  <c r="R73" i="56"/>
  <c r="R44" i="56"/>
  <c r="R43" i="56"/>
  <c r="R27" i="56"/>
  <c r="R23" i="56"/>
  <c r="R46" i="56"/>
  <c r="R45" i="56"/>
  <c r="R37" i="56"/>
  <c r="R33" i="56"/>
  <c r="R18" i="56"/>
  <c r="R16" i="56"/>
  <c r="R14" i="56"/>
  <c r="Z19" i="57"/>
  <c r="J32" i="48"/>
  <c r="J36" i="48"/>
  <c r="J40" i="48"/>
  <c r="V52" i="51"/>
  <c r="V56" i="51"/>
  <c r="V82" i="51"/>
  <c r="X90" i="51"/>
  <c r="Z90" i="51" s="1"/>
  <c r="Z14" i="54"/>
  <c r="X14" i="54"/>
  <c r="L19" i="55"/>
  <c r="X29" i="55"/>
  <c r="X46" i="56"/>
  <c r="Z46" i="56" s="1"/>
  <c r="L60" i="56"/>
  <c r="N60" i="56" s="1"/>
  <c r="R78" i="56"/>
  <c r="X53" i="64"/>
  <c r="Z53" i="64"/>
  <c r="N30" i="58"/>
  <c r="V61" i="59"/>
  <c r="V45" i="59"/>
  <c r="V37" i="59"/>
  <c r="V33" i="59"/>
  <c r="T16" i="59"/>
  <c r="V60" i="59"/>
  <c r="V52" i="59"/>
  <c r="V44" i="59"/>
  <c r="V28" i="59"/>
  <c r="V24" i="59"/>
  <c r="V20" i="59"/>
  <c r="V62" i="59"/>
  <c r="V54" i="59"/>
  <c r="V46" i="59"/>
  <c r="V68" i="59"/>
  <c r="V66" i="59"/>
  <c r="V64" i="59"/>
  <c r="V56" i="59"/>
  <c r="V48" i="59"/>
  <c r="V55" i="59"/>
  <c r="V39" i="59"/>
  <c r="V35" i="59"/>
  <c r="V31" i="59"/>
  <c r="V58" i="59"/>
  <c r="V50" i="59"/>
  <c r="V26" i="59"/>
  <c r="V22" i="59"/>
  <c r="V59" i="59"/>
  <c r="V51" i="59"/>
  <c r="V43" i="59"/>
  <c r="V27" i="59"/>
  <c r="V23" i="59"/>
  <c r="V19" i="59"/>
  <c r="L46" i="64"/>
  <c r="N46" i="64" s="1"/>
  <c r="L49" i="69"/>
  <c r="N49" i="69" s="1"/>
  <c r="H80" i="95"/>
  <c r="H16" i="55"/>
  <c r="J21" i="55"/>
  <c r="R24" i="55"/>
  <c r="R25" i="55"/>
  <c r="J33" i="55"/>
  <c r="V28" i="56"/>
  <c r="V48" i="56"/>
  <c r="V56" i="56"/>
  <c r="V64" i="56"/>
  <c r="R71" i="57"/>
  <c r="R69" i="57"/>
  <c r="R78" i="57"/>
  <c r="R75" i="57"/>
  <c r="R66" i="57"/>
  <c r="R65" i="57"/>
  <c r="R19" i="57"/>
  <c r="R63" i="57"/>
  <c r="J66" i="57"/>
  <c r="F71" i="57"/>
  <c r="F78" i="57"/>
  <c r="T81" i="58"/>
  <c r="N41" i="58"/>
  <c r="J54" i="58"/>
  <c r="L61" i="58"/>
  <c r="N61" i="58" s="1"/>
  <c r="X69" i="58"/>
  <c r="Z69" i="58" s="1"/>
  <c r="J81" i="58"/>
  <c r="Z12" i="59"/>
  <c r="P16" i="59"/>
  <c r="V25" i="59"/>
  <c r="F41" i="59"/>
  <c r="J51" i="59"/>
  <c r="J54" i="59"/>
  <c r="N63" i="59"/>
  <c r="F25" i="60"/>
  <c r="F30" i="60"/>
  <c r="V41" i="60"/>
  <c r="V54" i="60"/>
  <c r="J14" i="61"/>
  <c r="J18" i="61"/>
  <c r="R36" i="64"/>
  <c r="R51" i="68"/>
  <c r="R54" i="68"/>
  <c r="R45" i="68"/>
  <c r="R25" i="68"/>
  <c r="R21" i="68"/>
  <c r="R65" i="68"/>
  <c r="R49" i="68"/>
  <c r="R50" i="68"/>
  <c r="R46" i="68"/>
  <c r="R40" i="68"/>
  <c r="R39" i="68"/>
  <c r="R35" i="68"/>
  <c r="R31" i="68"/>
  <c r="R26" i="68"/>
  <c r="R22" i="68"/>
  <c r="R60" i="68"/>
  <c r="R41" i="68"/>
  <c r="R42" i="68"/>
  <c r="R36" i="68"/>
  <c r="R32" i="68"/>
  <c r="X12" i="68"/>
  <c r="R47" i="68"/>
  <c r="R27" i="68"/>
  <c r="R23" i="68"/>
  <c r="R37" i="68"/>
  <c r="R33" i="68"/>
  <c r="R18" i="68"/>
  <c r="R16" i="68"/>
  <c r="R14" i="68"/>
  <c r="R58" i="68"/>
  <c r="R19" i="68"/>
  <c r="R62" i="68"/>
  <c r="R56" i="68"/>
  <c r="P16" i="68"/>
  <c r="R53" i="68"/>
  <c r="R38" i="68"/>
  <c r="R34" i="68"/>
  <c r="R30" i="68"/>
  <c r="R43" i="68"/>
  <c r="R20" i="68"/>
  <c r="R52" i="68"/>
  <c r="R48" i="68"/>
  <c r="R28" i="68"/>
  <c r="R24" i="68"/>
  <c r="X18" i="54"/>
  <c r="X20" i="54"/>
  <c r="J19" i="55"/>
  <c r="R22" i="55"/>
  <c r="R23" i="55"/>
  <c r="J29" i="55"/>
  <c r="J31" i="55"/>
  <c r="R35" i="55"/>
  <c r="R38" i="55"/>
  <c r="V14" i="56"/>
  <c r="V16" i="56"/>
  <c r="V18" i="56"/>
  <c r="V46" i="56"/>
  <c r="V54" i="56"/>
  <c r="V62" i="56"/>
  <c r="F66" i="56"/>
  <c r="F67" i="56"/>
  <c r="X12" i="57"/>
  <c r="R32" i="57"/>
  <c r="R36" i="57"/>
  <c r="R58" i="57"/>
  <c r="R62" i="57"/>
  <c r="F65" i="57"/>
  <c r="X56" i="58"/>
  <c r="F36" i="59"/>
  <c r="V70" i="59"/>
  <c r="F38" i="60"/>
  <c r="N42" i="61"/>
  <c r="X48" i="61"/>
  <c r="R29" i="68"/>
  <c r="R33" i="55"/>
  <c r="V55" i="56"/>
  <c r="V73" i="56"/>
  <c r="V75" i="56"/>
  <c r="V78" i="56"/>
  <c r="R41" i="57"/>
  <c r="R42" i="57"/>
  <c r="R53" i="57"/>
  <c r="Z58" i="57"/>
  <c r="Z66" i="57"/>
  <c r="X41" i="58"/>
  <c r="Z30" i="59"/>
  <c r="F38" i="59"/>
  <c r="Z54" i="59"/>
  <c r="P58" i="60"/>
  <c r="F49" i="60"/>
  <c r="Z53" i="61"/>
  <c r="D16" i="54"/>
  <c r="L12" i="55"/>
  <c r="P16" i="55"/>
  <c r="R20" i="55"/>
  <c r="R21" i="55"/>
  <c r="J27" i="55"/>
  <c r="V32" i="56"/>
  <c r="V36" i="56"/>
  <c r="V44" i="56"/>
  <c r="D16" i="57"/>
  <c r="R22" i="57"/>
  <c r="R26" i="57"/>
  <c r="R57" i="57"/>
  <c r="J60" i="57"/>
  <c r="R61" i="57"/>
  <c r="F75" i="57"/>
  <c r="H16" i="58"/>
  <c r="L16" i="58" s="1"/>
  <c r="L53" i="58"/>
  <c r="F21" i="59"/>
  <c r="V30" i="59"/>
  <c r="V32" i="59"/>
  <c r="F40" i="59"/>
  <c r="Z41" i="59"/>
  <c r="X54" i="59"/>
  <c r="X58" i="59"/>
  <c r="Z63" i="59"/>
  <c r="J47" i="61"/>
  <c r="J29" i="61"/>
  <c r="H16" i="61"/>
  <c r="J60" i="61"/>
  <c r="J58" i="61"/>
  <c r="J48" i="61"/>
  <c r="J38" i="61"/>
  <c r="J34" i="61"/>
  <c r="J30" i="61"/>
  <c r="J49" i="61"/>
  <c r="J25" i="61"/>
  <c r="J21" i="61"/>
  <c r="J62" i="61"/>
  <c r="J39" i="61"/>
  <c r="J35" i="61"/>
  <c r="J31" i="61"/>
  <c r="J67" i="61"/>
  <c r="J64" i="61"/>
  <c r="J50" i="61"/>
  <c r="J40" i="61"/>
  <c r="J26" i="61"/>
  <c r="J22" i="61"/>
  <c r="J51" i="61"/>
  <c r="J41" i="61"/>
  <c r="J52" i="61"/>
  <c r="J42" i="61"/>
  <c r="J36" i="61"/>
  <c r="J32" i="61"/>
  <c r="N12" i="61"/>
  <c r="J55" i="61"/>
  <c r="J45" i="61"/>
  <c r="J37" i="61"/>
  <c r="J33" i="61"/>
  <c r="J19" i="61"/>
  <c r="J20" i="61"/>
  <c r="J27" i="61"/>
  <c r="Z48" i="61"/>
  <c r="D102" i="64"/>
  <c r="L16" i="64"/>
  <c r="Z29" i="64"/>
  <c r="X29" i="64"/>
  <c r="N12" i="55"/>
  <c r="R14" i="55"/>
  <c r="R16" i="55"/>
  <c r="R18" i="55"/>
  <c r="D16" i="56"/>
  <c r="V41" i="56"/>
  <c r="V53" i="56"/>
  <c r="V61" i="56"/>
  <c r="J65" i="56"/>
  <c r="R31" i="57"/>
  <c r="R35" i="57"/>
  <c r="R39" i="57"/>
  <c r="R40" i="57"/>
  <c r="R51" i="57"/>
  <c r="R52" i="57"/>
  <c r="L60" i="57"/>
  <c r="X66" i="57"/>
  <c r="J75" i="57"/>
  <c r="L14" i="58"/>
  <c r="Z41" i="58"/>
  <c r="N53" i="58"/>
  <c r="Z61" i="58"/>
  <c r="D74" i="58"/>
  <c r="V29" i="59"/>
  <c r="V34" i="59"/>
  <c r="V36" i="59"/>
  <c r="V41" i="59"/>
  <c r="F45" i="59"/>
  <c r="V53" i="59"/>
  <c r="F62" i="59"/>
  <c r="V63" i="59"/>
  <c r="F26" i="60"/>
  <c r="F22" i="60"/>
  <c r="F41" i="60"/>
  <c r="F40" i="60"/>
  <c r="F52" i="60"/>
  <c r="F36" i="60"/>
  <c r="F32" i="60"/>
  <c r="F43" i="60"/>
  <c r="F42" i="60"/>
  <c r="F27" i="60"/>
  <c r="F23" i="60"/>
  <c r="F54" i="60"/>
  <c r="F53" i="60"/>
  <c r="F45" i="60"/>
  <c r="F44" i="60"/>
  <c r="F37" i="60"/>
  <c r="F33" i="60"/>
  <c r="F28" i="60"/>
  <c r="F24" i="60"/>
  <c r="F20" i="60"/>
  <c r="F19" i="60"/>
  <c r="F58" i="60"/>
  <c r="F56" i="60"/>
  <c r="F47" i="60"/>
  <c r="F46" i="60"/>
  <c r="F18" i="60"/>
  <c r="F16" i="60"/>
  <c r="F14" i="60"/>
  <c r="F51" i="60"/>
  <c r="N53" i="60"/>
  <c r="L12" i="61"/>
  <c r="R94" i="64"/>
  <c r="R93" i="64"/>
  <c r="R85" i="64"/>
  <c r="R74" i="64"/>
  <c r="R73" i="64"/>
  <c r="R66" i="64"/>
  <c r="R65" i="64"/>
  <c r="R25" i="64"/>
  <c r="R21" i="64"/>
  <c r="R81" i="64"/>
  <c r="R80" i="64"/>
  <c r="R95" i="64"/>
  <c r="R75" i="64"/>
  <c r="R68" i="64"/>
  <c r="R67" i="64"/>
  <c r="R56" i="64"/>
  <c r="R55" i="64"/>
  <c r="R40" i="64"/>
  <c r="R39" i="64"/>
  <c r="R35" i="64"/>
  <c r="R31" i="64"/>
  <c r="R98" i="64"/>
  <c r="R97" i="64"/>
  <c r="R87" i="64"/>
  <c r="R86" i="64"/>
  <c r="R99" i="64"/>
  <c r="R70" i="64"/>
  <c r="R69" i="64"/>
  <c r="R58" i="64"/>
  <c r="R57" i="64"/>
  <c r="R102" i="64"/>
  <c r="R83" i="64"/>
  <c r="R71" i="64"/>
  <c r="R60" i="64"/>
  <c r="R59" i="64"/>
  <c r="R51" i="64"/>
  <c r="R109" i="64"/>
  <c r="R106" i="64"/>
  <c r="R79" i="64"/>
  <c r="R64" i="64"/>
  <c r="R63" i="64"/>
  <c r="R47" i="64"/>
  <c r="R100" i="64"/>
  <c r="R90" i="64"/>
  <c r="R78" i="64"/>
  <c r="R62" i="64"/>
  <c r="R33" i="64"/>
  <c r="R30" i="64"/>
  <c r="R44" i="64"/>
  <c r="R14" i="64"/>
  <c r="R88" i="64"/>
  <c r="R54" i="64"/>
  <c r="R34" i="64"/>
  <c r="R27" i="64"/>
  <c r="R24" i="64"/>
  <c r="R104" i="64"/>
  <c r="R91" i="64"/>
  <c r="R76" i="64"/>
  <c r="R48" i="64"/>
  <c r="R37" i="64"/>
  <c r="R16" i="64"/>
  <c r="R89" i="64"/>
  <c r="R45" i="64"/>
  <c r="R41" i="64"/>
  <c r="R22" i="64"/>
  <c r="P16" i="64"/>
  <c r="R84" i="64"/>
  <c r="R42" i="64"/>
  <c r="R19" i="64"/>
  <c r="R18" i="64"/>
  <c r="R82" i="64"/>
  <c r="R38" i="64"/>
  <c r="R53" i="64"/>
  <c r="R26" i="64"/>
  <c r="R23" i="64"/>
  <c r="R20" i="64"/>
  <c r="R28" i="64"/>
  <c r="N60" i="64"/>
  <c r="Z68" i="70"/>
  <c r="V68" i="70"/>
  <c r="X68" i="70"/>
  <c r="R19" i="55"/>
  <c r="R29" i="55"/>
  <c r="R31" i="55"/>
  <c r="V42" i="56"/>
  <c r="H16" i="57"/>
  <c r="N64" i="57"/>
  <c r="F23" i="59"/>
  <c r="Z58" i="59"/>
  <c r="J16" i="61"/>
  <c r="J54" i="61"/>
  <c r="R49" i="64"/>
  <c r="Z78" i="64"/>
  <c r="X78" i="64"/>
  <c r="V67" i="56"/>
  <c r="V69" i="56"/>
  <c r="V71" i="56"/>
  <c r="F50" i="59"/>
  <c r="F49" i="59"/>
  <c r="F26" i="59"/>
  <c r="F22" i="59"/>
  <c r="F68" i="59"/>
  <c r="F66" i="59"/>
  <c r="F57" i="59"/>
  <c r="F56" i="59"/>
  <c r="F59" i="59"/>
  <c r="F58" i="59"/>
  <c r="F51" i="59"/>
  <c r="F75" i="59"/>
  <c r="F72" i="59"/>
  <c r="F37" i="59"/>
  <c r="F33" i="59"/>
  <c r="F60" i="59"/>
  <c r="F52" i="59"/>
  <c r="F44" i="59"/>
  <c r="F43" i="59"/>
  <c r="F28" i="59"/>
  <c r="F24" i="59"/>
  <c r="F20" i="59"/>
  <c r="F19" i="59"/>
  <c r="F18" i="59"/>
  <c r="F16" i="59"/>
  <c r="F14" i="59"/>
  <c r="F64" i="59"/>
  <c r="F63" i="59"/>
  <c r="F48" i="59"/>
  <c r="F47" i="59"/>
  <c r="V14" i="59"/>
  <c r="V21" i="59"/>
  <c r="F31" i="59"/>
  <c r="V38" i="59"/>
  <c r="V40" i="59"/>
  <c r="F42" i="59"/>
  <c r="F62" i="60"/>
  <c r="Z78" i="71"/>
  <c r="V78" i="71"/>
  <c r="X78" i="71"/>
  <c r="X12" i="55"/>
  <c r="F23" i="55"/>
  <c r="F24" i="55"/>
  <c r="J25" i="55"/>
  <c r="F35" i="55"/>
  <c r="F38" i="55"/>
  <c r="J14" i="56"/>
  <c r="J16" i="56"/>
  <c r="J18" i="56"/>
  <c r="J20" i="56"/>
  <c r="J24" i="56"/>
  <c r="J28" i="56"/>
  <c r="F33" i="56"/>
  <c r="F37" i="56"/>
  <c r="V40" i="56"/>
  <c r="F44" i="56"/>
  <c r="F45" i="56"/>
  <c r="J46" i="56"/>
  <c r="V52" i="56"/>
  <c r="J56" i="56"/>
  <c r="V60" i="56"/>
  <c r="F54" i="57"/>
  <c r="F61" i="57"/>
  <c r="F60" i="57"/>
  <c r="J19" i="57"/>
  <c r="R30" i="57"/>
  <c r="J33" i="57"/>
  <c r="R34" i="57"/>
  <c r="J37" i="57"/>
  <c r="R38" i="57"/>
  <c r="J45" i="57"/>
  <c r="J54" i="57"/>
  <c r="R55" i="57"/>
  <c r="R56" i="57"/>
  <c r="J59" i="57"/>
  <c r="R60" i="57"/>
  <c r="F63" i="57"/>
  <c r="J67" i="57"/>
  <c r="J14" i="58"/>
  <c r="J42" i="58"/>
  <c r="J49" i="58"/>
  <c r="J62" i="58"/>
  <c r="P74" i="58"/>
  <c r="J57" i="59"/>
  <c r="J70" i="59"/>
  <c r="J58" i="59"/>
  <c r="J40" i="59"/>
  <c r="J36" i="59"/>
  <c r="J32" i="59"/>
  <c r="N12" i="59"/>
  <c r="J75" i="59"/>
  <c r="J72" i="59"/>
  <c r="J42" i="59"/>
  <c r="J60" i="59"/>
  <c r="J52" i="59"/>
  <c r="J44" i="59"/>
  <c r="J28" i="59"/>
  <c r="J24" i="59"/>
  <c r="J20" i="59"/>
  <c r="J18" i="59"/>
  <c r="J16" i="59"/>
  <c r="J14" i="59"/>
  <c r="J61" i="59"/>
  <c r="J45" i="59"/>
  <c r="H16" i="59"/>
  <c r="J62" i="59"/>
  <c r="J46" i="59"/>
  <c r="J38" i="59"/>
  <c r="J34" i="59"/>
  <c r="J55" i="59"/>
  <c r="J49" i="59"/>
  <c r="J39" i="59"/>
  <c r="J35" i="59"/>
  <c r="J31" i="59"/>
  <c r="F25" i="59"/>
  <c r="F35" i="59"/>
  <c r="X43" i="59"/>
  <c r="Z43" i="59" s="1"/>
  <c r="N47" i="59"/>
  <c r="J59" i="59"/>
  <c r="V72" i="59"/>
  <c r="F35" i="60"/>
  <c r="Z42" i="60"/>
  <c r="F48" i="60"/>
  <c r="Z53" i="60"/>
  <c r="P16" i="61"/>
  <c r="L19" i="61"/>
  <c r="N19" i="61" s="1"/>
  <c r="J24" i="61"/>
  <c r="J56" i="61"/>
  <c r="Z62" i="64"/>
  <c r="X62" i="64"/>
  <c r="R44" i="68"/>
  <c r="J24" i="55"/>
  <c r="J19" i="56"/>
  <c r="V21" i="56"/>
  <c r="V25" i="56"/>
  <c r="J33" i="56"/>
  <c r="J37" i="56"/>
  <c r="J45" i="56"/>
  <c r="V49" i="56"/>
  <c r="F54" i="56"/>
  <c r="J55" i="56"/>
  <c r="V57" i="56"/>
  <c r="F62" i="56"/>
  <c r="V65" i="56"/>
  <c r="J75" i="56"/>
  <c r="J78" i="56"/>
  <c r="J65" i="57"/>
  <c r="J71" i="57"/>
  <c r="J69" i="57"/>
  <c r="J57" i="57"/>
  <c r="J62" i="57"/>
  <c r="F23" i="57"/>
  <c r="F27" i="57"/>
  <c r="F42" i="57"/>
  <c r="F43" i="57"/>
  <c r="J44" i="57"/>
  <c r="R47" i="57"/>
  <c r="R48" i="57"/>
  <c r="F58" i="57"/>
  <c r="F62" i="57"/>
  <c r="J63" i="57"/>
  <c r="X64" i="57"/>
  <c r="Z64" i="57" s="1"/>
  <c r="L66" i="57"/>
  <c r="N66" i="57" s="1"/>
  <c r="J20" i="58"/>
  <c r="J31" i="58"/>
  <c r="Z53" i="58"/>
  <c r="L69" i="58"/>
  <c r="N69" i="58" s="1"/>
  <c r="L12" i="59"/>
  <c r="D16" i="59"/>
  <c r="V18" i="59"/>
  <c r="J25" i="59"/>
  <c r="J37" i="59"/>
  <c r="V42" i="59"/>
  <c r="J47" i="59"/>
  <c r="F61" i="59"/>
  <c r="V45" i="60"/>
  <c r="V37" i="60"/>
  <c r="V33" i="60"/>
  <c r="V29" i="60"/>
  <c r="T16" i="60"/>
  <c r="V48" i="60"/>
  <c r="V28" i="60"/>
  <c r="V24" i="60"/>
  <c r="V20" i="60"/>
  <c r="V47" i="60"/>
  <c r="V65" i="60"/>
  <c r="V62" i="60"/>
  <c r="V60" i="60"/>
  <c r="V50" i="60"/>
  <c r="V38" i="60"/>
  <c r="V34" i="60"/>
  <c r="V30" i="60"/>
  <c r="V49" i="60"/>
  <c r="V40" i="60"/>
  <c r="V51" i="60"/>
  <c r="V39" i="60"/>
  <c r="V35" i="60"/>
  <c r="V31" i="60"/>
  <c r="V42" i="60"/>
  <c r="V26" i="60"/>
  <c r="V22" i="60"/>
  <c r="V43" i="60"/>
  <c r="V27" i="60"/>
  <c r="V23" i="60"/>
  <c r="V19" i="60"/>
  <c r="V16" i="60"/>
  <c r="F39" i="60"/>
  <c r="N48" i="60"/>
  <c r="V53" i="60"/>
  <c r="J43" i="61"/>
  <c r="R32" i="64"/>
  <c r="D16" i="55"/>
  <c r="F21" i="55"/>
  <c r="J23" i="55"/>
  <c r="J35" i="55"/>
  <c r="F23" i="56"/>
  <c r="F27" i="56"/>
  <c r="V30" i="56"/>
  <c r="V34" i="56"/>
  <c r="V38" i="56"/>
  <c r="F42" i="56"/>
  <c r="F43" i="56"/>
  <c r="J44" i="56"/>
  <c r="V50" i="56"/>
  <c r="J54" i="56"/>
  <c r="V58" i="56"/>
  <c r="P16" i="57"/>
  <c r="R20" i="57"/>
  <c r="J23" i="57"/>
  <c r="R24" i="57"/>
  <c r="J27" i="57"/>
  <c r="R28" i="57"/>
  <c r="R29" i="57"/>
  <c r="F32" i="57"/>
  <c r="F36" i="57"/>
  <c r="J43" i="57"/>
  <c r="R59" i="57"/>
  <c r="R64" i="57"/>
  <c r="F66" i="57"/>
  <c r="R67" i="57"/>
  <c r="J63" i="58"/>
  <c r="J55" i="58"/>
  <c r="J45" i="58"/>
  <c r="J76" i="58"/>
  <c r="J56" i="58"/>
  <c r="J46" i="58"/>
  <c r="J38" i="58"/>
  <c r="J34" i="58"/>
  <c r="J66" i="58"/>
  <c r="J58" i="58"/>
  <c r="J50" i="58"/>
  <c r="J26" i="58"/>
  <c r="J22" i="58"/>
  <c r="J67" i="58"/>
  <c r="J59" i="58"/>
  <c r="J51" i="58"/>
  <c r="J68" i="58"/>
  <c r="J60" i="58"/>
  <c r="J52" i="58"/>
  <c r="J43" i="58"/>
  <c r="J37" i="58"/>
  <c r="J33" i="58"/>
  <c r="J19" i="58"/>
  <c r="Z16" i="58"/>
  <c r="J25" i="58"/>
  <c r="J48" i="58"/>
  <c r="L56" i="58"/>
  <c r="F30" i="59"/>
  <c r="F39" i="59"/>
  <c r="F54" i="59"/>
  <c r="V57" i="59"/>
  <c r="Z12" i="60"/>
  <c r="F21" i="60"/>
  <c r="V44" i="60"/>
  <c r="V46" i="60"/>
  <c r="F50" i="60"/>
  <c r="F65" i="60"/>
  <c r="D60" i="61"/>
  <c r="L16" i="61"/>
  <c r="L53" i="61"/>
  <c r="N53" i="61" s="1"/>
  <c r="N18" i="64"/>
  <c r="R72" i="64"/>
  <c r="R77" i="64"/>
  <c r="N94" i="64"/>
  <c r="V21" i="58"/>
  <c r="V25" i="58"/>
  <c r="V29" i="58"/>
  <c r="R34" i="58"/>
  <c r="R38" i="58"/>
  <c r="F41" i="58"/>
  <c r="F42" i="58"/>
  <c r="R46" i="58"/>
  <c r="R47" i="58"/>
  <c r="V49" i="58"/>
  <c r="F53" i="58"/>
  <c r="F54" i="58"/>
  <c r="V57" i="58"/>
  <c r="F61" i="58"/>
  <c r="F62" i="58"/>
  <c r="V65" i="58"/>
  <c r="F69" i="58"/>
  <c r="F70" i="58"/>
  <c r="R76" i="58"/>
  <c r="X12" i="59"/>
  <c r="R32" i="59"/>
  <c r="R36" i="59"/>
  <c r="R40" i="59"/>
  <c r="R41" i="59"/>
  <c r="R70" i="59"/>
  <c r="X12" i="60"/>
  <c r="X14" i="60"/>
  <c r="J31" i="60"/>
  <c r="R32" i="60"/>
  <c r="J35" i="60"/>
  <c r="R36" i="60"/>
  <c r="J39" i="60"/>
  <c r="J51" i="60"/>
  <c r="R52" i="60"/>
  <c r="R53" i="60"/>
  <c r="L14" i="61"/>
  <c r="V21" i="61"/>
  <c r="V25" i="61"/>
  <c r="V49" i="61"/>
  <c r="F53" i="61"/>
  <c r="F54" i="61"/>
  <c r="V80" i="64"/>
  <c r="V68" i="64"/>
  <c r="V56" i="64"/>
  <c r="V48" i="64"/>
  <c r="V40" i="64"/>
  <c r="V97" i="64"/>
  <c r="V95" i="64"/>
  <c r="V87" i="64"/>
  <c r="V75" i="64"/>
  <c r="V67" i="64"/>
  <c r="V98" i="64"/>
  <c r="V86" i="64"/>
  <c r="V82" i="64"/>
  <c r="V70" i="64"/>
  <c r="V58" i="64"/>
  <c r="V50" i="64"/>
  <c r="V42" i="64"/>
  <c r="V99" i="64"/>
  <c r="V89" i="64"/>
  <c r="V102" i="64"/>
  <c r="V100" i="64"/>
  <c r="V88" i="64"/>
  <c r="V76" i="64"/>
  <c r="V60" i="64"/>
  <c r="V90" i="64"/>
  <c r="V78" i="64"/>
  <c r="V62" i="64"/>
  <c r="V109" i="64"/>
  <c r="V106" i="64"/>
  <c r="V104" i="64"/>
  <c r="V92" i="64"/>
  <c r="V94" i="64"/>
  <c r="V74" i="64"/>
  <c r="V66" i="64"/>
  <c r="V54" i="64"/>
  <c r="V38" i="64"/>
  <c r="V34" i="64"/>
  <c r="V30" i="64"/>
  <c r="F18" i="64"/>
  <c r="F25" i="64"/>
  <c r="F28" i="64"/>
  <c r="V36" i="64"/>
  <c r="V43" i="64"/>
  <c r="Z50" i="64"/>
  <c r="Z56" i="64"/>
  <c r="N58" i="64"/>
  <c r="N66" i="64"/>
  <c r="Z70" i="64"/>
  <c r="V72" i="64"/>
  <c r="N74" i="64"/>
  <c r="F82" i="64"/>
  <c r="V85" i="64"/>
  <c r="F97" i="64"/>
  <c r="H102" i="64"/>
  <c r="N18" i="68"/>
  <c r="P12" i="70"/>
  <c r="X13" i="70"/>
  <c r="Z56" i="70"/>
  <c r="V56" i="70"/>
  <c r="V56" i="58"/>
  <c r="R72" i="58"/>
  <c r="R74" i="58"/>
  <c r="R31" i="59"/>
  <c r="R35" i="59"/>
  <c r="R39" i="59"/>
  <c r="R55" i="59"/>
  <c r="R56" i="59"/>
  <c r="R66" i="59"/>
  <c r="R68" i="59"/>
  <c r="J30" i="60"/>
  <c r="R31" i="60"/>
  <c r="J34" i="60"/>
  <c r="R35" i="60"/>
  <c r="J38" i="60"/>
  <c r="R39" i="60"/>
  <c r="R40" i="60"/>
  <c r="J48" i="60"/>
  <c r="R51" i="60"/>
  <c r="J60" i="60"/>
  <c r="V24" i="61"/>
  <c r="V28" i="61"/>
  <c r="F40" i="61"/>
  <c r="F41" i="61"/>
  <c r="V48" i="61"/>
  <c r="V56" i="61"/>
  <c r="V58" i="61"/>
  <c r="V60" i="61"/>
  <c r="F64" i="61"/>
  <c r="F67" i="61"/>
  <c r="V28" i="64"/>
  <c r="V29" i="64"/>
  <c r="V32" i="64"/>
  <c r="F34" i="64"/>
  <c r="V35" i="64"/>
  <c r="F48" i="64"/>
  <c r="F57" i="64"/>
  <c r="F68" i="64"/>
  <c r="V69" i="64"/>
  <c r="F81" i="64"/>
  <c r="T102" i="64"/>
  <c r="Z18" i="68"/>
  <c r="Z35" i="69"/>
  <c r="L60" i="69"/>
  <c r="N60" i="69" s="1"/>
  <c r="R19" i="58"/>
  <c r="F22" i="58"/>
  <c r="F26" i="58"/>
  <c r="V33" i="58"/>
  <c r="V37" i="58"/>
  <c r="R42" i="58"/>
  <c r="R43" i="58"/>
  <c r="V45" i="58"/>
  <c r="F49" i="58"/>
  <c r="F50" i="58"/>
  <c r="R54" i="58"/>
  <c r="F58" i="58"/>
  <c r="R62" i="58"/>
  <c r="F65" i="58"/>
  <c r="F66" i="58"/>
  <c r="R70" i="58"/>
  <c r="R48" i="59"/>
  <c r="R49" i="59"/>
  <c r="R64" i="59"/>
  <c r="H16" i="60"/>
  <c r="J29" i="60"/>
  <c r="J47" i="60"/>
  <c r="T16" i="61"/>
  <c r="R19" i="61"/>
  <c r="F22" i="61"/>
  <c r="F26" i="61"/>
  <c r="V29" i="61"/>
  <c r="V33" i="61"/>
  <c r="V37" i="61"/>
  <c r="V45" i="61"/>
  <c r="F50" i="61"/>
  <c r="R54" i="61"/>
  <c r="R55" i="61"/>
  <c r="F14" i="64"/>
  <c r="V25" i="64"/>
  <c r="F40" i="64"/>
  <c r="V46" i="64"/>
  <c r="Z58" i="64"/>
  <c r="N68" i="64"/>
  <c r="V79" i="64"/>
  <c r="F86" i="64"/>
  <c r="Z94" i="64"/>
  <c r="X99" i="64"/>
  <c r="Z99" i="64" s="1"/>
  <c r="P97" i="64"/>
  <c r="X97" i="64" s="1"/>
  <c r="Z97" i="64" s="1"/>
  <c r="H58" i="68"/>
  <c r="N16" i="68"/>
  <c r="V14" i="58"/>
  <c r="V16" i="58"/>
  <c r="V18" i="58"/>
  <c r="R23" i="58"/>
  <c r="R27" i="58"/>
  <c r="F30" i="58"/>
  <c r="F31" i="58"/>
  <c r="F35" i="58"/>
  <c r="F39" i="58"/>
  <c r="V42" i="58"/>
  <c r="V54" i="58"/>
  <c r="V62" i="58"/>
  <c r="V70" i="58"/>
  <c r="V72" i="58"/>
  <c r="V74" i="58"/>
  <c r="F78" i="58"/>
  <c r="F81" i="58"/>
  <c r="R21" i="59"/>
  <c r="R25" i="59"/>
  <c r="R29" i="59"/>
  <c r="R30" i="59"/>
  <c r="R53" i="59"/>
  <c r="R54" i="59"/>
  <c r="J14" i="60"/>
  <c r="J16" i="60"/>
  <c r="J18" i="60"/>
  <c r="J20" i="60"/>
  <c r="R21" i="60"/>
  <c r="J24" i="60"/>
  <c r="R25" i="60"/>
  <c r="J28" i="60"/>
  <c r="J46" i="60"/>
  <c r="R49" i="60"/>
  <c r="R50" i="60"/>
  <c r="J56" i="60"/>
  <c r="J58" i="60"/>
  <c r="R62" i="60"/>
  <c r="R65" i="60"/>
  <c r="V14" i="61"/>
  <c r="V16" i="61"/>
  <c r="V18" i="61"/>
  <c r="F31" i="61"/>
  <c r="F35" i="61"/>
  <c r="F39" i="61"/>
  <c r="V46" i="61"/>
  <c r="V54" i="61"/>
  <c r="F21" i="64"/>
  <c r="F24" i="64"/>
  <c r="Z42" i="64"/>
  <c r="F54" i="64"/>
  <c r="V63" i="64"/>
  <c r="V71" i="64"/>
  <c r="V84" i="64"/>
  <c r="L40" i="68"/>
  <c r="J44" i="60"/>
  <c r="J54" i="60"/>
  <c r="F102" i="64"/>
  <c r="F77" i="64"/>
  <c r="F61" i="64"/>
  <c r="F60" i="64"/>
  <c r="F45" i="64"/>
  <c r="F44" i="64"/>
  <c r="F37" i="64"/>
  <c r="F33" i="64"/>
  <c r="F104" i="64"/>
  <c r="F92" i="64"/>
  <c r="F91" i="64"/>
  <c r="F84" i="64"/>
  <c r="F72" i="64"/>
  <c r="F79" i="64"/>
  <c r="F78" i="64"/>
  <c r="F63" i="64"/>
  <c r="F62" i="64"/>
  <c r="F47" i="64"/>
  <c r="F46" i="64"/>
  <c r="F109" i="64"/>
  <c r="F106" i="64"/>
  <c r="F93" i="64"/>
  <c r="F85" i="64"/>
  <c r="F73" i="64"/>
  <c r="F65" i="64"/>
  <c r="F64" i="64"/>
  <c r="F95" i="64"/>
  <c r="F94" i="64"/>
  <c r="F75" i="64"/>
  <c r="F74" i="64"/>
  <c r="F67" i="64"/>
  <c r="F66" i="64"/>
  <c r="F55" i="64"/>
  <c r="F98" i="64"/>
  <c r="F100" i="64"/>
  <c r="F83" i="64"/>
  <c r="F71" i="64"/>
  <c r="F70" i="64"/>
  <c r="F59" i="64"/>
  <c r="F58" i="64"/>
  <c r="F51" i="64"/>
  <c r="F50" i="64"/>
  <c r="F43" i="64"/>
  <c r="F42" i="64"/>
  <c r="F27" i="64"/>
  <c r="F23" i="64"/>
  <c r="F30" i="64"/>
  <c r="F36" i="64"/>
  <c r="F39" i="64"/>
  <c r="N50" i="64"/>
  <c r="F53" i="64"/>
  <c r="F56" i="64"/>
  <c r="Z60" i="64"/>
  <c r="N62" i="64"/>
  <c r="N78" i="64"/>
  <c r="L98" i="64"/>
  <c r="N98" i="64" s="1"/>
  <c r="D97" i="64"/>
  <c r="L97" i="64" s="1"/>
  <c r="N97" i="64" s="1"/>
  <c r="L13" i="69"/>
  <c r="N13" i="69" s="1"/>
  <c r="D12" i="69"/>
  <c r="Z83" i="69"/>
  <c r="X95" i="69"/>
  <c r="H107" i="71"/>
  <c r="F74" i="77"/>
  <c r="F73" i="77"/>
  <c r="F58" i="77"/>
  <c r="F54" i="77"/>
  <c r="F50" i="77"/>
  <c r="F49" i="77"/>
  <c r="F76" i="77"/>
  <c r="F75" i="77"/>
  <c r="F68" i="77"/>
  <c r="F64" i="77"/>
  <c r="D46" i="77"/>
  <c r="F59" i="77"/>
  <c r="F55" i="77"/>
  <c r="F51" i="77"/>
  <c r="F86" i="77"/>
  <c r="F78" i="77"/>
  <c r="F77" i="77"/>
  <c r="F42" i="77"/>
  <c r="F38" i="77"/>
  <c r="F69" i="77"/>
  <c r="F65" i="77"/>
  <c r="F61" i="77"/>
  <c r="F60" i="77"/>
  <c r="F88" i="77"/>
  <c r="F87" i="77"/>
  <c r="F80" i="77"/>
  <c r="F79" i="77"/>
  <c r="F56" i="77"/>
  <c r="F52" i="77"/>
  <c r="F43" i="77"/>
  <c r="F39" i="77"/>
  <c r="F35" i="77"/>
  <c r="F34" i="77"/>
  <c r="F91" i="77"/>
  <c r="F82" i="77"/>
  <c r="F81" i="77"/>
  <c r="F70" i="77"/>
  <c r="F66" i="77"/>
  <c r="F62" i="77"/>
  <c r="F93" i="77"/>
  <c r="F72" i="77"/>
  <c r="F71" i="77"/>
  <c r="F44" i="77"/>
  <c r="F40" i="77"/>
  <c r="F36" i="77"/>
  <c r="L12" i="77"/>
  <c r="N12" i="77" s="1"/>
  <c r="F83" i="77"/>
  <c r="F67" i="77"/>
  <c r="F53" i="77"/>
  <c r="F57" i="77"/>
  <c r="F46" i="77"/>
  <c r="F41" i="77"/>
  <c r="F63" i="77"/>
  <c r="F37" i="77"/>
  <c r="F84" i="77"/>
  <c r="F97" i="77"/>
  <c r="F92" i="77"/>
  <c r="F48" i="77"/>
  <c r="F85" i="77"/>
  <c r="L44" i="60"/>
  <c r="N44" i="60" s="1"/>
  <c r="X50" i="60"/>
  <c r="Z50" i="60" s="1"/>
  <c r="X44" i="61"/>
  <c r="Z44" i="61" s="1"/>
  <c r="N56" i="64"/>
  <c r="Z68" i="64"/>
  <c r="N70" i="64"/>
  <c r="F80" i="64"/>
  <c r="F90" i="64"/>
  <c r="F16" i="58"/>
  <c r="F18" i="58"/>
  <c r="V22" i="58"/>
  <c r="V26" i="58"/>
  <c r="R31" i="58"/>
  <c r="R35" i="58"/>
  <c r="R39" i="58"/>
  <c r="V50" i="58"/>
  <c r="F55" i="58"/>
  <c r="V58" i="58"/>
  <c r="F63" i="58"/>
  <c r="V66" i="58"/>
  <c r="F72" i="58"/>
  <c r="R14" i="59"/>
  <c r="R16" i="59"/>
  <c r="R18" i="59"/>
  <c r="R33" i="59"/>
  <c r="R37" i="59"/>
  <c r="N12" i="60"/>
  <c r="R14" i="60"/>
  <c r="R16" i="60"/>
  <c r="R18" i="60"/>
  <c r="J32" i="60"/>
  <c r="R33" i="60"/>
  <c r="J36" i="60"/>
  <c r="R37" i="60"/>
  <c r="J42" i="60"/>
  <c r="R45" i="60"/>
  <c r="R46" i="60"/>
  <c r="J52" i="60"/>
  <c r="R56" i="60"/>
  <c r="R58" i="60"/>
  <c r="F14" i="61"/>
  <c r="F16" i="61"/>
  <c r="F18" i="61"/>
  <c r="V22" i="61"/>
  <c r="V26" i="61"/>
  <c r="R31" i="61"/>
  <c r="R35" i="61"/>
  <c r="R39" i="61"/>
  <c r="R40" i="61"/>
  <c r="V42" i="61"/>
  <c r="F46" i="61"/>
  <c r="F47" i="61"/>
  <c r="V50" i="61"/>
  <c r="R64" i="61"/>
  <c r="R67" i="61"/>
  <c r="L12" i="64"/>
  <c r="V21" i="64"/>
  <c r="F49" i="64"/>
  <c r="L64" i="64"/>
  <c r="V81" i="64"/>
  <c r="F87" i="64"/>
  <c r="V93" i="64"/>
  <c r="F58" i="68"/>
  <c r="F56" i="68"/>
  <c r="F47" i="68"/>
  <c r="F46" i="68"/>
  <c r="F65" i="68"/>
  <c r="F62" i="68"/>
  <c r="F43" i="68"/>
  <c r="F37" i="68"/>
  <c r="F33" i="68"/>
  <c r="F52" i="68"/>
  <c r="F48" i="68"/>
  <c r="F28" i="68"/>
  <c r="F24" i="68"/>
  <c r="F20" i="68"/>
  <c r="F19" i="68"/>
  <c r="F18" i="68"/>
  <c r="F16" i="68"/>
  <c r="F14" i="68"/>
  <c r="F44" i="68"/>
  <c r="F38" i="68"/>
  <c r="F34" i="68"/>
  <c r="F30" i="68"/>
  <c r="F29" i="68"/>
  <c r="D16" i="68"/>
  <c r="F53" i="68"/>
  <c r="F49" i="68"/>
  <c r="F45" i="68"/>
  <c r="F25" i="68"/>
  <c r="F21" i="68"/>
  <c r="F39" i="68"/>
  <c r="F35" i="68"/>
  <c r="F31" i="68"/>
  <c r="F51" i="68"/>
  <c r="F41" i="68"/>
  <c r="F40" i="68"/>
  <c r="F42" i="68"/>
  <c r="F27" i="68"/>
  <c r="F23" i="68"/>
  <c r="D12" i="73"/>
  <c r="L14" i="73"/>
  <c r="J55" i="73"/>
  <c r="N55" i="73"/>
  <c r="R64" i="58"/>
  <c r="R19" i="59"/>
  <c r="R42" i="59"/>
  <c r="R19" i="60"/>
  <c r="F19" i="61"/>
  <c r="F20" i="61"/>
  <c r="F24" i="61"/>
  <c r="F28" i="61"/>
  <c r="V31" i="61"/>
  <c r="V35" i="61"/>
  <c r="V39" i="61"/>
  <c r="F55" i="61"/>
  <c r="V14" i="64"/>
  <c r="F20" i="64"/>
  <c r="F32" i="64"/>
  <c r="Z40" i="64"/>
  <c r="Z44" i="64"/>
  <c r="F52" i="64"/>
  <c r="V59" i="64"/>
  <c r="V83" i="64"/>
  <c r="T16" i="68"/>
  <c r="J44" i="64"/>
  <c r="J60" i="64"/>
  <c r="J90" i="64"/>
  <c r="J102" i="64"/>
  <c r="J47" i="68"/>
  <c r="J60" i="68"/>
  <c r="J48" i="68"/>
  <c r="N14" i="68"/>
  <c r="V30" i="68"/>
  <c r="V34" i="68"/>
  <c r="V38" i="68"/>
  <c r="X48" i="68"/>
  <c r="Z48" i="68" s="1"/>
  <c r="Z53" i="68"/>
  <c r="P12" i="69"/>
  <c r="X13" i="69"/>
  <c r="Z13" i="69" s="1"/>
  <c r="J35" i="69"/>
  <c r="V45" i="69"/>
  <c r="J49" i="69"/>
  <c r="V52" i="69"/>
  <c r="J61" i="69"/>
  <c r="J71" i="69"/>
  <c r="V80" i="69"/>
  <c r="V95" i="69"/>
  <c r="V99" i="69"/>
  <c r="J20" i="70"/>
  <c r="F34" i="70"/>
  <c r="J39" i="70"/>
  <c r="F43" i="70"/>
  <c r="L50" i="70"/>
  <c r="Z65" i="70"/>
  <c r="V65" i="70"/>
  <c r="H26" i="72"/>
  <c r="N22" i="72"/>
  <c r="L82" i="75"/>
  <c r="N82" i="75" s="1"/>
  <c r="R94" i="75"/>
  <c r="J88" i="64"/>
  <c r="J99" i="64"/>
  <c r="V20" i="68"/>
  <c r="V24" i="68"/>
  <c r="V28" i="68"/>
  <c r="V43" i="68"/>
  <c r="Z44" i="68"/>
  <c r="V56" i="69"/>
  <c r="J76" i="69"/>
  <c r="V77" i="69"/>
  <c r="V91" i="69"/>
  <c r="L17" i="70"/>
  <c r="N17" i="70" s="1"/>
  <c r="N50" i="70"/>
  <c r="J81" i="71"/>
  <c r="N95" i="71"/>
  <c r="R47" i="73"/>
  <c r="R43" i="73"/>
  <c r="R39" i="73"/>
  <c r="R20" i="73"/>
  <c r="R59" i="73"/>
  <c r="R58" i="73"/>
  <c r="R34" i="73"/>
  <c r="R30" i="73"/>
  <c r="R61" i="73"/>
  <c r="R60" i="73"/>
  <c r="R49" i="73"/>
  <c r="R48" i="73"/>
  <c r="R44" i="73"/>
  <c r="R40" i="73"/>
  <c r="X12" i="73"/>
  <c r="R35" i="73"/>
  <c r="R31" i="73"/>
  <c r="R74" i="73"/>
  <c r="R28" i="73"/>
  <c r="R23" i="73"/>
  <c r="R57" i="73"/>
  <c r="R36" i="73"/>
  <c r="R29" i="73"/>
  <c r="R78" i="73"/>
  <c r="R64" i="73"/>
  <c r="R70" i="73"/>
  <c r="R67" i="73"/>
  <c r="R50" i="73"/>
  <c r="R21" i="73"/>
  <c r="R42" i="73"/>
  <c r="R71" i="73"/>
  <c r="R65" i="73"/>
  <c r="R54" i="73"/>
  <c r="R51" i="73"/>
  <c r="R37" i="73"/>
  <c r="R32" i="73"/>
  <c r="R68" i="73"/>
  <c r="R45" i="73"/>
  <c r="P25" i="73"/>
  <c r="R62" i="73"/>
  <c r="R52" i="73"/>
  <c r="R38" i="73"/>
  <c r="R22" i="73"/>
  <c r="R55" i="73"/>
  <c r="R87" i="77"/>
  <c r="R86" i="77"/>
  <c r="R79" i="77"/>
  <c r="R78" i="77"/>
  <c r="R42" i="77"/>
  <c r="R38" i="77"/>
  <c r="R88" i="77"/>
  <c r="R81" i="77"/>
  <c r="R80" i="77"/>
  <c r="R56" i="77"/>
  <c r="R52" i="77"/>
  <c r="R91" i="77"/>
  <c r="R43" i="77"/>
  <c r="R39" i="77"/>
  <c r="R35" i="77"/>
  <c r="R92" i="77"/>
  <c r="R82" i="77"/>
  <c r="R71" i="77"/>
  <c r="R70" i="77"/>
  <c r="R66" i="77"/>
  <c r="R62" i="77"/>
  <c r="R93" i="77"/>
  <c r="R57" i="77"/>
  <c r="R53" i="77"/>
  <c r="R73" i="77"/>
  <c r="R72" i="77"/>
  <c r="R49" i="77"/>
  <c r="R44" i="77"/>
  <c r="R40" i="77"/>
  <c r="R36" i="77"/>
  <c r="X12" i="77"/>
  <c r="Z12" i="77" s="1"/>
  <c r="R84" i="77"/>
  <c r="R83" i="77"/>
  <c r="R67" i="77"/>
  <c r="R63" i="77"/>
  <c r="R48" i="77"/>
  <c r="R75" i="77"/>
  <c r="R74" i="77"/>
  <c r="R58" i="77"/>
  <c r="R54" i="77"/>
  <c r="R50" i="77"/>
  <c r="P46" i="77"/>
  <c r="R46" i="77" s="1"/>
  <c r="R77" i="77"/>
  <c r="R76" i="77"/>
  <c r="R68" i="77"/>
  <c r="R64" i="77"/>
  <c r="R51" i="77"/>
  <c r="R69" i="77"/>
  <c r="R65" i="77"/>
  <c r="R41" i="77"/>
  <c r="R61" i="77"/>
  <c r="R55" i="77"/>
  <c r="R37" i="77"/>
  <c r="R59" i="77"/>
  <c r="R60" i="77"/>
  <c r="R85" i="77"/>
  <c r="R34" i="77"/>
  <c r="T102" i="77"/>
  <c r="P86" i="92"/>
  <c r="X16" i="92"/>
  <c r="F78" i="84"/>
  <c r="F66" i="84"/>
  <c r="F65" i="84"/>
  <c r="F54" i="84"/>
  <c r="F18" i="84"/>
  <c r="F17" i="84"/>
  <c r="F90" i="84"/>
  <c r="F68" i="84"/>
  <c r="F67" i="84"/>
  <c r="F56" i="84"/>
  <c r="F55" i="84"/>
  <c r="F32" i="84"/>
  <c r="F28" i="84"/>
  <c r="F79" i="84"/>
  <c r="F75" i="84"/>
  <c r="F74" i="84"/>
  <c r="F47" i="84"/>
  <c r="F46" i="84"/>
  <c r="F19" i="84"/>
  <c r="F82" i="84"/>
  <c r="F81" i="84"/>
  <c r="F70" i="84"/>
  <c r="F62" i="84"/>
  <c r="F61" i="84"/>
  <c r="F34" i="84"/>
  <c r="F30" i="84"/>
  <c r="F26" i="84"/>
  <c r="F25" i="84"/>
  <c r="F77" i="84"/>
  <c r="F53" i="84"/>
  <c r="F52" i="84"/>
  <c r="F24" i="84"/>
  <c r="F42" i="84"/>
  <c r="F83" i="84"/>
  <c r="F76" i="84"/>
  <c r="F59" i="84"/>
  <c r="F50" i="84"/>
  <c r="F40" i="84"/>
  <c r="F29" i="84"/>
  <c r="F51" i="84"/>
  <c r="F45" i="84"/>
  <c r="F35" i="84"/>
  <c r="D22" i="84"/>
  <c r="F22" i="84" s="1"/>
  <c r="F71" i="84"/>
  <c r="F38" i="84"/>
  <c r="F63" i="84"/>
  <c r="F57" i="84"/>
  <c r="F48" i="84"/>
  <c r="F27" i="84"/>
  <c r="L12" i="84"/>
  <c r="F84" i="84"/>
  <c r="F69" i="84"/>
  <c r="F60" i="84"/>
  <c r="F43" i="84"/>
  <c r="F41" i="84"/>
  <c r="F36" i="84"/>
  <c r="F72" i="84"/>
  <c r="F33" i="84"/>
  <c r="F64" i="84"/>
  <c r="F58" i="84"/>
  <c r="F73" i="84"/>
  <c r="F44" i="84"/>
  <c r="F37" i="84"/>
  <c r="F31" i="84"/>
  <c r="F20" i="84"/>
  <c r="F39" i="84"/>
  <c r="F49" i="84"/>
  <c r="F86" i="84"/>
  <c r="F80" i="84"/>
  <c r="J82" i="64"/>
  <c r="J86" i="64"/>
  <c r="V51" i="68"/>
  <c r="V58" i="68"/>
  <c r="V56" i="68"/>
  <c r="V54" i="68"/>
  <c r="V45" i="68"/>
  <c r="V14" i="68"/>
  <c r="V16" i="68"/>
  <c r="V18" i="68"/>
  <c r="V35" i="69"/>
  <c r="V37" i="69"/>
  <c r="V49" i="69"/>
  <c r="J53" i="69"/>
  <c r="J60" i="69"/>
  <c r="J65" i="69"/>
  <c r="V83" i="69"/>
  <c r="V93" i="69"/>
  <c r="F53" i="70"/>
  <c r="F52" i="70"/>
  <c r="F24" i="70"/>
  <c r="F64" i="70"/>
  <c r="F44" i="70"/>
  <c r="F40" i="70"/>
  <c r="F36" i="70"/>
  <c r="F35" i="70"/>
  <c r="D22" i="70"/>
  <c r="F55" i="70"/>
  <c r="F54" i="70"/>
  <c r="F66" i="70"/>
  <c r="F65" i="70"/>
  <c r="F18" i="70"/>
  <c r="F17" i="70"/>
  <c r="F57" i="70"/>
  <c r="F56" i="70"/>
  <c r="F45" i="70"/>
  <c r="F41" i="70"/>
  <c r="F37" i="70"/>
  <c r="F32" i="70"/>
  <c r="F28" i="70"/>
  <c r="F68" i="70"/>
  <c r="F59" i="70"/>
  <c r="F58" i="70"/>
  <c r="F47" i="70"/>
  <c r="F46" i="70"/>
  <c r="F19" i="70"/>
  <c r="F72" i="70"/>
  <c r="F42" i="70"/>
  <c r="F38" i="70"/>
  <c r="P12" i="71"/>
  <c r="Z12" i="72"/>
  <c r="V14" i="72"/>
  <c r="V29" i="72"/>
  <c r="V22" i="72"/>
  <c r="V16" i="72"/>
  <c r="T16" i="72"/>
  <c r="V26" i="72"/>
  <c r="Z28" i="73"/>
  <c r="X53" i="73"/>
  <c r="Z53" i="73" s="1"/>
  <c r="R69" i="73"/>
  <c r="F58" i="75"/>
  <c r="N90" i="75"/>
  <c r="J91" i="69"/>
  <c r="J81" i="69"/>
  <c r="J43" i="69"/>
  <c r="J39" i="69"/>
  <c r="J92" i="69"/>
  <c r="J82" i="69"/>
  <c r="J70" i="69"/>
  <c r="J66" i="69"/>
  <c r="J62" i="69"/>
  <c r="J84" i="69"/>
  <c r="J72" i="69"/>
  <c r="J44" i="69"/>
  <c r="J40" i="69"/>
  <c r="J36" i="69"/>
  <c r="J95" i="69"/>
  <c r="J85" i="69"/>
  <c r="J73" i="69"/>
  <c r="J67" i="69"/>
  <c r="J63" i="69"/>
  <c r="J86" i="69"/>
  <c r="J74" i="69"/>
  <c r="J58" i="69"/>
  <c r="J54" i="69"/>
  <c r="J99" i="69"/>
  <c r="J75" i="69"/>
  <c r="J45" i="69"/>
  <c r="J41" i="69"/>
  <c r="J37" i="69"/>
  <c r="H47" i="69"/>
  <c r="J55" i="69"/>
  <c r="J64" i="70"/>
  <c r="J54" i="70"/>
  <c r="J44" i="70"/>
  <c r="J40" i="70"/>
  <c r="J36" i="70"/>
  <c r="J65" i="70"/>
  <c r="J55" i="70"/>
  <c r="J31" i="70"/>
  <c r="J27" i="70"/>
  <c r="J17" i="70"/>
  <c r="J66" i="70"/>
  <c r="J56" i="70"/>
  <c r="J57" i="70"/>
  <c r="J45" i="70"/>
  <c r="J41" i="70"/>
  <c r="J37" i="70"/>
  <c r="J68" i="70"/>
  <c r="J58" i="70"/>
  <c r="J46" i="70"/>
  <c r="J32" i="70"/>
  <c r="J28" i="70"/>
  <c r="J59" i="70"/>
  <c r="J47" i="70"/>
  <c r="J19" i="70"/>
  <c r="J72" i="70"/>
  <c r="J60" i="70"/>
  <c r="J48" i="70"/>
  <c r="J42" i="70"/>
  <c r="J38" i="70"/>
  <c r="J61" i="70"/>
  <c r="J49" i="70"/>
  <c r="H22" i="70"/>
  <c r="N91" i="71"/>
  <c r="T76" i="80"/>
  <c r="J80" i="64"/>
  <c r="J94" i="64"/>
  <c r="Z12" i="68"/>
  <c r="V32" i="68"/>
  <c r="V36" i="68"/>
  <c r="L50" i="68"/>
  <c r="N50" i="68" s="1"/>
  <c r="V39" i="69"/>
  <c r="J47" i="69"/>
  <c r="J57" i="69"/>
  <c r="V70" i="69"/>
  <c r="X71" i="69"/>
  <c r="Z71" i="69" s="1"/>
  <c r="V73" i="69"/>
  <c r="N75" i="69"/>
  <c r="J78" i="69"/>
  <c r="L12" i="70"/>
  <c r="N12" i="70" s="1"/>
  <c r="J22" i="70"/>
  <c r="F26" i="70"/>
  <c r="F33" i="70"/>
  <c r="F49" i="70"/>
  <c r="F63" i="70"/>
  <c r="J91" i="71"/>
  <c r="N98" i="71"/>
  <c r="J100" i="71"/>
  <c r="L14" i="72"/>
  <c r="D16" i="72"/>
  <c r="X20" i="73"/>
  <c r="Z20" i="73" s="1"/>
  <c r="L48" i="74"/>
  <c r="N48" i="74" s="1"/>
  <c r="V41" i="68"/>
  <c r="V42" i="68"/>
  <c r="N53" i="68"/>
  <c r="V60" i="68"/>
  <c r="V75" i="69"/>
  <c r="V67" i="69"/>
  <c r="V63" i="69"/>
  <c r="V86" i="69"/>
  <c r="V74" i="69"/>
  <c r="V58" i="69"/>
  <c r="V54" i="69"/>
  <c r="V50" i="69"/>
  <c r="V88" i="69"/>
  <c r="V76" i="69"/>
  <c r="V68" i="69"/>
  <c r="V64" i="69"/>
  <c r="V60" i="69"/>
  <c r="T47" i="69"/>
  <c r="V87" i="69"/>
  <c r="V79" i="69"/>
  <c r="V59" i="69"/>
  <c r="V55" i="69"/>
  <c r="V51" i="69"/>
  <c r="V90" i="69"/>
  <c r="V78" i="69"/>
  <c r="V42" i="69"/>
  <c r="V38" i="69"/>
  <c r="V89" i="69"/>
  <c r="V81" i="69"/>
  <c r="V69" i="69"/>
  <c r="V65" i="69"/>
  <c r="V61" i="69"/>
  <c r="V53" i="69"/>
  <c r="J59" i="69"/>
  <c r="J69" i="69"/>
  <c r="X73" i="69"/>
  <c r="J89" i="69"/>
  <c r="Z17" i="70"/>
  <c r="J26" i="70"/>
  <c r="J33" i="70"/>
  <c r="J63" i="70"/>
  <c r="N59" i="73"/>
  <c r="L59" i="73"/>
  <c r="X70" i="75"/>
  <c r="Z70" i="75" s="1"/>
  <c r="Z90" i="75"/>
  <c r="X90" i="75"/>
  <c r="J54" i="64"/>
  <c r="J64" i="64"/>
  <c r="J106" i="64"/>
  <c r="J109" i="64"/>
  <c r="V22" i="68"/>
  <c r="V26" i="68"/>
  <c r="J30" i="68"/>
  <c r="J34" i="68"/>
  <c r="J38" i="68"/>
  <c r="J53" i="68"/>
  <c r="J58" i="68"/>
  <c r="V41" i="69"/>
  <c r="V47" i="69"/>
  <c r="N50" i="69"/>
  <c r="J52" i="69"/>
  <c r="Z60" i="69"/>
  <c r="J80" i="69"/>
  <c r="V84" i="69"/>
  <c r="V17" i="70"/>
  <c r="F51" i="70"/>
  <c r="N80" i="71"/>
  <c r="Z98" i="71"/>
  <c r="X18" i="72"/>
  <c r="R27" i="73"/>
  <c r="J59" i="73"/>
  <c r="D12" i="74"/>
  <c r="F101" i="75"/>
  <c r="F100" i="75"/>
  <c r="F103" i="75"/>
  <c r="F102" i="75"/>
  <c r="F95" i="75"/>
  <c r="F79" i="75"/>
  <c r="F78" i="75"/>
  <c r="F106" i="75"/>
  <c r="F97" i="75"/>
  <c r="F85" i="75"/>
  <c r="F84" i="75"/>
  <c r="F99" i="75"/>
  <c r="F98" i="75"/>
  <c r="F112" i="75"/>
  <c r="F108" i="75"/>
  <c r="F86" i="75"/>
  <c r="F82" i="75"/>
  <c r="F42" i="75"/>
  <c r="F38" i="75"/>
  <c r="F34" i="75"/>
  <c r="F90" i="75"/>
  <c r="F56" i="75"/>
  <c r="F52" i="75"/>
  <c r="L12" i="75"/>
  <c r="N12" i="75" s="1"/>
  <c r="F94" i="75"/>
  <c r="F87" i="75"/>
  <c r="F83" i="75"/>
  <c r="F71" i="75"/>
  <c r="F70" i="75"/>
  <c r="F43" i="75"/>
  <c r="F39" i="75"/>
  <c r="F35" i="75"/>
  <c r="F31" i="75"/>
  <c r="F30" i="75"/>
  <c r="F66" i="75"/>
  <c r="F62" i="75"/>
  <c r="F91" i="75"/>
  <c r="F73" i="75"/>
  <c r="F72" i="75"/>
  <c r="F57" i="75"/>
  <c r="F53" i="75"/>
  <c r="F88" i="75"/>
  <c r="F44" i="75"/>
  <c r="F40" i="75"/>
  <c r="F36" i="75"/>
  <c r="F32" i="75"/>
  <c r="F107" i="75"/>
  <c r="F80" i="75"/>
  <c r="F74" i="75"/>
  <c r="F67" i="75"/>
  <c r="F63" i="75"/>
  <c r="F76" i="75"/>
  <c r="F68" i="75"/>
  <c r="F64" i="75"/>
  <c r="F60" i="75"/>
  <c r="F59" i="75"/>
  <c r="D46" i="75"/>
  <c r="F92" i="75"/>
  <c r="F61" i="75"/>
  <c r="F55" i="75"/>
  <c r="F49" i="75"/>
  <c r="F96" i="75"/>
  <c r="F69" i="75"/>
  <c r="F46" i="75"/>
  <c r="F105" i="75"/>
  <c r="F65" i="75"/>
  <c r="F41" i="75"/>
  <c r="F81" i="75"/>
  <c r="F37" i="75"/>
  <c r="F89" i="75"/>
  <c r="F77" i="75"/>
  <c r="F50" i="75"/>
  <c r="F33" i="75"/>
  <c r="F93" i="75"/>
  <c r="F54" i="75"/>
  <c r="R34" i="75"/>
  <c r="Z49" i="75"/>
  <c r="Z100" i="75"/>
  <c r="Z64" i="76"/>
  <c r="X64" i="76"/>
  <c r="J79" i="64"/>
  <c r="V31" i="68"/>
  <c r="V35" i="68"/>
  <c r="V39" i="68"/>
  <c r="V36" i="69"/>
  <c r="J38" i="69"/>
  <c r="J50" i="69"/>
  <c r="V57" i="69"/>
  <c r="J64" i="69"/>
  <c r="V72" i="69"/>
  <c r="N77" i="69"/>
  <c r="X81" i="69"/>
  <c r="Z81" i="69" s="1"/>
  <c r="F25" i="70"/>
  <c r="F30" i="70"/>
  <c r="J51" i="70"/>
  <c r="D12" i="71"/>
  <c r="R107" i="75"/>
  <c r="R90" i="75"/>
  <c r="R89" i="75"/>
  <c r="R82" i="75"/>
  <c r="R81" i="75"/>
  <c r="R91" i="75"/>
  <c r="R84" i="75"/>
  <c r="R83" i="75"/>
  <c r="R102" i="75"/>
  <c r="R101" i="75"/>
  <c r="R78" i="75"/>
  <c r="R77" i="75"/>
  <c r="R103" i="75"/>
  <c r="R95" i="75"/>
  <c r="R66" i="75"/>
  <c r="R62" i="75"/>
  <c r="R100" i="75"/>
  <c r="R80" i="75"/>
  <c r="R49" i="75"/>
  <c r="R44" i="75"/>
  <c r="R40" i="75"/>
  <c r="R36" i="75"/>
  <c r="R32" i="75"/>
  <c r="R88" i="75"/>
  <c r="R67" i="75"/>
  <c r="R63" i="75"/>
  <c r="R48" i="75"/>
  <c r="R97" i="75"/>
  <c r="R76" i="75"/>
  <c r="R75" i="75"/>
  <c r="R59" i="75"/>
  <c r="R58" i="75"/>
  <c r="R54" i="75"/>
  <c r="R50" i="75"/>
  <c r="P46" i="75"/>
  <c r="R46" i="75" s="1"/>
  <c r="R41" i="75"/>
  <c r="R37" i="75"/>
  <c r="R33" i="75"/>
  <c r="R98" i="75"/>
  <c r="R92" i="75"/>
  <c r="R85" i="75"/>
  <c r="R68" i="75"/>
  <c r="R64" i="75"/>
  <c r="R60" i="75"/>
  <c r="R86" i="75"/>
  <c r="R55" i="75"/>
  <c r="R51" i="75"/>
  <c r="R96" i="75"/>
  <c r="R56" i="75"/>
  <c r="R52" i="75"/>
  <c r="X12" i="75"/>
  <c r="R74" i="75"/>
  <c r="R72" i="75"/>
  <c r="R70" i="75"/>
  <c r="R39" i="75"/>
  <c r="R79" i="75"/>
  <c r="R93" i="75"/>
  <c r="R35" i="75"/>
  <c r="R112" i="75"/>
  <c r="R87" i="75"/>
  <c r="R42" i="75"/>
  <c r="R31" i="75"/>
  <c r="R106" i="75"/>
  <c r="R99" i="75"/>
  <c r="R73" i="75"/>
  <c r="R38" i="75"/>
  <c r="R69" i="75"/>
  <c r="J14" i="64"/>
  <c r="J16" i="64"/>
  <c r="J18" i="64"/>
  <c r="J20" i="64"/>
  <c r="J24" i="64"/>
  <c r="J28" i="64"/>
  <c r="J46" i="64"/>
  <c r="J52" i="64"/>
  <c r="J62" i="64"/>
  <c r="J72" i="64"/>
  <c r="J78" i="64"/>
  <c r="J84" i="64"/>
  <c r="J92" i="64"/>
  <c r="J14" i="68"/>
  <c r="J16" i="68"/>
  <c r="J18" i="68"/>
  <c r="J20" i="68"/>
  <c r="J24" i="68"/>
  <c r="J28" i="68"/>
  <c r="V40" i="68"/>
  <c r="V46" i="68"/>
  <c r="V49" i="68"/>
  <c r="V50" i="68"/>
  <c r="J52" i="68"/>
  <c r="X53" i="68"/>
  <c r="V43" i="69"/>
  <c r="X50" i="69"/>
  <c r="Z50" i="69" s="1"/>
  <c r="J56" i="69"/>
  <c r="J77" i="69"/>
  <c r="Z92" i="69"/>
  <c r="J18" i="70"/>
  <c r="J30" i="70"/>
  <c r="J35" i="70"/>
  <c r="J53" i="70"/>
  <c r="F60" i="70"/>
  <c r="L62" i="70"/>
  <c r="N62" i="70" s="1"/>
  <c r="X65" i="70"/>
  <c r="J109" i="71"/>
  <c r="J89" i="71"/>
  <c r="J79" i="71"/>
  <c r="J61" i="71"/>
  <c r="J104" i="71"/>
  <c r="J103" i="71"/>
  <c r="J87" i="71"/>
  <c r="J75" i="71"/>
  <c r="J59" i="71"/>
  <c r="J55" i="71"/>
  <c r="J51" i="71"/>
  <c r="J49" i="71"/>
  <c r="J47" i="71"/>
  <c r="J107" i="71"/>
  <c r="J101" i="71"/>
  <c r="J96" i="71"/>
  <c r="J82" i="71"/>
  <c r="J67" i="71"/>
  <c r="J77" i="71"/>
  <c r="J60" i="71"/>
  <c r="J88" i="71"/>
  <c r="J83" i="71"/>
  <c r="J71" i="71"/>
  <c r="J64" i="71"/>
  <c r="J57" i="71"/>
  <c r="J54" i="71"/>
  <c r="J44" i="71"/>
  <c r="J40" i="71"/>
  <c r="J36" i="71"/>
  <c r="J93" i="71"/>
  <c r="J78" i="71"/>
  <c r="J97" i="71"/>
  <c r="J84" i="71"/>
  <c r="J72" i="71"/>
  <c r="J32" i="71"/>
  <c r="J85" i="71"/>
  <c r="J73" i="71"/>
  <c r="J68" i="71"/>
  <c r="J65" i="71"/>
  <c r="J58" i="71"/>
  <c r="J52" i="71"/>
  <c r="J45" i="71"/>
  <c r="J41" i="71"/>
  <c r="J37" i="71"/>
  <c r="J33" i="71"/>
  <c r="J62" i="71"/>
  <c r="J98" i="71"/>
  <c r="J94" i="71"/>
  <c r="J90" i="71"/>
  <c r="J86" i="71"/>
  <c r="J80" i="71"/>
  <c r="J74" i="71"/>
  <c r="J50" i="71"/>
  <c r="Z76" i="71"/>
  <c r="J92" i="71"/>
  <c r="V18" i="72"/>
  <c r="N38" i="73"/>
  <c r="R56" i="73"/>
  <c r="R72" i="73"/>
  <c r="R30" i="75"/>
  <c r="R65" i="75"/>
  <c r="R71" i="75"/>
  <c r="V56" i="71"/>
  <c r="V70" i="71"/>
  <c r="P22" i="72"/>
  <c r="V78" i="73"/>
  <c r="V68" i="73"/>
  <c r="V56" i="73"/>
  <c r="V58" i="73"/>
  <c r="V34" i="73"/>
  <c r="V30" i="73"/>
  <c r="V69" i="73"/>
  <c r="V61" i="73"/>
  <c r="V49" i="73"/>
  <c r="V21" i="73"/>
  <c r="V71" i="73"/>
  <c r="V63" i="73"/>
  <c r="V51" i="73"/>
  <c r="V35" i="73"/>
  <c r="V31" i="73"/>
  <c r="V70" i="73"/>
  <c r="V62" i="73"/>
  <c r="V50" i="73"/>
  <c r="V66" i="73"/>
  <c r="V54" i="73"/>
  <c r="V46" i="73"/>
  <c r="V42" i="73"/>
  <c r="V38" i="73"/>
  <c r="T25" i="73"/>
  <c r="H76" i="73"/>
  <c r="J76" i="73" s="1"/>
  <c r="J25" i="73"/>
  <c r="V28" i="73"/>
  <c r="V33" i="73"/>
  <c r="V48" i="73"/>
  <c r="V53" i="73"/>
  <c r="Z48" i="74"/>
  <c r="X30" i="75"/>
  <c r="Z30" i="75" s="1"/>
  <c r="L48" i="75"/>
  <c r="N48" i="75" s="1"/>
  <c r="J48" i="75"/>
  <c r="V90" i="75"/>
  <c r="V26" i="70"/>
  <c r="V30" i="70"/>
  <c r="V34" i="70"/>
  <c r="V54" i="70"/>
  <c r="V53" i="71"/>
  <c r="V75" i="71"/>
  <c r="V76" i="71"/>
  <c r="V81" i="71"/>
  <c r="V82" i="71"/>
  <c r="V87" i="71"/>
  <c r="D103" i="71"/>
  <c r="L103" i="71" s="1"/>
  <c r="N103" i="71" s="1"/>
  <c r="J14" i="72"/>
  <c r="L20" i="72"/>
  <c r="J22" i="72"/>
  <c r="Z12" i="73"/>
  <c r="V22" i="73"/>
  <c r="V27" i="73"/>
  <c r="V52" i="73"/>
  <c r="V55" i="73"/>
  <c r="V59" i="73"/>
  <c r="Z68" i="74"/>
  <c r="N72" i="74"/>
  <c r="V40" i="75"/>
  <c r="Z78" i="75"/>
  <c r="X78" i="75"/>
  <c r="Z84" i="75"/>
  <c r="N26" i="76"/>
  <c r="H28" i="76"/>
  <c r="T22" i="70"/>
  <c r="V35" i="70"/>
  <c r="V39" i="70"/>
  <c r="V43" i="70"/>
  <c r="V51" i="70"/>
  <c r="V63" i="70"/>
  <c r="Z49" i="71"/>
  <c r="V59" i="71"/>
  <c r="V66" i="71"/>
  <c r="Z82" i="71"/>
  <c r="V68" i="74"/>
  <c r="L74" i="74"/>
  <c r="N74" i="74" s="1"/>
  <c r="V78" i="75"/>
  <c r="Z80" i="75"/>
  <c r="V20" i="70"/>
  <c r="V24" i="70"/>
  <c r="V52" i="70"/>
  <c r="V99" i="71"/>
  <c r="V83" i="71"/>
  <c r="V71" i="71"/>
  <c r="V67" i="71"/>
  <c r="V63" i="71"/>
  <c r="V104" i="71"/>
  <c r="V109" i="71"/>
  <c r="V91" i="71"/>
  <c r="V79" i="71"/>
  <c r="V34" i="71"/>
  <c r="V38" i="71"/>
  <c r="V42" i="71"/>
  <c r="V49" i="71"/>
  <c r="V50" i="71"/>
  <c r="V69" i="71"/>
  <c r="X74" i="71"/>
  <c r="Z74" i="71" s="1"/>
  <c r="X86" i="71"/>
  <c r="Z86" i="71" s="1"/>
  <c r="V95" i="71"/>
  <c r="X98" i="71"/>
  <c r="V105" i="71"/>
  <c r="X16" i="72"/>
  <c r="V40" i="73"/>
  <c r="V45" i="73"/>
  <c r="V72" i="74"/>
  <c r="Z72" i="74"/>
  <c r="V44" i="75"/>
  <c r="V48" i="75"/>
  <c r="V62" i="75"/>
  <c r="V66" i="75"/>
  <c r="V91" i="75"/>
  <c r="V25" i="70"/>
  <c r="V29" i="70"/>
  <c r="V33" i="70"/>
  <c r="V49" i="70"/>
  <c r="V61" i="70"/>
  <c r="T47" i="71"/>
  <c r="V90" i="71"/>
  <c r="V94" i="71"/>
  <c r="L18" i="72"/>
  <c r="V25" i="73"/>
  <c r="V32" i="73"/>
  <c r="V37" i="73"/>
  <c r="V47" i="73"/>
  <c r="Z65" i="73"/>
  <c r="X65" i="73"/>
  <c r="X72" i="74"/>
  <c r="J74" i="74"/>
  <c r="N46" i="79"/>
  <c r="V62" i="71"/>
  <c r="V65" i="71"/>
  <c r="V80" i="71"/>
  <c r="N12" i="72"/>
  <c r="J29" i="72"/>
  <c r="J26" i="72"/>
  <c r="V65" i="73"/>
  <c r="P12" i="74"/>
  <c r="X13" i="74"/>
  <c r="Z13" i="74" s="1"/>
  <c r="V108" i="75"/>
  <c r="V96" i="75"/>
  <c r="V84" i="75"/>
  <c r="V98" i="75"/>
  <c r="V86" i="75"/>
  <c r="V74" i="75"/>
  <c r="V112" i="75"/>
  <c r="V88" i="75"/>
  <c r="V80" i="75"/>
  <c r="V106" i="75"/>
  <c r="V100" i="75"/>
  <c r="V94" i="75"/>
  <c r="V79" i="75"/>
  <c r="V73" i="75"/>
  <c r="V57" i="75"/>
  <c r="V53" i="75"/>
  <c r="V49" i="75"/>
  <c r="V76" i="75"/>
  <c r="V67" i="75"/>
  <c r="V63" i="75"/>
  <c r="V59" i="75"/>
  <c r="T46" i="75"/>
  <c r="V103" i="75"/>
  <c r="V97" i="75"/>
  <c r="V75" i="75"/>
  <c r="V58" i="75"/>
  <c r="V54" i="75"/>
  <c r="V50" i="75"/>
  <c r="V107" i="75"/>
  <c r="V41" i="75"/>
  <c r="V37" i="75"/>
  <c r="V33" i="75"/>
  <c r="V105" i="75"/>
  <c r="V95" i="75"/>
  <c r="V92" i="75"/>
  <c r="V85" i="75"/>
  <c r="V81" i="75"/>
  <c r="V68" i="75"/>
  <c r="V64" i="75"/>
  <c r="V60" i="75"/>
  <c r="V101" i="75"/>
  <c r="V93" i="75"/>
  <c r="V82" i="75"/>
  <c r="V55" i="75"/>
  <c r="V51" i="75"/>
  <c r="V89" i="75"/>
  <c r="V77" i="75"/>
  <c r="V70" i="75"/>
  <c r="V42" i="75"/>
  <c r="V38" i="75"/>
  <c r="V34" i="75"/>
  <c r="V30" i="75"/>
  <c r="V99" i="75"/>
  <c r="V87" i="75"/>
  <c r="V71" i="75"/>
  <c r="V43" i="75"/>
  <c r="V39" i="75"/>
  <c r="V35" i="75"/>
  <c r="V31" i="75"/>
  <c r="V52" i="75"/>
  <c r="V83" i="75"/>
  <c r="D105" i="75"/>
  <c r="L105" i="75" s="1"/>
  <c r="N105" i="75" s="1"/>
  <c r="L107" i="75"/>
  <c r="N107" i="75" s="1"/>
  <c r="N68" i="76"/>
  <c r="L68" i="76"/>
  <c r="X49" i="69"/>
  <c r="Z49" i="69" s="1"/>
  <c r="V19" i="70"/>
  <c r="V47" i="70"/>
  <c r="X50" i="70"/>
  <c r="Z50" i="70" s="1"/>
  <c r="L56" i="70"/>
  <c r="N56" i="70" s="1"/>
  <c r="V59" i="70"/>
  <c r="X62" i="70"/>
  <c r="Z62" i="70" s="1"/>
  <c r="V33" i="71"/>
  <c r="V37" i="71"/>
  <c r="V41" i="71"/>
  <c r="V45" i="71"/>
  <c r="V58" i="71"/>
  <c r="V68" i="71"/>
  <c r="V73" i="71"/>
  <c r="V74" i="71"/>
  <c r="V85" i="71"/>
  <c r="V86" i="71"/>
  <c r="V97" i="71"/>
  <c r="V98" i="71"/>
  <c r="L12" i="72"/>
  <c r="Z12" i="75"/>
  <c r="Z93" i="75"/>
  <c r="P12" i="76"/>
  <c r="X13" i="76"/>
  <c r="Z13" i="76" s="1"/>
  <c r="F58" i="79"/>
  <c r="F56" i="79"/>
  <c r="F47" i="79"/>
  <c r="F46" i="79"/>
  <c r="F21" i="79"/>
  <c r="F59" i="79"/>
  <c r="F31" i="79"/>
  <c r="F27" i="79"/>
  <c r="F26" i="79"/>
  <c r="F53" i="79"/>
  <c r="F48" i="79"/>
  <c r="F44" i="79"/>
  <c r="F25" i="79"/>
  <c r="F23" i="79"/>
  <c r="F18" i="79"/>
  <c r="F17" i="79"/>
  <c r="F41" i="79"/>
  <c r="F37" i="79"/>
  <c r="D23" i="79"/>
  <c r="F54" i="79"/>
  <c r="F49" i="79"/>
  <c r="F32" i="79"/>
  <c r="F28" i="79"/>
  <c r="F19" i="79"/>
  <c r="F45" i="79"/>
  <c r="F42" i="79"/>
  <c r="F38" i="79"/>
  <c r="L12" i="79"/>
  <c r="F50" i="79"/>
  <c r="F33" i="79"/>
  <c r="F29" i="79"/>
  <c r="F39" i="79"/>
  <c r="F35" i="79"/>
  <c r="F40" i="79"/>
  <c r="F51" i="79"/>
  <c r="F43" i="79"/>
  <c r="F36" i="79"/>
  <c r="F57" i="79"/>
  <c r="F52" i="79"/>
  <c r="F34" i="79"/>
  <c r="F20" i="79"/>
  <c r="V28" i="70"/>
  <c r="V32" i="70"/>
  <c r="V48" i="70"/>
  <c r="V89" i="71"/>
  <c r="R22" i="72"/>
  <c r="R20" i="72"/>
  <c r="R18" i="72"/>
  <c r="R16" i="72"/>
  <c r="R14" i="72"/>
  <c r="R24" i="72"/>
  <c r="J18" i="72"/>
  <c r="J24" i="72"/>
  <c r="R26" i="72"/>
  <c r="L27" i="73"/>
  <c r="N27" i="73" s="1"/>
  <c r="V39" i="73"/>
  <c r="V44" i="73"/>
  <c r="L55" i="73"/>
  <c r="V64" i="73"/>
  <c r="V67" i="73"/>
  <c r="T45" i="74"/>
  <c r="Z32" i="74"/>
  <c r="H110" i="75"/>
  <c r="J46" i="75"/>
  <c r="N59" i="75"/>
  <c r="N76" i="75"/>
  <c r="N102" i="75"/>
  <c r="L102" i="75"/>
  <c r="X31" i="76"/>
  <c r="Z31" i="76"/>
  <c r="V31" i="76"/>
  <c r="Z60" i="76"/>
  <c r="Z62" i="76"/>
  <c r="X62" i="76"/>
  <c r="J22" i="73"/>
  <c r="J50" i="73"/>
  <c r="J62" i="73"/>
  <c r="J70" i="73"/>
  <c r="J48" i="74"/>
  <c r="V50" i="74"/>
  <c r="V54" i="74"/>
  <c r="J58" i="74"/>
  <c r="J62" i="74"/>
  <c r="J66" i="74"/>
  <c r="V70" i="74"/>
  <c r="J51" i="75"/>
  <c r="J55" i="75"/>
  <c r="J77" i="75"/>
  <c r="J82" i="75"/>
  <c r="J89" i="75"/>
  <c r="Z102" i="75"/>
  <c r="N30" i="76"/>
  <c r="V43" i="76"/>
  <c r="Z68" i="76"/>
  <c r="X68" i="76"/>
  <c r="V75" i="76"/>
  <c r="J44" i="77"/>
  <c r="J54" i="77"/>
  <c r="J64" i="77"/>
  <c r="J68" i="77"/>
  <c r="X77" i="77"/>
  <c r="Z77" i="77" s="1"/>
  <c r="Z79" i="77"/>
  <c r="Z81" i="77"/>
  <c r="N26" i="79"/>
  <c r="X53" i="79"/>
  <c r="Z51" i="80"/>
  <c r="Z82" i="75"/>
  <c r="Z30" i="76"/>
  <c r="N56" i="76"/>
  <c r="Z87" i="77"/>
  <c r="R66" i="80"/>
  <c r="R65" i="80"/>
  <c r="R78" i="80"/>
  <c r="R57" i="80"/>
  <c r="R56" i="80"/>
  <c r="R45" i="80"/>
  <c r="R44" i="80"/>
  <c r="R40" i="80"/>
  <c r="R36" i="80"/>
  <c r="R17" i="80"/>
  <c r="R67" i="80"/>
  <c r="R71" i="80"/>
  <c r="R70" i="80"/>
  <c r="R63" i="80"/>
  <c r="R62" i="80"/>
  <c r="R51" i="80"/>
  <c r="R50" i="80"/>
  <c r="R42" i="80"/>
  <c r="R38" i="80"/>
  <c r="X12" i="80"/>
  <c r="Z12" i="80" s="1"/>
  <c r="R24" i="80"/>
  <c r="R64" i="80"/>
  <c r="R60" i="80"/>
  <c r="R29" i="80"/>
  <c r="R68" i="80"/>
  <c r="R61" i="80"/>
  <c r="R46" i="80"/>
  <c r="R47" i="80"/>
  <c r="R33" i="80"/>
  <c r="R26" i="80"/>
  <c r="R19" i="80"/>
  <c r="R72" i="80"/>
  <c r="R69" i="80"/>
  <c r="R52" i="80"/>
  <c r="R37" i="80"/>
  <c r="R34" i="80"/>
  <c r="R53" i="80"/>
  <c r="R43" i="80"/>
  <c r="R30" i="80"/>
  <c r="R48" i="80"/>
  <c r="R27" i="80"/>
  <c r="R58" i="80"/>
  <c r="R49" i="80"/>
  <c r="R35" i="80"/>
  <c r="R20" i="80"/>
  <c r="R59" i="80"/>
  <c r="R55" i="80"/>
  <c r="Z17" i="80"/>
  <c r="R28" i="80"/>
  <c r="R32" i="80"/>
  <c r="N52" i="81"/>
  <c r="J52" i="81"/>
  <c r="J34" i="74"/>
  <c r="J38" i="74"/>
  <c r="J42" i="74"/>
  <c r="V62" i="74"/>
  <c r="V66" i="74"/>
  <c r="J72" i="74"/>
  <c r="L13" i="75"/>
  <c r="N13" i="75" s="1"/>
  <c r="J49" i="75"/>
  <c r="J63" i="75"/>
  <c r="J67" i="75"/>
  <c r="Z86" i="75"/>
  <c r="J103" i="75"/>
  <c r="Z52" i="76"/>
  <c r="N58" i="76"/>
  <c r="Z60" i="77"/>
  <c r="X48" i="79"/>
  <c r="X55" i="80"/>
  <c r="Z55" i="80" s="1"/>
  <c r="N69" i="80"/>
  <c r="L69" i="80"/>
  <c r="L55" i="84"/>
  <c r="N55" i="84" s="1"/>
  <c r="R35" i="85"/>
  <c r="J51" i="74"/>
  <c r="J55" i="74"/>
  <c r="J71" i="74"/>
  <c r="V75" i="74"/>
  <c r="V77" i="74"/>
  <c r="J32" i="75"/>
  <c r="J36" i="75"/>
  <c r="J40" i="75"/>
  <c r="J44" i="75"/>
  <c r="J74" i="75"/>
  <c r="J84" i="75"/>
  <c r="Z98" i="75"/>
  <c r="N100" i="75"/>
  <c r="P105" i="75"/>
  <c r="X105" i="75" s="1"/>
  <c r="Z105" i="75" s="1"/>
  <c r="X107" i="75"/>
  <c r="Z107" i="75" s="1"/>
  <c r="J110" i="75"/>
  <c r="D12" i="76"/>
  <c r="L91" i="77"/>
  <c r="D90" i="77"/>
  <c r="L90" i="77" s="1"/>
  <c r="N90" i="77" s="1"/>
  <c r="Z48" i="79"/>
  <c r="Z24" i="80"/>
  <c r="R41" i="80"/>
  <c r="R74" i="80"/>
  <c r="R100" i="85"/>
  <c r="R88" i="85"/>
  <c r="R77" i="85"/>
  <c r="R76" i="85"/>
  <c r="R60" i="85"/>
  <c r="R56" i="85"/>
  <c r="R79" i="85"/>
  <c r="R78" i="85"/>
  <c r="R38" i="85"/>
  <c r="R34" i="85"/>
  <c r="R30" i="85"/>
  <c r="R110" i="85"/>
  <c r="R109" i="85"/>
  <c r="R101" i="85"/>
  <c r="R90" i="85"/>
  <c r="R89" i="85"/>
  <c r="R61" i="85"/>
  <c r="R57" i="85"/>
  <c r="R97" i="85"/>
  <c r="R96" i="85"/>
  <c r="R81" i="85"/>
  <c r="R80" i="85"/>
  <c r="R69" i="85"/>
  <c r="R68" i="85"/>
  <c r="R53" i="85"/>
  <c r="R52" i="85"/>
  <c r="R48" i="85"/>
  <c r="R111" i="85"/>
  <c r="R91" i="85"/>
  <c r="R44" i="85"/>
  <c r="R113" i="85"/>
  <c r="R103" i="85"/>
  <c r="R102" i="85"/>
  <c r="R98" i="85"/>
  <c r="R83" i="85"/>
  <c r="R82" i="85"/>
  <c r="R71" i="85"/>
  <c r="R70" i="85"/>
  <c r="R62" i="85"/>
  <c r="R58" i="85"/>
  <c r="R54" i="85"/>
  <c r="R49" i="85"/>
  <c r="R45" i="85"/>
  <c r="P41" i="85"/>
  <c r="R104" i="85"/>
  <c r="R92" i="85"/>
  <c r="R85" i="85"/>
  <c r="R84" i="85"/>
  <c r="R73" i="85"/>
  <c r="R72" i="85"/>
  <c r="R36" i="85"/>
  <c r="R32" i="85"/>
  <c r="R28" i="85"/>
  <c r="R117" i="85"/>
  <c r="R99" i="85"/>
  <c r="R64" i="85"/>
  <c r="R63" i="85"/>
  <c r="R59" i="85"/>
  <c r="R55" i="85"/>
  <c r="R87" i="85"/>
  <c r="R95" i="85"/>
  <c r="R50" i="85"/>
  <c r="R46" i="85"/>
  <c r="R41" i="85"/>
  <c r="R33" i="85"/>
  <c r="R31" i="85"/>
  <c r="X12" i="85"/>
  <c r="R75" i="85"/>
  <c r="R27" i="85"/>
  <c r="R93" i="85"/>
  <c r="R107" i="85"/>
  <c r="R67" i="85"/>
  <c r="R29" i="85"/>
  <c r="R65" i="85"/>
  <c r="R51" i="85"/>
  <c r="R47" i="85"/>
  <c r="R105" i="85"/>
  <c r="R94" i="85"/>
  <c r="R86" i="85"/>
  <c r="R43" i="85"/>
  <c r="R39" i="85"/>
  <c r="R108" i="85"/>
  <c r="R106" i="85"/>
  <c r="R74" i="85"/>
  <c r="J53" i="75"/>
  <c r="J57" i="75"/>
  <c r="J73" i="75"/>
  <c r="J79" i="75"/>
  <c r="Z56" i="76"/>
  <c r="N60" i="76"/>
  <c r="J97" i="77"/>
  <c r="J85" i="77"/>
  <c r="J75" i="77"/>
  <c r="H46" i="77"/>
  <c r="J41" i="77"/>
  <c r="J37" i="77"/>
  <c r="J77" i="77"/>
  <c r="J59" i="77"/>
  <c r="J55" i="77"/>
  <c r="J51" i="77"/>
  <c r="J86" i="77"/>
  <c r="J78" i="77"/>
  <c r="J60" i="77"/>
  <c r="J42" i="77"/>
  <c r="J38" i="77"/>
  <c r="J87" i="77"/>
  <c r="J79" i="77"/>
  <c r="J69" i="77"/>
  <c r="J65" i="77"/>
  <c r="J61" i="77"/>
  <c r="J88" i="77"/>
  <c r="J80" i="77"/>
  <c r="J56" i="77"/>
  <c r="J52" i="77"/>
  <c r="J34" i="77"/>
  <c r="J81" i="77"/>
  <c r="J43" i="77"/>
  <c r="J39" i="77"/>
  <c r="J35" i="77"/>
  <c r="J91" i="77"/>
  <c r="J90" i="77"/>
  <c r="J82" i="77"/>
  <c r="J70" i="77"/>
  <c r="J66" i="77"/>
  <c r="J62" i="77"/>
  <c r="J92" i="77"/>
  <c r="J71" i="77"/>
  <c r="J57" i="77"/>
  <c r="J53" i="77"/>
  <c r="J83" i="77"/>
  <c r="J73" i="77"/>
  <c r="J67" i="77"/>
  <c r="J63" i="77"/>
  <c r="J49" i="77"/>
  <c r="J93" i="77"/>
  <c r="R18" i="80"/>
  <c r="X63" i="80"/>
  <c r="Z63" i="80" s="1"/>
  <c r="J69" i="74"/>
  <c r="J83" i="74"/>
  <c r="J86" i="74"/>
  <c r="J102" i="75"/>
  <c r="J88" i="75"/>
  <c r="J80" i="75"/>
  <c r="J107" i="75"/>
  <c r="J112" i="75"/>
  <c r="J98" i="75"/>
  <c r="J92" i="75"/>
  <c r="J86" i="75"/>
  <c r="J100" i="75"/>
  <c r="J94" i="75"/>
  <c r="X13" i="75"/>
  <c r="Z13" i="75" s="1"/>
  <c r="J62" i="75"/>
  <c r="J66" i="75"/>
  <c r="J72" i="75"/>
  <c r="Z76" i="75"/>
  <c r="Z58" i="76"/>
  <c r="L62" i="76"/>
  <c r="N62" i="76" s="1"/>
  <c r="J46" i="77"/>
  <c r="D12" i="80"/>
  <c r="L13" i="80"/>
  <c r="R39" i="80"/>
  <c r="J28" i="73"/>
  <c r="J42" i="73"/>
  <c r="J46" i="73"/>
  <c r="J54" i="73"/>
  <c r="J66" i="73"/>
  <c r="J74" i="73"/>
  <c r="J32" i="74"/>
  <c r="V34" i="74"/>
  <c r="V38" i="74"/>
  <c r="V42" i="74"/>
  <c r="J50" i="74"/>
  <c r="J54" i="74"/>
  <c r="J31" i="75"/>
  <c r="J35" i="75"/>
  <c r="J39" i="75"/>
  <c r="J43" i="75"/>
  <c r="J71" i="75"/>
  <c r="J83" i="75"/>
  <c r="J87" i="75"/>
  <c r="J99" i="75"/>
  <c r="J106" i="75"/>
  <c r="V80" i="76"/>
  <c r="V72" i="76"/>
  <c r="V64" i="76"/>
  <c r="V52" i="76"/>
  <c r="V66" i="76"/>
  <c r="V54" i="76"/>
  <c r="V38" i="76"/>
  <c r="V34" i="76"/>
  <c r="V73" i="76"/>
  <c r="V65" i="76"/>
  <c r="V68" i="76"/>
  <c r="V56" i="76"/>
  <c r="V48" i="76"/>
  <c r="V44" i="76"/>
  <c r="V74" i="76"/>
  <c r="V58" i="76"/>
  <c r="V69" i="76"/>
  <c r="V57" i="76"/>
  <c r="V49" i="76"/>
  <c r="V45" i="76"/>
  <c r="V41" i="76"/>
  <c r="T28" i="76"/>
  <c r="V76" i="76"/>
  <c r="V60" i="76"/>
  <c r="V40" i="76"/>
  <c r="V36" i="76"/>
  <c r="V32" i="76"/>
  <c r="V70" i="76"/>
  <c r="V62" i="76"/>
  <c r="V50" i="76"/>
  <c r="V46" i="76"/>
  <c r="V42" i="76"/>
  <c r="X60" i="76"/>
  <c r="N66" i="76"/>
  <c r="V81" i="76"/>
  <c r="N71" i="77"/>
  <c r="R54" i="80"/>
  <c r="R31" i="80"/>
  <c r="J61" i="75"/>
  <c r="J65" i="75"/>
  <c r="J69" i="75"/>
  <c r="J90" i="75"/>
  <c r="J96" i="75"/>
  <c r="Z66" i="76"/>
  <c r="N49" i="77"/>
  <c r="Z71" i="77"/>
  <c r="L73" i="77"/>
  <c r="L75" i="77"/>
  <c r="N75" i="77" s="1"/>
  <c r="N77" i="77"/>
  <c r="N79" i="77"/>
  <c r="P12" i="79"/>
  <c r="X13" i="79"/>
  <c r="P22" i="80"/>
  <c r="R25" i="80"/>
  <c r="N66" i="80"/>
  <c r="D12" i="81"/>
  <c r="L13" i="81"/>
  <c r="J56" i="76"/>
  <c r="J68" i="76"/>
  <c r="J74" i="76"/>
  <c r="V51" i="77"/>
  <c r="V55" i="77"/>
  <c r="V59" i="77"/>
  <c r="V79" i="77"/>
  <c r="V87" i="77"/>
  <c r="V18" i="79"/>
  <c r="J27" i="80"/>
  <c r="V45" i="80"/>
  <c r="J48" i="80"/>
  <c r="J62" i="80"/>
  <c r="J66" i="80"/>
  <c r="J78" i="80"/>
  <c r="H76" i="81"/>
  <c r="N25" i="84"/>
  <c r="L25" i="84"/>
  <c r="N67" i="84"/>
  <c r="J44" i="76"/>
  <c r="J48" i="76"/>
  <c r="J54" i="76"/>
  <c r="J66" i="76"/>
  <c r="V37" i="77"/>
  <c r="V41" i="77"/>
  <c r="V77" i="77"/>
  <c r="V85" i="77"/>
  <c r="V97" i="77"/>
  <c r="V99" i="77"/>
  <c r="V102" i="77"/>
  <c r="J52" i="79"/>
  <c r="J44" i="79"/>
  <c r="J59" i="79"/>
  <c r="J48" i="79"/>
  <c r="J42" i="79"/>
  <c r="J20" i="79"/>
  <c r="T23" i="79"/>
  <c r="V36" i="79"/>
  <c r="V40" i="79"/>
  <c r="V47" i="79"/>
  <c r="V53" i="79"/>
  <c r="J57" i="79"/>
  <c r="J63" i="79"/>
  <c r="V17" i="80"/>
  <c r="V22" i="80"/>
  <c r="V38" i="80"/>
  <c r="V41" i="80"/>
  <c r="J52" i="80"/>
  <c r="V54" i="80"/>
  <c r="V55" i="80"/>
  <c r="J57" i="80"/>
  <c r="V63" i="80"/>
  <c r="J65" i="80"/>
  <c r="J69" i="80"/>
  <c r="N25" i="81"/>
  <c r="L35" i="81"/>
  <c r="N35" i="81" s="1"/>
  <c r="R37" i="81"/>
  <c r="R41" i="81"/>
  <c r="Z52" i="81"/>
  <c r="L61" i="84"/>
  <c r="N61" i="84" s="1"/>
  <c r="J53" i="76"/>
  <c r="J65" i="76"/>
  <c r="J73" i="76"/>
  <c r="V50" i="77"/>
  <c r="V54" i="77"/>
  <c r="V58" i="77"/>
  <c r="V74" i="77"/>
  <c r="V17" i="79"/>
  <c r="V21" i="79"/>
  <c r="V23" i="79"/>
  <c r="V25" i="79"/>
  <c r="V43" i="79"/>
  <c r="J50" i="79"/>
  <c r="V52" i="79"/>
  <c r="J56" i="79"/>
  <c r="V65" i="79"/>
  <c r="J19" i="80"/>
  <c r="V20" i="80"/>
  <c r="J26" i="80"/>
  <c r="J33" i="80"/>
  <c r="V35" i="80"/>
  <c r="J40" i="80"/>
  <c r="Z49" i="80"/>
  <c r="N61" i="80"/>
  <c r="V62" i="80"/>
  <c r="V74" i="80"/>
  <c r="N69" i="81"/>
  <c r="J64" i="76"/>
  <c r="J81" i="76"/>
  <c r="V75" i="77"/>
  <c r="V83" i="77"/>
  <c r="V34" i="79"/>
  <c r="J46" i="80"/>
  <c r="V48" i="80"/>
  <c r="V49" i="80"/>
  <c r="J61" i="80"/>
  <c r="V66" i="80"/>
  <c r="J68" i="80"/>
  <c r="X69" i="80"/>
  <c r="L24" i="81"/>
  <c r="N24" i="81" s="1"/>
  <c r="Z35" i="81"/>
  <c r="N58" i="81"/>
  <c r="J71" i="81"/>
  <c r="X74" i="81"/>
  <c r="J43" i="85"/>
  <c r="R16" i="86"/>
  <c r="V84" i="77"/>
  <c r="V35" i="79"/>
  <c r="V39" i="79"/>
  <c r="J29" i="80"/>
  <c r="V43" i="80"/>
  <c r="J51" i="80"/>
  <c r="V65" i="80"/>
  <c r="X58" i="81"/>
  <c r="L71" i="81"/>
  <c r="X59" i="84"/>
  <c r="Z59" i="84" s="1"/>
  <c r="J62" i="76"/>
  <c r="J72" i="76"/>
  <c r="V49" i="77"/>
  <c r="V53" i="77"/>
  <c r="V57" i="77"/>
  <c r="V73" i="77"/>
  <c r="P90" i="77"/>
  <c r="X90" i="77" s="1"/>
  <c r="Z90" i="77" s="1"/>
  <c r="V93" i="77"/>
  <c r="V95" i="77"/>
  <c r="V58" i="79"/>
  <c r="V48" i="79"/>
  <c r="V50" i="79"/>
  <c r="V20" i="79"/>
  <c r="V46" i="79"/>
  <c r="V57" i="79"/>
  <c r="J72" i="80"/>
  <c r="J64" i="80"/>
  <c r="J53" i="80"/>
  <c r="J43" i="80"/>
  <c r="J39" i="80"/>
  <c r="J35" i="80"/>
  <c r="J25" i="80"/>
  <c r="J74" i="80"/>
  <c r="J59" i="80"/>
  <c r="J47" i="80"/>
  <c r="J41" i="80"/>
  <c r="J37" i="80"/>
  <c r="J18" i="80"/>
  <c r="J32" i="80"/>
  <c r="V37" i="80"/>
  <c r="V40" i="80"/>
  <c r="J42" i="80"/>
  <c r="V52" i="80"/>
  <c r="J56" i="80"/>
  <c r="Z69" i="80"/>
  <c r="V72" i="80"/>
  <c r="L24" i="88"/>
  <c r="J77" i="76"/>
  <c r="X49" i="77"/>
  <c r="Z49" i="77" s="1"/>
  <c r="X73" i="77"/>
  <c r="L79" i="77"/>
  <c r="V82" i="77"/>
  <c r="V92" i="77"/>
  <c r="J71" i="80"/>
  <c r="Z58" i="81"/>
  <c r="F26" i="86"/>
  <c r="F17" i="86"/>
  <c r="F16" i="86"/>
  <c r="F18" i="86"/>
  <c r="F24" i="86"/>
  <c r="F23" i="86"/>
  <c r="F30" i="86"/>
  <c r="F22" i="86"/>
  <c r="L12" i="86"/>
  <c r="N12" i="86" s="1"/>
  <c r="F20" i="86"/>
  <c r="D20" i="86"/>
  <c r="N24" i="88"/>
  <c r="J24" i="88"/>
  <c r="J42" i="76"/>
  <c r="J46" i="76"/>
  <c r="J50" i="76"/>
  <c r="J60" i="76"/>
  <c r="J70" i="76"/>
  <c r="P79" i="76"/>
  <c r="X79" i="76" s="1"/>
  <c r="Z79" i="76" s="1"/>
  <c r="L13" i="77"/>
  <c r="N13" i="77" s="1"/>
  <c r="V35" i="77"/>
  <c r="V39" i="77"/>
  <c r="V43" i="77"/>
  <c r="V71" i="77"/>
  <c r="V91" i="77"/>
  <c r="Z12" i="79"/>
  <c r="J18" i="79"/>
  <c r="H23" i="79"/>
  <c r="V38" i="79"/>
  <c r="V56" i="79"/>
  <c r="J68" i="79"/>
  <c r="H22" i="80"/>
  <c r="J28" i="80"/>
  <c r="V46" i="80"/>
  <c r="J50" i="80"/>
  <c r="N55" i="80"/>
  <c r="Z61" i="80"/>
  <c r="R32" i="81"/>
  <c r="R28" i="81"/>
  <c r="R67" i="81"/>
  <c r="R60" i="81"/>
  <c r="R59" i="81"/>
  <c r="R48" i="81"/>
  <c r="R47" i="81"/>
  <c r="R19" i="81"/>
  <c r="R42" i="81"/>
  <c r="R38" i="81"/>
  <c r="X12" i="81"/>
  <c r="Z12" i="81" s="1"/>
  <c r="R62" i="81"/>
  <c r="R61" i="81"/>
  <c r="R50" i="81"/>
  <c r="R49" i="81"/>
  <c r="R33" i="81"/>
  <c r="R29" i="81"/>
  <c r="R78" i="81"/>
  <c r="R69" i="81"/>
  <c r="R68" i="81"/>
  <c r="R25" i="81"/>
  <c r="R63" i="81"/>
  <c r="R52" i="81"/>
  <c r="R51" i="81"/>
  <c r="R43" i="81"/>
  <c r="R39" i="81"/>
  <c r="R71" i="81"/>
  <c r="R70" i="81"/>
  <c r="R35" i="81"/>
  <c r="R34" i="81"/>
  <c r="R30" i="81"/>
  <c r="R26" i="81"/>
  <c r="P22" i="81"/>
  <c r="R54" i="81"/>
  <c r="R53" i="81"/>
  <c r="R65" i="81"/>
  <c r="R64" i="81"/>
  <c r="R44" i="81"/>
  <c r="R40" i="81"/>
  <c r="R36" i="81"/>
  <c r="R17" i="81"/>
  <c r="X46" i="81"/>
  <c r="V58" i="81"/>
  <c r="T76" i="81"/>
  <c r="X46" i="88"/>
  <c r="Z46" i="88" s="1"/>
  <c r="L73" i="85"/>
  <c r="N73" i="85" s="1"/>
  <c r="J26" i="76"/>
  <c r="J28" i="76"/>
  <c r="J30" i="76"/>
  <c r="J32" i="76"/>
  <c r="J36" i="76"/>
  <c r="J40" i="76"/>
  <c r="J58" i="76"/>
  <c r="V61" i="77"/>
  <c r="V65" i="77"/>
  <c r="V69" i="77"/>
  <c r="V28" i="79"/>
  <c r="V32" i="79"/>
  <c r="J47" i="79"/>
  <c r="V49" i="79"/>
  <c r="V54" i="79"/>
  <c r="J65" i="79"/>
  <c r="V78" i="80"/>
  <c r="V56" i="80"/>
  <c r="V67" i="80"/>
  <c r="V59" i="80"/>
  <c r="V47" i="80"/>
  <c r="V31" i="80"/>
  <c r="V27" i="80"/>
  <c r="V58" i="80"/>
  <c r="V71" i="80"/>
  <c r="V53" i="80"/>
  <c r="V33" i="80"/>
  <c r="V29" i="80"/>
  <c r="V25" i="80"/>
  <c r="V18" i="80"/>
  <c r="J31" i="80"/>
  <c r="V32" i="80"/>
  <c r="V36" i="80"/>
  <c r="V39" i="80"/>
  <c r="J44" i="80"/>
  <c r="N49" i="80"/>
  <c r="V51" i="80"/>
  <c r="J54" i="80"/>
  <c r="J70" i="80"/>
  <c r="V76" i="80"/>
  <c r="P12" i="84"/>
  <c r="V46" i="88"/>
  <c r="X48" i="88"/>
  <c r="Z48" i="88" s="1"/>
  <c r="J25" i="81"/>
  <c r="V27" i="81"/>
  <c r="V31" i="81"/>
  <c r="J39" i="81"/>
  <c r="J43" i="81"/>
  <c r="J51" i="81"/>
  <c r="V55" i="81"/>
  <c r="J63" i="81"/>
  <c r="J69" i="81"/>
  <c r="V72" i="81"/>
  <c r="J25" i="84"/>
  <c r="J39" i="84"/>
  <c r="V53" i="84"/>
  <c r="V59" i="84"/>
  <c r="Z65" i="84"/>
  <c r="V80" i="84"/>
  <c r="V30" i="85"/>
  <c r="L71" i="85"/>
  <c r="N71" i="85" s="1"/>
  <c r="L103" i="85"/>
  <c r="N103" i="85" s="1"/>
  <c r="V108" i="85"/>
  <c r="V110" i="85"/>
  <c r="N52" i="88"/>
  <c r="R75" i="88"/>
  <c r="F80" i="88"/>
  <c r="N82" i="88"/>
  <c r="F80" i="92"/>
  <c r="F79" i="92"/>
  <c r="F67" i="92"/>
  <c r="F83" i="92"/>
  <c r="F74" i="92"/>
  <c r="F73" i="92"/>
  <c r="F86" i="92"/>
  <c r="F63" i="92"/>
  <c r="F77" i="92"/>
  <c r="F69" i="92"/>
  <c r="F90" i="92"/>
  <c r="F82" i="92"/>
  <c r="F75" i="92"/>
  <c r="F71" i="92"/>
  <c r="F59" i="92"/>
  <c r="F56" i="92"/>
  <c r="F55" i="92"/>
  <c r="F37" i="92"/>
  <c r="F33" i="92"/>
  <c r="F78" i="92"/>
  <c r="F72" i="92"/>
  <c r="F68" i="92"/>
  <c r="F60" i="92"/>
  <c r="F52" i="92"/>
  <c r="F51" i="92"/>
  <c r="F44" i="92"/>
  <c r="F43" i="92"/>
  <c r="F28" i="92"/>
  <c r="F24" i="92"/>
  <c r="F20" i="92"/>
  <c r="F19" i="92"/>
  <c r="F65" i="92"/>
  <c r="F18" i="92"/>
  <c r="F16" i="92"/>
  <c r="F14" i="92"/>
  <c r="F38" i="92"/>
  <c r="F34" i="92"/>
  <c r="D16" i="92"/>
  <c r="F76" i="92"/>
  <c r="F66" i="92"/>
  <c r="F45" i="92"/>
  <c r="F29" i="92"/>
  <c r="F25" i="92"/>
  <c r="F21" i="92"/>
  <c r="F93" i="92"/>
  <c r="F57" i="92"/>
  <c r="F88" i="92"/>
  <c r="F53" i="92"/>
  <c r="F39" i="92"/>
  <c r="F35" i="92"/>
  <c r="F31" i="92"/>
  <c r="F30" i="92"/>
  <c r="F61" i="92"/>
  <c r="F46" i="92"/>
  <c r="F26" i="92"/>
  <c r="F22" i="92"/>
  <c r="F84" i="92"/>
  <c r="F58" i="92"/>
  <c r="F54" i="92"/>
  <c r="F27" i="92"/>
  <c r="F23" i="92"/>
  <c r="F64" i="92"/>
  <c r="F40" i="92"/>
  <c r="F48" i="92"/>
  <c r="F50" i="92"/>
  <c r="F70" i="92"/>
  <c r="F41" i="92"/>
  <c r="F32" i="92"/>
  <c r="F49" i="92"/>
  <c r="L12" i="92"/>
  <c r="F62" i="92"/>
  <c r="F47" i="92"/>
  <c r="J20" i="81"/>
  <c r="V36" i="81"/>
  <c r="V40" i="81"/>
  <c r="V44" i="81"/>
  <c r="J50" i="81"/>
  <c r="V56" i="81"/>
  <c r="J62" i="81"/>
  <c r="V64" i="81"/>
  <c r="J68" i="81"/>
  <c r="X71" i="81"/>
  <c r="P12" i="83"/>
  <c r="Z50" i="84"/>
  <c r="V65" i="84"/>
  <c r="Z43" i="85"/>
  <c r="V88" i="85"/>
  <c r="Z94" i="85"/>
  <c r="V105" i="85"/>
  <c r="Z86" i="88"/>
  <c r="X86" i="88"/>
  <c r="N21" i="89"/>
  <c r="R67" i="94"/>
  <c r="R43" i="94"/>
  <c r="R39" i="94"/>
  <c r="R69" i="94"/>
  <c r="R26" i="94"/>
  <c r="R21" i="94"/>
  <c r="R53" i="94"/>
  <c r="R52" i="94"/>
  <c r="R44" i="94"/>
  <c r="R40" i="94"/>
  <c r="R25" i="94"/>
  <c r="R73" i="94"/>
  <c r="R63" i="94"/>
  <c r="R19" i="94"/>
  <c r="R51" i="94"/>
  <c r="R37" i="94"/>
  <c r="R48" i="94"/>
  <c r="R45" i="94"/>
  <c r="R64" i="94"/>
  <c r="R59" i="94"/>
  <c r="R55" i="94"/>
  <c r="R34" i="94"/>
  <c r="R31" i="94"/>
  <c r="R28" i="94"/>
  <c r="R65" i="94"/>
  <c r="R62" i="94"/>
  <c r="P23" i="94"/>
  <c r="R49" i="94"/>
  <c r="R38" i="94"/>
  <c r="R46" i="94"/>
  <c r="R57" i="94"/>
  <c r="R56" i="94"/>
  <c r="R35" i="94"/>
  <c r="R32" i="94"/>
  <c r="R29" i="94"/>
  <c r="R60" i="94"/>
  <c r="R41" i="94"/>
  <c r="R66" i="94"/>
  <c r="R47" i="94"/>
  <c r="R36" i="94"/>
  <c r="R20" i="94"/>
  <c r="R33" i="94"/>
  <c r="R58" i="94"/>
  <c r="R50" i="94"/>
  <c r="R54" i="94"/>
  <c r="R30" i="94"/>
  <c r="R18" i="94"/>
  <c r="X12" i="94"/>
  <c r="Z12" i="94" s="1"/>
  <c r="R61" i="94"/>
  <c r="R27" i="94"/>
  <c r="R42" i="94"/>
  <c r="J29" i="81"/>
  <c r="J33" i="81"/>
  <c r="J49" i="81"/>
  <c r="V53" i="81"/>
  <c r="J61" i="81"/>
  <c r="V65" i="81"/>
  <c r="X13" i="83"/>
  <c r="J20" i="83"/>
  <c r="J73" i="84"/>
  <c r="J67" i="84"/>
  <c r="J55" i="84"/>
  <c r="J45" i="84"/>
  <c r="J41" i="84"/>
  <c r="J37" i="84"/>
  <c r="J79" i="84"/>
  <c r="J75" i="84"/>
  <c r="J57" i="84"/>
  <c r="J47" i="84"/>
  <c r="J19" i="84"/>
  <c r="J58" i="84"/>
  <c r="J48" i="84"/>
  <c r="J42" i="84"/>
  <c r="J38" i="84"/>
  <c r="N12" i="84"/>
  <c r="J82" i="84"/>
  <c r="J83" i="84"/>
  <c r="J77" i="84"/>
  <c r="J63" i="84"/>
  <c r="J53" i="84"/>
  <c r="J35" i="84"/>
  <c r="H22" i="84"/>
  <c r="J84" i="84"/>
  <c r="J64" i="84"/>
  <c r="J44" i="84"/>
  <c r="J40" i="84"/>
  <c r="J36" i="84"/>
  <c r="N17" i="84"/>
  <c r="V20" i="84"/>
  <c r="J24" i="84"/>
  <c r="J30" i="84"/>
  <c r="V31" i="84"/>
  <c r="J33" i="84"/>
  <c r="L48" i="84"/>
  <c r="N48" i="84" s="1"/>
  <c r="V50" i="84"/>
  <c r="N72" i="84"/>
  <c r="Z86" i="84"/>
  <c r="X86" i="84"/>
  <c r="N27" i="85"/>
  <c r="V65" i="85"/>
  <c r="J71" i="85"/>
  <c r="N77" i="85"/>
  <c r="J103" i="85"/>
  <c r="Z24" i="88"/>
  <c r="F34" i="88"/>
  <c r="N73" i="88"/>
  <c r="V86" i="88"/>
  <c r="J38" i="81"/>
  <c r="J42" i="81"/>
  <c r="J48" i="81"/>
  <c r="V54" i="81"/>
  <c r="J60" i="81"/>
  <c r="V70" i="81"/>
  <c r="F20" i="83"/>
  <c r="F26" i="83"/>
  <c r="F24" i="83"/>
  <c r="F19" i="83"/>
  <c r="V55" i="84"/>
  <c r="V58" i="84"/>
  <c r="J66" i="84"/>
  <c r="V67" i="84"/>
  <c r="J69" i="84"/>
  <c r="J72" i="84"/>
  <c r="V34" i="85"/>
  <c r="V90" i="85"/>
  <c r="F81" i="88"/>
  <c r="F77" i="88"/>
  <c r="F78" i="88"/>
  <c r="F85" i="88"/>
  <c r="F53" i="88"/>
  <c r="F52" i="88"/>
  <c r="F24" i="88"/>
  <c r="F22" i="88"/>
  <c r="F93" i="88"/>
  <c r="F89" i="88"/>
  <c r="F75" i="88"/>
  <c r="F64" i="88"/>
  <c r="F63" i="88"/>
  <c r="F71" i="88"/>
  <c r="F31" i="88"/>
  <c r="F27" i="88"/>
  <c r="F54" i="88"/>
  <c r="F18" i="88"/>
  <c r="F17" i="88"/>
  <c r="F86" i="88"/>
  <c r="F65" i="88"/>
  <c r="F45" i="88"/>
  <c r="F41" i="88"/>
  <c r="F37" i="88"/>
  <c r="F76" i="88"/>
  <c r="F72" i="88"/>
  <c r="F56" i="88"/>
  <c r="F55" i="88"/>
  <c r="F32" i="88"/>
  <c r="F28" i="88"/>
  <c r="F87" i="88"/>
  <c r="F79" i="88"/>
  <c r="F47" i="88"/>
  <c r="F46" i="88"/>
  <c r="F19" i="88"/>
  <c r="F82" i="88"/>
  <c r="F73" i="88"/>
  <c r="F66" i="88"/>
  <c r="F58" i="88"/>
  <c r="F57" i="88"/>
  <c r="F42" i="88"/>
  <c r="F38" i="88"/>
  <c r="L12" i="88"/>
  <c r="N12" i="88" s="1"/>
  <c r="F49" i="88"/>
  <c r="F48" i="88"/>
  <c r="F33" i="88"/>
  <c r="F29" i="88"/>
  <c r="F83" i="88"/>
  <c r="F74" i="88"/>
  <c r="F68" i="88"/>
  <c r="F67" i="88"/>
  <c r="F60" i="88"/>
  <c r="F59" i="88"/>
  <c r="F20" i="88"/>
  <c r="Z35" i="88"/>
  <c r="N69" i="88"/>
  <c r="V35" i="81"/>
  <c r="V39" i="81"/>
  <c r="V43" i="81"/>
  <c r="J47" i="81"/>
  <c r="V51" i="81"/>
  <c r="J59" i="81"/>
  <c r="V63" i="81"/>
  <c r="J67" i="81"/>
  <c r="V71" i="81"/>
  <c r="J76" i="81"/>
  <c r="H22" i="83"/>
  <c r="J30" i="83"/>
  <c r="J19" i="83"/>
  <c r="F30" i="83"/>
  <c r="V81" i="84"/>
  <c r="V69" i="84"/>
  <c r="V61" i="84"/>
  <c r="V49" i="84"/>
  <c r="V33" i="84"/>
  <c r="V29" i="84"/>
  <c r="V25" i="84"/>
  <c r="V83" i="84"/>
  <c r="V63" i="84"/>
  <c r="V51" i="84"/>
  <c r="V43" i="84"/>
  <c r="V39" i="84"/>
  <c r="V35" i="84"/>
  <c r="T22" i="84"/>
  <c r="V82" i="84"/>
  <c r="V70" i="84"/>
  <c r="V62" i="84"/>
  <c r="V34" i="84"/>
  <c r="V30" i="84"/>
  <c r="V26" i="84"/>
  <c r="V78" i="84"/>
  <c r="V74" i="84"/>
  <c r="V73" i="84"/>
  <c r="V57" i="84"/>
  <c r="V45" i="84"/>
  <c r="V41" i="84"/>
  <c r="V37" i="84"/>
  <c r="V90" i="84"/>
  <c r="V68" i="84"/>
  <c r="V56" i="84"/>
  <c r="V48" i="84"/>
  <c r="V32" i="84"/>
  <c r="V28" i="84"/>
  <c r="J27" i="84"/>
  <c r="X61" i="84"/>
  <c r="Z61" i="84" s="1"/>
  <c r="V64" i="84"/>
  <c r="V75" i="84"/>
  <c r="H41" i="85"/>
  <c r="Z71" i="85"/>
  <c r="Z77" i="85"/>
  <c r="N83" i="85"/>
  <c r="Z103" i="85"/>
  <c r="R18" i="88"/>
  <c r="R28" i="88"/>
  <c r="R71" i="88"/>
  <c r="V20" i="81"/>
  <c r="V22" i="81"/>
  <c r="V24" i="81"/>
  <c r="J28" i="81"/>
  <c r="J32" i="81"/>
  <c r="J46" i="81"/>
  <c r="V52" i="81"/>
  <c r="J58" i="81"/>
  <c r="V68" i="81"/>
  <c r="J74" i="81"/>
  <c r="V78" i="81"/>
  <c r="L12" i="83"/>
  <c r="N12" i="83" s="1"/>
  <c r="F17" i="83"/>
  <c r="V46" i="84"/>
  <c r="V54" i="84"/>
  <c r="V60" i="84"/>
  <c r="V66" i="84"/>
  <c r="J71" i="84"/>
  <c r="V77" i="84"/>
  <c r="V79" i="84"/>
  <c r="V107" i="85"/>
  <c r="V95" i="85"/>
  <c r="V79" i="85"/>
  <c r="V67" i="85"/>
  <c r="V51" i="85"/>
  <c r="V47" i="85"/>
  <c r="V109" i="85"/>
  <c r="V101" i="85"/>
  <c r="V97" i="85"/>
  <c r="V89" i="85"/>
  <c r="V81" i="85"/>
  <c r="V69" i="85"/>
  <c r="V61" i="85"/>
  <c r="V57" i="85"/>
  <c r="V53" i="85"/>
  <c r="V96" i="85"/>
  <c r="V80" i="85"/>
  <c r="V68" i="85"/>
  <c r="V52" i="85"/>
  <c r="V48" i="85"/>
  <c r="V44" i="85"/>
  <c r="V113" i="85"/>
  <c r="V111" i="85"/>
  <c r="V103" i="85"/>
  <c r="V91" i="85"/>
  <c r="V83" i="85"/>
  <c r="V71" i="85"/>
  <c r="V43" i="85"/>
  <c r="V41" i="85"/>
  <c r="V39" i="85"/>
  <c r="V35" i="85"/>
  <c r="V31" i="85"/>
  <c r="V27" i="85"/>
  <c r="V102" i="85"/>
  <c r="V98" i="85"/>
  <c r="V82" i="85"/>
  <c r="V70" i="85"/>
  <c r="V62" i="85"/>
  <c r="V58" i="85"/>
  <c r="V54" i="85"/>
  <c r="V85" i="85"/>
  <c r="V73" i="85"/>
  <c r="V49" i="85"/>
  <c r="V45" i="85"/>
  <c r="V104" i="85"/>
  <c r="V92" i="85"/>
  <c r="V84" i="85"/>
  <c r="V72" i="85"/>
  <c r="V64" i="85"/>
  <c r="V36" i="85"/>
  <c r="V32" i="85"/>
  <c r="V28" i="85"/>
  <c r="V117" i="85"/>
  <c r="V99" i="85"/>
  <c r="V87" i="85"/>
  <c r="V75" i="85"/>
  <c r="V63" i="85"/>
  <c r="V59" i="85"/>
  <c r="V55" i="85"/>
  <c r="V106" i="85"/>
  <c r="V94" i="85"/>
  <c r="V86" i="85"/>
  <c r="V74" i="85"/>
  <c r="V66" i="85"/>
  <c r="V50" i="85"/>
  <c r="V46" i="85"/>
  <c r="Z12" i="85"/>
  <c r="N44" i="85"/>
  <c r="V77" i="85"/>
  <c r="V93" i="85"/>
  <c r="V17" i="86"/>
  <c r="H32" i="86"/>
  <c r="R86" i="88"/>
  <c r="R85" i="88"/>
  <c r="R87" i="88"/>
  <c r="R89" i="88"/>
  <c r="R80" i="88"/>
  <c r="R76" i="88"/>
  <c r="R81" i="88"/>
  <c r="R65" i="88"/>
  <c r="R46" i="88"/>
  <c r="R45" i="88"/>
  <c r="R41" i="88"/>
  <c r="R37" i="88"/>
  <c r="R72" i="88"/>
  <c r="R82" i="88"/>
  <c r="R73" i="88"/>
  <c r="R48" i="88"/>
  <c r="R47" i="88"/>
  <c r="R19" i="88"/>
  <c r="R67" i="88"/>
  <c r="R66" i="88"/>
  <c r="R59" i="88"/>
  <c r="R58" i="88"/>
  <c r="R42" i="88"/>
  <c r="R38" i="88"/>
  <c r="X12" i="88"/>
  <c r="Z12" i="88" s="1"/>
  <c r="R79" i="88"/>
  <c r="R50" i="88"/>
  <c r="R49" i="88"/>
  <c r="R33" i="88"/>
  <c r="R29" i="88"/>
  <c r="R83" i="88"/>
  <c r="R69" i="88"/>
  <c r="R68" i="88"/>
  <c r="R61" i="88"/>
  <c r="R60" i="88"/>
  <c r="R25" i="88"/>
  <c r="R20" i="88"/>
  <c r="R84" i="88"/>
  <c r="R77" i="88"/>
  <c r="R74" i="88"/>
  <c r="R52" i="88"/>
  <c r="R51" i="88"/>
  <c r="R43" i="88"/>
  <c r="R39" i="88"/>
  <c r="R24" i="88"/>
  <c r="R70" i="88"/>
  <c r="R63" i="88"/>
  <c r="R62" i="88"/>
  <c r="R35" i="88"/>
  <c r="R34" i="88"/>
  <c r="R30" i="88"/>
  <c r="R26" i="88"/>
  <c r="P22" i="88"/>
  <c r="R22" i="88" s="1"/>
  <c r="R53" i="88"/>
  <c r="R93" i="88"/>
  <c r="R64" i="88"/>
  <c r="R44" i="88"/>
  <c r="R40" i="88"/>
  <c r="R36" i="88"/>
  <c r="R17" i="88"/>
  <c r="F25" i="88"/>
  <c r="R32" i="88"/>
  <c r="F36" i="88"/>
  <c r="F40" i="88"/>
  <c r="F44" i="88"/>
  <c r="F51" i="88"/>
  <c r="X55" i="88"/>
  <c r="F61" i="88"/>
  <c r="N63" i="88"/>
  <c r="V25" i="81"/>
  <c r="V29" i="81"/>
  <c r="V33" i="81"/>
  <c r="J37" i="81"/>
  <c r="J41" i="81"/>
  <c r="J45" i="81"/>
  <c r="V49" i="81"/>
  <c r="J57" i="81"/>
  <c r="V61" i="81"/>
  <c r="V69" i="81"/>
  <c r="T22" i="83"/>
  <c r="N17" i="83"/>
  <c r="V26" i="83"/>
  <c r="Z17" i="84"/>
  <c r="V19" i="84"/>
  <c r="J22" i="84"/>
  <c r="J32" i="84"/>
  <c r="V36" i="84"/>
  <c r="X48" i="84"/>
  <c r="Z48" i="84" s="1"/>
  <c r="J51" i="84"/>
  <c r="V52" i="84"/>
  <c r="L59" i="84"/>
  <c r="J81" i="84"/>
  <c r="V84" i="84"/>
  <c r="Z27" i="85"/>
  <c r="V38" i="85"/>
  <c r="R17" i="86"/>
  <c r="R23" i="86"/>
  <c r="R18" i="86"/>
  <c r="R22" i="86"/>
  <c r="R20" i="86"/>
  <c r="R24" i="86"/>
  <c r="P20" i="86"/>
  <c r="R26" i="86"/>
  <c r="R30" i="86"/>
  <c r="X12" i="86"/>
  <c r="J28" i="86"/>
  <c r="N25" i="88"/>
  <c r="J25" i="88"/>
  <c r="R55" i="88"/>
  <c r="R57" i="88"/>
  <c r="N61" i="88"/>
  <c r="J18" i="81"/>
  <c r="V38" i="81"/>
  <c r="V42" i="81"/>
  <c r="V50" i="81"/>
  <c r="J56" i="81"/>
  <c r="V62" i="81"/>
  <c r="J66" i="81"/>
  <c r="J17" i="83"/>
  <c r="V17" i="84"/>
  <c r="V24" i="84"/>
  <c r="V27" i="84"/>
  <c r="J29" i="84"/>
  <c r="V38" i="84"/>
  <c r="J56" i="84"/>
  <c r="J62" i="84"/>
  <c r="L65" i="84"/>
  <c r="J68" i="84"/>
  <c r="Z72" i="84"/>
  <c r="J74" i="84"/>
  <c r="L15" i="85"/>
  <c r="D12" i="85"/>
  <c r="V33" i="85"/>
  <c r="T41" i="85"/>
  <c r="V60" i="85"/>
  <c r="V22" i="86"/>
  <c r="V20" i="86"/>
  <c r="V18" i="86"/>
  <c r="T20" i="86"/>
  <c r="V26" i="86"/>
  <c r="V24" i="86"/>
  <c r="V30" i="86"/>
  <c r="V16" i="86"/>
  <c r="Z12" i="86"/>
  <c r="D91" i="88"/>
  <c r="L22" i="88"/>
  <c r="Z55" i="88"/>
  <c r="Z57" i="88"/>
  <c r="F70" i="88"/>
  <c r="J27" i="81"/>
  <c r="J31" i="81"/>
  <c r="V47" i="81"/>
  <c r="J55" i="81"/>
  <c r="V59" i="81"/>
  <c r="J65" i="81"/>
  <c r="J72" i="81"/>
  <c r="X17" i="83"/>
  <c r="Z17" i="83" s="1"/>
  <c r="D22" i="83"/>
  <c r="N50" i="84"/>
  <c r="N59" i="84"/>
  <c r="N65" i="84"/>
  <c r="V71" i="84"/>
  <c r="V72" i="84"/>
  <c r="J76" i="84"/>
  <c r="L43" i="85"/>
  <c r="N43" i="85" s="1"/>
  <c r="V56" i="85"/>
  <c r="X66" i="85"/>
  <c r="Z66" i="85" s="1"/>
  <c r="X106" i="85"/>
  <c r="N108" i="85"/>
  <c r="H91" i="88"/>
  <c r="N22" i="88"/>
  <c r="Z61" i="88"/>
  <c r="J44" i="85"/>
  <c r="J54" i="85"/>
  <c r="J58" i="85"/>
  <c r="J62" i="85"/>
  <c r="J70" i="85"/>
  <c r="J82" i="85"/>
  <c r="J98" i="85"/>
  <c r="J102" i="85"/>
  <c r="V27" i="88"/>
  <c r="V31" i="88"/>
  <c r="J39" i="88"/>
  <c r="J43" i="88"/>
  <c r="J51" i="88"/>
  <c r="V55" i="88"/>
  <c r="J61" i="88"/>
  <c r="J69" i="88"/>
  <c r="V71" i="88"/>
  <c r="V75" i="88"/>
  <c r="J77" i="88"/>
  <c r="V85" i="88"/>
  <c r="J26" i="89"/>
  <c r="J32" i="89"/>
  <c r="Z52" i="89"/>
  <c r="J62" i="89"/>
  <c r="J64" i="89"/>
  <c r="Z19" i="92"/>
  <c r="J31" i="85"/>
  <c r="J35" i="85"/>
  <c r="J39" i="85"/>
  <c r="J53" i="85"/>
  <c r="J69" i="85"/>
  <c r="J81" i="85"/>
  <c r="J91" i="85"/>
  <c r="J97" i="85"/>
  <c r="J111" i="85"/>
  <c r="J20" i="86"/>
  <c r="J22" i="86"/>
  <c r="J24" i="86"/>
  <c r="J82" i="88"/>
  <c r="J85" i="88"/>
  <c r="J87" i="88"/>
  <c r="J79" i="88"/>
  <c r="J75" i="88"/>
  <c r="J20" i="88"/>
  <c r="V36" i="88"/>
  <c r="V40" i="88"/>
  <c r="V44" i="88"/>
  <c r="J50" i="88"/>
  <c r="J60" i="88"/>
  <c r="V64" i="88"/>
  <c r="J68" i="88"/>
  <c r="L73" i="88"/>
  <c r="J74" i="88"/>
  <c r="J83" i="88"/>
  <c r="J36" i="89"/>
  <c r="N55" i="89"/>
  <c r="Z59" i="89"/>
  <c r="L55" i="92"/>
  <c r="N55" i="92" s="1"/>
  <c r="L71" i="92"/>
  <c r="N71" i="92" s="1"/>
  <c r="J96" i="85"/>
  <c r="J110" i="85"/>
  <c r="V17" i="88"/>
  <c r="V53" i="88"/>
  <c r="V80" i="88"/>
  <c r="J40" i="89"/>
  <c r="V30" i="88"/>
  <c r="V34" i="88"/>
  <c r="V62" i="88"/>
  <c r="V70" i="88"/>
  <c r="J65" i="89"/>
  <c r="J59" i="89"/>
  <c r="J53" i="89"/>
  <c r="J41" i="89"/>
  <c r="J37" i="89"/>
  <c r="J33" i="89"/>
  <c r="J66" i="89"/>
  <c r="J60" i="89"/>
  <c r="J42" i="89"/>
  <c r="J28" i="89"/>
  <c r="J24" i="89"/>
  <c r="J14" i="89"/>
  <c r="J67" i="89"/>
  <c r="J43" i="89"/>
  <c r="J15" i="89"/>
  <c r="J68" i="89"/>
  <c r="J54" i="89"/>
  <c r="J44" i="89"/>
  <c r="J38" i="89"/>
  <c r="J34" i="89"/>
  <c r="J69" i="89"/>
  <c r="J61" i="89"/>
  <c r="J55" i="89"/>
  <c r="J45" i="89"/>
  <c r="J29" i="89"/>
  <c r="J25" i="89"/>
  <c r="J56" i="89"/>
  <c r="J46" i="89"/>
  <c r="J16" i="89"/>
  <c r="J73" i="89"/>
  <c r="J71" i="89"/>
  <c r="J47" i="89"/>
  <c r="J39" i="89"/>
  <c r="J35" i="89"/>
  <c r="J75" i="89"/>
  <c r="J63" i="89"/>
  <c r="J57" i="89"/>
  <c r="J49" i="89"/>
  <c r="J31" i="89"/>
  <c r="H18" i="89"/>
  <c r="J80" i="89"/>
  <c r="J77" i="89"/>
  <c r="J51" i="89"/>
  <c r="J27" i="89"/>
  <c r="J23" i="89"/>
  <c r="J20" i="89"/>
  <c r="J58" i="89"/>
  <c r="J108" i="85"/>
  <c r="L13" i="86"/>
  <c r="N13" i="86" s="1"/>
  <c r="T22" i="88"/>
  <c r="V35" i="88"/>
  <c r="V39" i="88"/>
  <c r="V43" i="88"/>
  <c r="V51" i="88"/>
  <c r="J57" i="88"/>
  <c r="V63" i="88"/>
  <c r="J73" i="88"/>
  <c r="V74" i="88"/>
  <c r="L82" i="88"/>
  <c r="L12" i="89"/>
  <c r="J22" i="89"/>
  <c r="J50" i="89"/>
  <c r="X55" i="89"/>
  <c r="Z55" i="89" s="1"/>
  <c r="Z18" i="92"/>
  <c r="J77" i="85"/>
  <c r="L108" i="85"/>
  <c r="V89" i="88"/>
  <c r="V87" i="88"/>
  <c r="V93" i="88"/>
  <c r="V20" i="88"/>
  <c r="V22" i="88"/>
  <c r="V24" i="88"/>
  <c r="X35" i="88"/>
  <c r="V52" i="88"/>
  <c r="L57" i="88"/>
  <c r="N57" i="88" s="1"/>
  <c r="V60" i="88"/>
  <c r="X63" i="88"/>
  <c r="Z63" i="88" s="1"/>
  <c r="V68" i="88"/>
  <c r="V83" i="88"/>
  <c r="V84" i="88"/>
  <c r="N31" i="89"/>
  <c r="D77" i="89"/>
  <c r="L84" i="92"/>
  <c r="D82" i="92"/>
  <c r="L82" i="92" s="1"/>
  <c r="N82" i="92" s="1"/>
  <c r="X13" i="85"/>
  <c r="Z13" i="85" s="1"/>
  <c r="J56" i="85"/>
  <c r="J60" i="85"/>
  <c r="J66" i="85"/>
  <c r="J76" i="85"/>
  <c r="J88" i="85"/>
  <c r="J94" i="85"/>
  <c r="J100" i="85"/>
  <c r="J106" i="85"/>
  <c r="J17" i="86"/>
  <c r="V25" i="88"/>
  <c r="V29" i="88"/>
  <c r="V33" i="88"/>
  <c r="J37" i="88"/>
  <c r="J41" i="88"/>
  <c r="J45" i="88"/>
  <c r="V49" i="88"/>
  <c r="J55" i="88"/>
  <c r="V61" i="88"/>
  <c r="J65" i="88"/>
  <c r="V69" i="88"/>
  <c r="V79" i="88"/>
  <c r="J81" i="88"/>
  <c r="X82" i="88"/>
  <c r="Z82" i="88" s="1"/>
  <c r="N63" i="89"/>
  <c r="J29" i="85"/>
  <c r="J33" i="85"/>
  <c r="J37" i="85"/>
  <c r="J65" i="85"/>
  <c r="J75" i="85"/>
  <c r="J87" i="85"/>
  <c r="J93" i="85"/>
  <c r="J105" i="85"/>
  <c r="J16" i="86"/>
  <c r="J32" i="86"/>
  <c r="J18" i="88"/>
  <c r="V38" i="88"/>
  <c r="V42" i="88"/>
  <c r="V50" i="88"/>
  <c r="J54" i="88"/>
  <c r="V58" i="88"/>
  <c r="V66" i="88"/>
  <c r="J86" i="88"/>
  <c r="V73" i="89"/>
  <c r="V71" i="89"/>
  <c r="V69" i="89"/>
  <c r="V61" i="89"/>
  <c r="V45" i="89"/>
  <c r="V29" i="89"/>
  <c r="V25" i="89"/>
  <c r="V21" i="89"/>
  <c r="V56" i="89"/>
  <c r="V48" i="89"/>
  <c r="V20" i="89"/>
  <c r="V18" i="89"/>
  <c r="V16" i="89"/>
  <c r="V63" i="89"/>
  <c r="V47" i="89"/>
  <c r="V39" i="89"/>
  <c r="V35" i="89"/>
  <c r="V31" i="89"/>
  <c r="T18" i="89"/>
  <c r="V62" i="89"/>
  <c r="V50" i="89"/>
  <c r="V30" i="89"/>
  <c r="V26" i="89"/>
  <c r="V22" i="89"/>
  <c r="V80" i="89"/>
  <c r="V77" i="89"/>
  <c r="V75" i="89"/>
  <c r="V57" i="89"/>
  <c r="V49" i="89"/>
  <c r="V64" i="89"/>
  <c r="V52" i="89"/>
  <c r="V40" i="89"/>
  <c r="V36" i="89"/>
  <c r="V32" i="89"/>
  <c r="Z12" i="89"/>
  <c r="V59" i="89"/>
  <c r="V51" i="89"/>
  <c r="V65" i="89"/>
  <c r="V53" i="89"/>
  <c r="V41" i="89"/>
  <c r="V37" i="89"/>
  <c r="V33" i="89"/>
  <c r="V67" i="89"/>
  <c r="V55" i="89"/>
  <c r="V43" i="89"/>
  <c r="J52" i="89"/>
  <c r="V68" i="89"/>
  <c r="Z30" i="92"/>
  <c r="V67" i="88"/>
  <c r="Z73" i="88"/>
  <c r="V76" i="88"/>
  <c r="Z43" i="92"/>
  <c r="X24" i="93"/>
  <c r="Z24" i="93" s="1"/>
  <c r="J73" i="85"/>
  <c r="J85" i="85"/>
  <c r="J99" i="85"/>
  <c r="V28" i="88"/>
  <c r="V32" i="88"/>
  <c r="V48" i="88"/>
  <c r="V56" i="88"/>
  <c r="J64" i="88"/>
  <c r="V72" i="88"/>
  <c r="V73" i="88"/>
  <c r="V82" i="88"/>
  <c r="J93" i="88"/>
  <c r="J18" i="89"/>
  <c r="L21" i="89"/>
  <c r="R24" i="89"/>
  <c r="R28" i="89"/>
  <c r="F36" i="89"/>
  <c r="F40" i="89"/>
  <c r="R60" i="89"/>
  <c r="F63" i="89"/>
  <c r="F64" i="89"/>
  <c r="J73" i="92"/>
  <c r="J83" i="92"/>
  <c r="J82" i="92"/>
  <c r="J74" i="92"/>
  <c r="J62" i="92"/>
  <c r="J84" i="92"/>
  <c r="J75" i="92"/>
  <c r="J88" i="92"/>
  <c r="J58" i="92"/>
  <c r="J93" i="92"/>
  <c r="J90" i="92"/>
  <c r="J64" i="92"/>
  <c r="J60" i="92"/>
  <c r="J52" i="92"/>
  <c r="V30" i="92"/>
  <c r="V34" i="92"/>
  <c r="V38" i="92"/>
  <c r="J42" i="92"/>
  <c r="J50" i="92"/>
  <c r="V52" i="92"/>
  <c r="J55" i="92"/>
  <c r="J59" i="92"/>
  <c r="V60" i="92"/>
  <c r="R68" i="92"/>
  <c r="J71" i="92"/>
  <c r="R86" i="92"/>
  <c r="F32" i="94"/>
  <c r="F66" i="94"/>
  <c r="R26" i="95"/>
  <c r="F21" i="89"/>
  <c r="F22" i="89"/>
  <c r="F26" i="89"/>
  <c r="F30" i="89"/>
  <c r="R58" i="89"/>
  <c r="R59" i="89"/>
  <c r="F62" i="89"/>
  <c r="F71" i="89"/>
  <c r="F73" i="89"/>
  <c r="N12" i="92"/>
  <c r="R14" i="92"/>
  <c r="R16" i="92"/>
  <c r="R18" i="92"/>
  <c r="V20" i="92"/>
  <c r="V24" i="92"/>
  <c r="V28" i="92"/>
  <c r="J32" i="92"/>
  <c r="R33" i="92"/>
  <c r="J36" i="92"/>
  <c r="R37" i="92"/>
  <c r="J40" i="92"/>
  <c r="V44" i="92"/>
  <c r="J48" i="92"/>
  <c r="R56" i="92"/>
  <c r="R62" i="92"/>
  <c r="J70" i="92"/>
  <c r="J77" i="92"/>
  <c r="R82" i="92"/>
  <c r="V86" i="92"/>
  <c r="P12" i="93"/>
  <c r="X52" i="93"/>
  <c r="Z52" i="93" s="1"/>
  <c r="N56" i="93"/>
  <c r="Z65" i="93"/>
  <c r="V62" i="94"/>
  <c r="V50" i="94"/>
  <c r="V52" i="94"/>
  <c r="V44" i="94"/>
  <c r="V40" i="94"/>
  <c r="V36" i="94"/>
  <c r="T23" i="94"/>
  <c r="V73" i="94"/>
  <c r="V63" i="94"/>
  <c r="V55" i="94"/>
  <c r="V35" i="94"/>
  <c r="V31" i="94"/>
  <c r="V27" i="94"/>
  <c r="V54" i="94"/>
  <c r="V66" i="94"/>
  <c r="V58" i="94"/>
  <c r="V46" i="94"/>
  <c r="V42" i="94"/>
  <c r="V38" i="94"/>
  <c r="V59" i="94"/>
  <c r="V48" i="94"/>
  <c r="V45" i="94"/>
  <c r="V65" i="94"/>
  <c r="V64" i="94"/>
  <c r="V34" i="94"/>
  <c r="V28" i="94"/>
  <c r="V49" i="94"/>
  <c r="V23" i="94"/>
  <c r="V19" i="94"/>
  <c r="V67" i="94"/>
  <c r="V25" i="94"/>
  <c r="V57" i="94"/>
  <c r="V43" i="94"/>
  <c r="V26" i="94"/>
  <c r="V56" i="94"/>
  <c r="V53" i="94"/>
  <c r="V32" i="94"/>
  <c r="V29" i="94"/>
  <c r="V69" i="94"/>
  <c r="V60" i="94"/>
  <c r="V47" i="94"/>
  <c r="V41" i="94"/>
  <c r="V20" i="94"/>
  <c r="V61" i="94"/>
  <c r="V18" i="94"/>
  <c r="X18" i="94"/>
  <c r="Z18" i="94" s="1"/>
  <c r="V51" i="94"/>
  <c r="T80" i="95"/>
  <c r="R39" i="95"/>
  <c r="R76" i="92"/>
  <c r="R63" i="92"/>
  <c r="R88" i="92"/>
  <c r="R61" i="92"/>
  <c r="T16" i="92"/>
  <c r="R19" i="92"/>
  <c r="V33" i="92"/>
  <c r="V37" i="92"/>
  <c r="R42" i="92"/>
  <c r="R43" i="92"/>
  <c r="J47" i="92"/>
  <c r="R50" i="92"/>
  <c r="R51" i="92"/>
  <c r="J54" i="92"/>
  <c r="R59" i="92"/>
  <c r="V62" i="92"/>
  <c r="R64" i="92"/>
  <c r="V65" i="92"/>
  <c r="Z82" i="92"/>
  <c r="H22" i="93"/>
  <c r="N18" i="93"/>
  <c r="T77" i="93"/>
  <c r="Z49" i="94"/>
  <c r="F56" i="94"/>
  <c r="Z61" i="94"/>
  <c r="X62" i="95"/>
  <c r="R40" i="89"/>
  <c r="F55" i="89"/>
  <c r="F56" i="89"/>
  <c r="R64" i="89"/>
  <c r="R77" i="89"/>
  <c r="R80" i="89"/>
  <c r="V93" i="92"/>
  <c r="V90" i="92"/>
  <c r="V88" i="92"/>
  <c r="V58" i="92"/>
  <c r="V77" i="92"/>
  <c r="V78" i="92"/>
  <c r="V70" i="92"/>
  <c r="V66" i="92"/>
  <c r="V54" i="92"/>
  <c r="V82" i="92"/>
  <c r="V80" i="92"/>
  <c r="V72" i="92"/>
  <c r="V56" i="92"/>
  <c r="V14" i="92"/>
  <c r="V16" i="92"/>
  <c r="V18" i="92"/>
  <c r="J22" i="92"/>
  <c r="R23" i="92"/>
  <c r="J26" i="92"/>
  <c r="R27" i="92"/>
  <c r="V42" i="92"/>
  <c r="J46" i="92"/>
  <c r="V50" i="92"/>
  <c r="R55" i="92"/>
  <c r="J61" i="92"/>
  <c r="V64" i="92"/>
  <c r="R67" i="92"/>
  <c r="R71" i="92"/>
  <c r="R74" i="92"/>
  <c r="J80" i="92"/>
  <c r="L18" i="93"/>
  <c r="J25" i="93"/>
  <c r="N46" i="93"/>
  <c r="L46" i="93"/>
  <c r="F25" i="89"/>
  <c r="F29" i="89"/>
  <c r="F44" i="89"/>
  <c r="F45" i="89"/>
  <c r="R49" i="89"/>
  <c r="R50" i="89"/>
  <c r="R57" i="89"/>
  <c r="F61" i="89"/>
  <c r="F68" i="89"/>
  <c r="F69" i="89"/>
  <c r="R75" i="89"/>
  <c r="X12" i="92"/>
  <c r="V19" i="92"/>
  <c r="V23" i="92"/>
  <c r="V27" i="92"/>
  <c r="J31" i="92"/>
  <c r="R32" i="92"/>
  <c r="J35" i="92"/>
  <c r="R36" i="92"/>
  <c r="J39" i="92"/>
  <c r="R40" i="92"/>
  <c r="R41" i="92"/>
  <c r="V43" i="92"/>
  <c r="R48" i="92"/>
  <c r="R49" i="92"/>
  <c r="V51" i="92"/>
  <c r="R54" i="92"/>
  <c r="R58" i="92"/>
  <c r="V59" i="92"/>
  <c r="V67" i="92"/>
  <c r="J69" i="92"/>
  <c r="R70" i="92"/>
  <c r="V74" i="92"/>
  <c r="R77" i="92"/>
  <c r="R84" i="92"/>
  <c r="D12" i="93"/>
  <c r="L25" i="93"/>
  <c r="N25" i="93" s="1"/>
  <c r="Z56" i="93"/>
  <c r="X56" i="93"/>
  <c r="N62" i="93"/>
  <c r="L62" i="93"/>
  <c r="F33" i="94"/>
  <c r="F29" i="94"/>
  <c r="F60" i="94"/>
  <c r="F59" i="94"/>
  <c r="F48" i="94"/>
  <c r="F47" i="94"/>
  <c r="F20" i="94"/>
  <c r="F67" i="94"/>
  <c r="F73" i="94"/>
  <c r="F63" i="94"/>
  <c r="F35" i="94"/>
  <c r="F31" i="94"/>
  <c r="F27" i="94"/>
  <c r="F26" i="94"/>
  <c r="F57" i="94"/>
  <c r="F53" i="94"/>
  <c r="F44" i="94"/>
  <c r="F39" i="94"/>
  <c r="F36" i="94"/>
  <c r="F30" i="94"/>
  <c r="L12" i="94"/>
  <c r="F61" i="94"/>
  <c r="F58" i="94"/>
  <c r="F54" i="94"/>
  <c r="F42" i="94"/>
  <c r="F21" i="94"/>
  <c r="F18" i="94"/>
  <c r="F51" i="94"/>
  <c r="F37" i="94"/>
  <c r="F64" i="94"/>
  <c r="F62" i="94"/>
  <c r="F45" i="94"/>
  <c r="F40" i="94"/>
  <c r="F34" i="94"/>
  <c r="F28" i="94"/>
  <c r="F52" i="94"/>
  <c r="F19" i="94"/>
  <c r="F55" i="94"/>
  <c r="F43" i="94"/>
  <c r="F38" i="94"/>
  <c r="F23" i="94"/>
  <c r="F49" i="94"/>
  <c r="F46" i="94"/>
  <c r="D23" i="94"/>
  <c r="N26" i="94"/>
  <c r="F50" i="94"/>
  <c r="Z62" i="95"/>
  <c r="L73" i="95"/>
  <c r="P18" i="89"/>
  <c r="R22" i="89"/>
  <c r="R26" i="89"/>
  <c r="R30" i="89"/>
  <c r="R31" i="89"/>
  <c r="F34" i="89"/>
  <c r="F38" i="89"/>
  <c r="X52" i="89"/>
  <c r="F54" i="89"/>
  <c r="R62" i="89"/>
  <c r="R63" i="89"/>
  <c r="Z12" i="92"/>
  <c r="J30" i="92"/>
  <c r="V32" i="92"/>
  <c r="V36" i="92"/>
  <c r="V40" i="92"/>
  <c r="X43" i="92"/>
  <c r="V48" i="92"/>
  <c r="J53" i="92"/>
  <c r="V55" i="92"/>
  <c r="J57" i="92"/>
  <c r="J63" i="92"/>
  <c r="V71" i="92"/>
  <c r="V84" i="92"/>
  <c r="L13" i="93"/>
  <c r="N13" i="93" s="1"/>
  <c r="V56" i="93"/>
  <c r="J62" i="93"/>
  <c r="J26" i="94"/>
  <c r="F65" i="94"/>
  <c r="F15" i="89"/>
  <c r="R18" i="89"/>
  <c r="R20" i="89"/>
  <c r="R35" i="89"/>
  <c r="R39" i="89"/>
  <c r="F42" i="89"/>
  <c r="F43" i="89"/>
  <c r="R47" i="89"/>
  <c r="R48" i="89"/>
  <c r="F66" i="89"/>
  <c r="F67" i="89"/>
  <c r="J21" i="92"/>
  <c r="R22" i="92"/>
  <c r="J25" i="92"/>
  <c r="R26" i="92"/>
  <c r="J29" i="92"/>
  <c r="V41" i="92"/>
  <c r="J45" i="92"/>
  <c r="R46" i="92"/>
  <c r="R47" i="92"/>
  <c r="V49" i="92"/>
  <c r="V61" i="92"/>
  <c r="J66" i="92"/>
  <c r="J76" i="92"/>
  <c r="J79" i="92"/>
  <c r="R80" i="92"/>
  <c r="N48" i="93"/>
  <c r="N73" i="95"/>
  <c r="R16" i="89"/>
  <c r="R21" i="89"/>
  <c r="F24" i="89"/>
  <c r="F28" i="89"/>
  <c r="R56" i="89"/>
  <c r="F59" i="89"/>
  <c r="F60" i="89"/>
  <c r="R71" i="89"/>
  <c r="R73" i="89"/>
  <c r="V22" i="92"/>
  <c r="V26" i="92"/>
  <c r="R31" i="92"/>
  <c r="J34" i="92"/>
  <c r="R35" i="92"/>
  <c r="J38" i="92"/>
  <c r="R39" i="92"/>
  <c r="V46" i="92"/>
  <c r="X53" i="92"/>
  <c r="Z53" i="92" s="1"/>
  <c r="R69" i="92"/>
  <c r="R93" i="92"/>
  <c r="L50" i="93"/>
  <c r="N50" i="93" s="1"/>
  <c r="Z62" i="93"/>
  <c r="V39" i="94"/>
  <c r="L47" i="95"/>
  <c r="N47" i="95" s="1"/>
  <c r="R25" i="89"/>
  <c r="R29" i="89"/>
  <c r="F33" i="89"/>
  <c r="F37" i="89"/>
  <c r="F41" i="89"/>
  <c r="R45" i="89"/>
  <c r="R46" i="89"/>
  <c r="F52" i="89"/>
  <c r="F53" i="89"/>
  <c r="R61" i="89"/>
  <c r="F65" i="89"/>
  <c r="R69" i="89"/>
  <c r="H16" i="92"/>
  <c r="V31" i="92"/>
  <c r="V35" i="92"/>
  <c r="V39" i="92"/>
  <c r="V47" i="92"/>
  <c r="R53" i="92"/>
  <c r="R57" i="92"/>
  <c r="V63" i="92"/>
  <c r="R66" i="92"/>
  <c r="V69" i="92"/>
  <c r="R73" i="92"/>
  <c r="L75" i="92"/>
  <c r="R83" i="92"/>
  <c r="F25" i="94"/>
  <c r="F69" i="94"/>
  <c r="R73" i="95"/>
  <c r="R72" i="95"/>
  <c r="R76" i="95"/>
  <c r="R53" i="95"/>
  <c r="R52" i="95"/>
  <c r="R44" i="95"/>
  <c r="R40" i="95"/>
  <c r="R25" i="95"/>
  <c r="R23" i="95"/>
  <c r="R71" i="95"/>
  <c r="R64" i="95"/>
  <c r="R63" i="95"/>
  <c r="R36" i="95"/>
  <c r="R35" i="95"/>
  <c r="R31" i="95"/>
  <c r="R27" i="95"/>
  <c r="P23" i="95"/>
  <c r="R78" i="95"/>
  <c r="R54" i="95"/>
  <c r="R66" i="95"/>
  <c r="R65" i="95"/>
  <c r="R45" i="95"/>
  <c r="R41" i="95"/>
  <c r="R37" i="95"/>
  <c r="R18" i="95"/>
  <c r="R32" i="95"/>
  <c r="R28" i="95"/>
  <c r="X12" i="95"/>
  <c r="Z12" i="95" s="1"/>
  <c r="R68" i="95"/>
  <c r="R67" i="95"/>
  <c r="R56" i="95"/>
  <c r="R55" i="95"/>
  <c r="R47" i="95"/>
  <c r="R46" i="95"/>
  <c r="R42" i="95"/>
  <c r="R38" i="95"/>
  <c r="R69" i="95"/>
  <c r="R58" i="95"/>
  <c r="R57" i="95"/>
  <c r="R33" i="95"/>
  <c r="R29" i="95"/>
  <c r="R75" i="95"/>
  <c r="R74" i="95"/>
  <c r="R49" i="95"/>
  <c r="R48" i="95"/>
  <c r="R20" i="95"/>
  <c r="R82" i="95"/>
  <c r="R60" i="95"/>
  <c r="R70" i="95"/>
  <c r="R30" i="95"/>
  <c r="R50" i="95"/>
  <c r="R34" i="95"/>
  <c r="R21" i="95"/>
  <c r="R19" i="95"/>
  <c r="R61" i="95"/>
  <c r="R51" i="95"/>
  <c r="R59" i="95"/>
  <c r="R34" i="89"/>
  <c r="R38" i="89"/>
  <c r="R54" i="89"/>
  <c r="F58" i="89"/>
  <c r="F77" i="89"/>
  <c r="J14" i="92"/>
  <c r="J16" i="92"/>
  <c r="J18" i="92"/>
  <c r="J20" i="92"/>
  <c r="R21" i="92"/>
  <c r="J24" i="92"/>
  <c r="R25" i="92"/>
  <c r="J28" i="92"/>
  <c r="R29" i="92"/>
  <c r="R30" i="92"/>
  <c r="J44" i="92"/>
  <c r="R45" i="92"/>
  <c r="V57" i="92"/>
  <c r="J65" i="92"/>
  <c r="J68" i="92"/>
  <c r="J72" i="92"/>
  <c r="V76" i="92"/>
  <c r="J78" i="92"/>
  <c r="V83" i="92"/>
  <c r="J33" i="93"/>
  <c r="J49" i="93"/>
  <c r="V53" i="93"/>
  <c r="J61" i="93"/>
  <c r="V65" i="93"/>
  <c r="V69" i="93"/>
  <c r="J73" i="93"/>
  <c r="V79" i="93"/>
  <c r="L55" i="94"/>
  <c r="Z26" i="95"/>
  <c r="N53" i="95"/>
  <c r="V62" i="95"/>
  <c r="F69" i="95"/>
  <c r="J73" i="95"/>
  <c r="V26" i="93"/>
  <c r="V30" i="93"/>
  <c r="V34" i="93"/>
  <c r="J38" i="93"/>
  <c r="J42" i="93"/>
  <c r="J48" i="93"/>
  <c r="V54" i="93"/>
  <c r="J60" i="93"/>
  <c r="J72" i="93"/>
  <c r="J65" i="94"/>
  <c r="V26" i="95"/>
  <c r="J29" i="95"/>
  <c r="F46" i="95"/>
  <c r="Z47" i="95"/>
  <c r="X51" i="95"/>
  <c r="J69" i="95"/>
  <c r="F40" i="96"/>
  <c r="F54" i="96"/>
  <c r="Z55" i="96"/>
  <c r="V55" i="96"/>
  <c r="N75" i="96"/>
  <c r="F56" i="98"/>
  <c r="V63" i="93"/>
  <c r="J46" i="95"/>
  <c r="V53" i="98"/>
  <c r="J18" i="93"/>
  <c r="V20" i="93"/>
  <c r="V22" i="93"/>
  <c r="V24" i="93"/>
  <c r="J28" i="93"/>
  <c r="J32" i="93"/>
  <c r="J46" i="93"/>
  <c r="V52" i="93"/>
  <c r="J58" i="93"/>
  <c r="V68" i="93"/>
  <c r="L13" i="94"/>
  <c r="N13" i="94" s="1"/>
  <c r="J19" i="94"/>
  <c r="J31" i="94"/>
  <c r="X49" i="94"/>
  <c r="J52" i="94"/>
  <c r="J55" i="94"/>
  <c r="Z57" i="94"/>
  <c r="X57" i="94"/>
  <c r="J59" i="94"/>
  <c r="F82" i="95"/>
  <c r="F74" i="95"/>
  <c r="F48" i="95"/>
  <c r="F47" i="95"/>
  <c r="F20" i="95"/>
  <c r="F59" i="95"/>
  <c r="F58" i="95"/>
  <c r="F43" i="95"/>
  <c r="F39" i="95"/>
  <c r="F75" i="95"/>
  <c r="F70" i="95"/>
  <c r="F50" i="95"/>
  <c r="F49" i="95"/>
  <c r="F34" i="95"/>
  <c r="F30" i="95"/>
  <c r="F61" i="95"/>
  <c r="F60" i="95"/>
  <c r="F21" i="95"/>
  <c r="F76" i="95"/>
  <c r="F52" i="95"/>
  <c r="F51" i="95"/>
  <c r="F44" i="95"/>
  <c r="F40" i="95"/>
  <c r="F71" i="95"/>
  <c r="F63" i="95"/>
  <c r="F62" i="95"/>
  <c r="F35" i="95"/>
  <c r="F31" i="95"/>
  <c r="F27" i="95"/>
  <c r="F26" i="95"/>
  <c r="F54" i="95"/>
  <c r="F53" i="95"/>
  <c r="F25" i="95"/>
  <c r="F23" i="95"/>
  <c r="F78" i="95"/>
  <c r="F65" i="95"/>
  <c r="F64" i="95"/>
  <c r="F45" i="95"/>
  <c r="F41" i="95"/>
  <c r="F37" i="95"/>
  <c r="F36" i="95"/>
  <c r="F72" i="95"/>
  <c r="F32" i="95"/>
  <c r="F28" i="95"/>
  <c r="L12" i="95"/>
  <c r="N12" i="95" s="1"/>
  <c r="F38" i="95"/>
  <c r="J42" i="95"/>
  <c r="Z51" i="95"/>
  <c r="V53" i="95"/>
  <c r="F56" i="95"/>
  <c r="V61" i="95"/>
  <c r="F18" i="96"/>
  <c r="F46" i="96"/>
  <c r="T86" i="98"/>
  <c r="V23" i="98"/>
  <c r="F29" i="98"/>
  <c r="F33" i="98"/>
  <c r="V49" i="93"/>
  <c r="L58" i="93"/>
  <c r="N58" i="93" s="1"/>
  <c r="V61" i="93"/>
  <c r="V73" i="93"/>
  <c r="V75" i="93"/>
  <c r="V77" i="93"/>
  <c r="J64" i="94"/>
  <c r="J80" i="95"/>
  <c r="J78" i="95"/>
  <c r="J82" i="95"/>
  <c r="J75" i="95"/>
  <c r="J59" i="95"/>
  <c r="J49" i="95"/>
  <c r="J43" i="95"/>
  <c r="J39" i="95"/>
  <c r="J70" i="95"/>
  <c r="J60" i="95"/>
  <c r="J50" i="95"/>
  <c r="J34" i="95"/>
  <c r="J30" i="95"/>
  <c r="J61" i="95"/>
  <c r="J51" i="95"/>
  <c r="J21" i="95"/>
  <c r="J76" i="95"/>
  <c r="J62" i="95"/>
  <c r="J52" i="95"/>
  <c r="J44" i="95"/>
  <c r="J40" i="95"/>
  <c r="J26" i="95"/>
  <c r="J71" i="95"/>
  <c r="J63" i="95"/>
  <c r="J53" i="95"/>
  <c r="J35" i="95"/>
  <c r="J31" i="95"/>
  <c r="J27" i="95"/>
  <c r="J25" i="95"/>
  <c r="J23" i="95"/>
  <c r="J64" i="95"/>
  <c r="J54" i="95"/>
  <c r="J36" i="95"/>
  <c r="J65" i="95"/>
  <c r="J45" i="95"/>
  <c r="J41" i="95"/>
  <c r="J37" i="95"/>
  <c r="J72" i="95"/>
  <c r="J66" i="95"/>
  <c r="J32" i="95"/>
  <c r="J28" i="95"/>
  <c r="J67" i="95"/>
  <c r="J55" i="95"/>
  <c r="J19" i="95"/>
  <c r="J38" i="95"/>
  <c r="V44" i="95"/>
  <c r="X53" i="95"/>
  <c r="Z53" i="95" s="1"/>
  <c r="N56" i="95"/>
  <c r="J58" i="95"/>
  <c r="J74" i="95"/>
  <c r="J18" i="96"/>
  <c r="J71" i="96"/>
  <c r="H22" i="99"/>
  <c r="N16" i="99"/>
  <c r="V38" i="93"/>
  <c r="V42" i="93"/>
  <c r="V50" i="93"/>
  <c r="J56" i="93"/>
  <c r="V62" i="93"/>
  <c r="J66" i="93"/>
  <c r="J70" i="93"/>
  <c r="L51" i="94"/>
  <c r="N51" i="94" s="1"/>
  <c r="V25" i="95"/>
  <c r="V34" i="95"/>
  <c r="J56" i="95"/>
  <c r="F91" i="96"/>
  <c r="F95" i="96"/>
  <c r="F45" i="96"/>
  <c r="F41" i="96"/>
  <c r="F37" i="96"/>
  <c r="F84" i="96"/>
  <c r="F83" i="96"/>
  <c r="F72" i="96"/>
  <c r="F68" i="96"/>
  <c r="F67" i="96"/>
  <c r="F56" i="96"/>
  <c r="F55" i="96"/>
  <c r="F32" i="96"/>
  <c r="F28" i="96"/>
  <c r="F79" i="96"/>
  <c r="F86" i="96"/>
  <c r="F85" i="96"/>
  <c r="F74" i="96"/>
  <c r="F73" i="96"/>
  <c r="F58" i="96"/>
  <c r="F57" i="96"/>
  <c r="F42" i="96"/>
  <c r="F38" i="96"/>
  <c r="L12" i="96"/>
  <c r="N12" i="96" s="1"/>
  <c r="F69" i="96"/>
  <c r="F49" i="96"/>
  <c r="F48" i="96"/>
  <c r="F33" i="96"/>
  <c r="F29" i="96"/>
  <c r="F80" i="96"/>
  <c r="F76" i="96"/>
  <c r="F75" i="96"/>
  <c r="F60" i="96"/>
  <c r="F59" i="96"/>
  <c r="F87" i="96"/>
  <c r="F70" i="96"/>
  <c r="F62" i="96"/>
  <c r="F61" i="96"/>
  <c r="F34" i="96"/>
  <c r="F30" i="96"/>
  <c r="F26" i="96"/>
  <c r="F25" i="96"/>
  <c r="F89" i="96"/>
  <c r="F88" i="96"/>
  <c r="F81" i="96"/>
  <c r="F77" i="96"/>
  <c r="F82" i="96"/>
  <c r="F71" i="96"/>
  <c r="F35" i="96"/>
  <c r="F65" i="96"/>
  <c r="F47" i="96"/>
  <c r="F53" i="96"/>
  <c r="D22" i="96"/>
  <c r="F22" i="96" s="1"/>
  <c r="F63" i="96"/>
  <c r="F50" i="96"/>
  <c r="F44" i="96"/>
  <c r="F19" i="96"/>
  <c r="F36" i="96"/>
  <c r="F31" i="96"/>
  <c r="F39" i="96"/>
  <c r="F27" i="96"/>
  <c r="F66" i="96"/>
  <c r="F51" i="96"/>
  <c r="F24" i="96"/>
  <c r="F78" i="96"/>
  <c r="F20" i="96"/>
  <c r="F64" i="96"/>
  <c r="F17" i="96"/>
  <c r="F82" i="98"/>
  <c r="F81" i="98"/>
  <c r="F74" i="98"/>
  <c r="F58" i="98"/>
  <c r="F84" i="98"/>
  <c r="F73" i="98"/>
  <c r="F72" i="98"/>
  <c r="F77" i="98"/>
  <c r="F63" i="98"/>
  <c r="F43" i="98"/>
  <c r="F39" i="98"/>
  <c r="F78" i="98"/>
  <c r="F57" i="98"/>
  <c r="F50" i="98"/>
  <c r="F49" i="98"/>
  <c r="F34" i="98"/>
  <c r="F30" i="98"/>
  <c r="F88" i="98"/>
  <c r="F71" i="98"/>
  <c r="F70" i="98"/>
  <c r="F64" i="98"/>
  <c r="F21" i="98"/>
  <c r="F65" i="98"/>
  <c r="F52" i="98"/>
  <c r="F51" i="98"/>
  <c r="F44" i="98"/>
  <c r="F40" i="98"/>
  <c r="F59" i="98"/>
  <c r="F35" i="98"/>
  <c r="F31" i="98"/>
  <c r="F27" i="98"/>
  <c r="F26" i="98"/>
  <c r="F79" i="98"/>
  <c r="F75" i="98"/>
  <c r="F67" i="98"/>
  <c r="F66" i="98"/>
  <c r="F60" i="98"/>
  <c r="F54" i="98"/>
  <c r="F53" i="98"/>
  <c r="F25" i="98"/>
  <c r="F45" i="98"/>
  <c r="F41" i="98"/>
  <c r="F37" i="98"/>
  <c r="F36" i="98"/>
  <c r="D23" i="98"/>
  <c r="F61" i="98"/>
  <c r="F32" i="98"/>
  <c r="F28" i="98"/>
  <c r="L12" i="98"/>
  <c r="N12" i="98" s="1"/>
  <c r="F80" i="98"/>
  <c r="F68" i="98"/>
  <c r="F62" i="98"/>
  <c r="F55" i="98"/>
  <c r="F19" i="98"/>
  <c r="F18" i="98"/>
  <c r="F76" i="98"/>
  <c r="F46" i="98"/>
  <c r="F42" i="98"/>
  <c r="F38" i="98"/>
  <c r="F20" i="98"/>
  <c r="F69" i="98"/>
  <c r="F47" i="98"/>
  <c r="N25" i="98"/>
  <c r="V19" i="93"/>
  <c r="J27" i="93"/>
  <c r="J31" i="93"/>
  <c r="V47" i="93"/>
  <c r="J55" i="93"/>
  <c r="V59" i="93"/>
  <c r="J65" i="93"/>
  <c r="V67" i="93"/>
  <c r="V71" i="93"/>
  <c r="J66" i="94"/>
  <c r="J58" i="94"/>
  <c r="J46" i="94"/>
  <c r="J42" i="94"/>
  <c r="J38" i="94"/>
  <c r="J60" i="94"/>
  <c r="J48" i="94"/>
  <c r="J20" i="94"/>
  <c r="J67" i="94"/>
  <c r="J61" i="94"/>
  <c r="J49" i="94"/>
  <c r="J43" i="94"/>
  <c r="J39" i="94"/>
  <c r="J62" i="94"/>
  <c r="J50" i="94"/>
  <c r="J54" i="94"/>
  <c r="J36" i="94"/>
  <c r="H23" i="94"/>
  <c r="N18" i="94"/>
  <c r="J21" i="94"/>
  <c r="J51" i="94"/>
  <c r="X65" i="94"/>
  <c r="Z65" i="94" s="1"/>
  <c r="V75" i="95"/>
  <c r="V78" i="95"/>
  <c r="V71" i="95"/>
  <c r="V63" i="95"/>
  <c r="V35" i="95"/>
  <c r="V31" i="95"/>
  <c r="V27" i="95"/>
  <c r="V66" i="95"/>
  <c r="V54" i="95"/>
  <c r="V18" i="95"/>
  <c r="V65" i="95"/>
  <c r="V45" i="95"/>
  <c r="V41" i="95"/>
  <c r="V37" i="95"/>
  <c r="V80" i="95"/>
  <c r="V68" i="95"/>
  <c r="V56" i="95"/>
  <c r="V32" i="95"/>
  <c r="V28" i="95"/>
  <c r="V73" i="95"/>
  <c r="V72" i="95"/>
  <c r="V67" i="95"/>
  <c r="V55" i="95"/>
  <c r="V47" i="95"/>
  <c r="V19" i="95"/>
  <c r="V58" i="95"/>
  <c r="V46" i="95"/>
  <c r="V42" i="95"/>
  <c r="V38" i="95"/>
  <c r="V69" i="95"/>
  <c r="V57" i="95"/>
  <c r="V49" i="95"/>
  <c r="V33" i="95"/>
  <c r="V29" i="95"/>
  <c r="V74" i="95"/>
  <c r="V60" i="95"/>
  <c r="V48" i="95"/>
  <c r="V59" i="95"/>
  <c r="V51" i="95"/>
  <c r="V43" i="95"/>
  <c r="V39" i="95"/>
  <c r="F18" i="95"/>
  <c r="X25" i="95"/>
  <c r="Z25" i="95" s="1"/>
  <c r="V36" i="95"/>
  <c r="F68" i="95"/>
  <c r="J95" i="96"/>
  <c r="J84" i="96"/>
  <c r="J72" i="96"/>
  <c r="J68" i="96"/>
  <c r="J56" i="96"/>
  <c r="J46" i="96"/>
  <c r="J32" i="96"/>
  <c r="J28" i="96"/>
  <c r="J85" i="96"/>
  <c r="J79" i="96"/>
  <c r="J73" i="96"/>
  <c r="J57" i="96"/>
  <c r="J47" i="96"/>
  <c r="J19" i="96"/>
  <c r="J86" i="96"/>
  <c r="J75" i="96"/>
  <c r="J69" i="96"/>
  <c r="J59" i="96"/>
  <c r="J49" i="96"/>
  <c r="J33" i="96"/>
  <c r="J29" i="96"/>
  <c r="J80" i="96"/>
  <c r="J76" i="96"/>
  <c r="J60" i="96"/>
  <c r="J50" i="96"/>
  <c r="J20" i="96"/>
  <c r="J87" i="96"/>
  <c r="J61" i="96"/>
  <c r="J51" i="96"/>
  <c r="J88" i="96"/>
  <c r="J70" i="96"/>
  <c r="J89" i="96"/>
  <c r="J81" i="96"/>
  <c r="J77" i="96"/>
  <c r="J63" i="96"/>
  <c r="J53" i="96"/>
  <c r="J35" i="96"/>
  <c r="H22" i="96"/>
  <c r="J64" i="96"/>
  <c r="J22" i="96"/>
  <c r="J55" i="96"/>
  <c r="J38" i="96"/>
  <c r="J91" i="96"/>
  <c r="J44" i="96"/>
  <c r="J41" i="96"/>
  <c r="J36" i="96"/>
  <c r="J31" i="96"/>
  <c r="J58" i="96"/>
  <c r="J48" i="96"/>
  <c r="J39" i="96"/>
  <c r="J27" i="96"/>
  <c r="J24" i="96"/>
  <c r="J83" i="96"/>
  <c r="J66" i="96"/>
  <c r="J78" i="96"/>
  <c r="J74" i="96"/>
  <c r="J25" i="96"/>
  <c r="J17" i="96"/>
  <c r="J45" i="96"/>
  <c r="J42" i="96"/>
  <c r="J34" i="96"/>
  <c r="J37" i="96"/>
  <c r="J82" i="96"/>
  <c r="V28" i="93"/>
  <c r="V32" i="93"/>
  <c r="J36" i="93"/>
  <c r="J40" i="93"/>
  <c r="J44" i="93"/>
  <c r="V48" i="93"/>
  <c r="J54" i="93"/>
  <c r="V60" i="93"/>
  <c r="J64" i="93"/>
  <c r="V72" i="93"/>
  <c r="J18" i="94"/>
  <c r="J33" i="94"/>
  <c r="J20" i="95"/>
  <c r="V50" i="95"/>
  <c r="V52" i="95"/>
  <c r="Z56" i="95"/>
  <c r="F66" i="95"/>
  <c r="N68" i="95"/>
  <c r="V76" i="95"/>
  <c r="V50" i="96"/>
  <c r="J35" i="93"/>
  <c r="V37" i="93"/>
  <c r="V41" i="93"/>
  <c r="V45" i="93"/>
  <c r="J53" i="93"/>
  <c r="J69" i="93"/>
  <c r="N12" i="94"/>
  <c r="J27" i="94"/>
  <c r="J30" i="94"/>
  <c r="J18" i="95"/>
  <c r="D23" i="95"/>
  <c r="V30" i="95"/>
  <c r="J68" i="95"/>
  <c r="V70" i="95"/>
  <c r="J30" i="96"/>
  <c r="F43" i="96"/>
  <c r="X50" i="96"/>
  <c r="Z50" i="96" s="1"/>
  <c r="L25" i="96"/>
  <c r="N25" i="96" s="1"/>
  <c r="X35" i="96"/>
  <c r="Z35" i="96" s="1"/>
  <c r="Z73" i="96"/>
  <c r="R88" i="98"/>
  <c r="R62" i="98"/>
  <c r="R81" i="98"/>
  <c r="R80" i="98"/>
  <c r="R84" i="98"/>
  <c r="R79" i="98"/>
  <c r="R72" i="98"/>
  <c r="R36" i="98"/>
  <c r="R35" i="98"/>
  <c r="R31" i="98"/>
  <c r="R27" i="98"/>
  <c r="P23" i="98"/>
  <c r="R67" i="98"/>
  <c r="R60" i="98"/>
  <c r="R54" i="98"/>
  <c r="R75" i="98"/>
  <c r="R61" i="98"/>
  <c r="R45" i="98"/>
  <c r="R41" i="98"/>
  <c r="R37" i="98"/>
  <c r="R18" i="98"/>
  <c r="R82" i="98"/>
  <c r="R32" i="98"/>
  <c r="R28" i="98"/>
  <c r="X12" i="98"/>
  <c r="R68" i="98"/>
  <c r="R55" i="98"/>
  <c r="R19" i="98"/>
  <c r="R76" i="98"/>
  <c r="R73" i="98"/>
  <c r="R47" i="98"/>
  <c r="R46" i="98"/>
  <c r="R42" i="98"/>
  <c r="R38" i="98"/>
  <c r="R77" i="98"/>
  <c r="R33" i="98"/>
  <c r="R29" i="98"/>
  <c r="R69" i="98"/>
  <c r="R57" i="98"/>
  <c r="R56" i="98"/>
  <c r="R49" i="98"/>
  <c r="R48" i="98"/>
  <c r="R20" i="98"/>
  <c r="R70" i="98"/>
  <c r="R64" i="98"/>
  <c r="R63" i="98"/>
  <c r="R43" i="98"/>
  <c r="R39" i="98"/>
  <c r="R78" i="98"/>
  <c r="R51" i="98"/>
  <c r="R50" i="98"/>
  <c r="R34" i="98"/>
  <c r="R30" i="98"/>
  <c r="R58" i="98"/>
  <c r="N77" i="98"/>
  <c r="L77" i="98"/>
  <c r="Z75" i="95"/>
  <c r="Z57" i="96"/>
  <c r="X25" i="98"/>
  <c r="Z25" i="98" s="1"/>
  <c r="R54" i="100"/>
  <c r="L61" i="96"/>
  <c r="N61" i="96" s="1"/>
  <c r="Z67" i="96"/>
  <c r="X75" i="96"/>
  <c r="Z75" i="96" s="1"/>
  <c r="X66" i="98"/>
  <c r="Z66" i="98" s="1"/>
  <c r="L17" i="96"/>
  <c r="N17" i="96" s="1"/>
  <c r="N24" i="96"/>
  <c r="V25" i="98"/>
  <c r="R66" i="98"/>
  <c r="Z42" i="100"/>
  <c r="L69" i="94"/>
  <c r="L36" i="95"/>
  <c r="N36" i="95" s="1"/>
  <c r="X58" i="95"/>
  <c r="X48" i="96"/>
  <c r="Z48" i="96" s="1"/>
  <c r="Z59" i="96"/>
  <c r="N91" i="96"/>
  <c r="L91" i="96"/>
  <c r="N18" i="98"/>
  <c r="N49" i="98"/>
  <c r="N59" i="98"/>
  <c r="D26" i="99"/>
  <c r="L22" i="99"/>
  <c r="V59" i="96"/>
  <c r="N63" i="96"/>
  <c r="N26" i="98"/>
  <c r="N47" i="98"/>
  <c r="J47" i="98"/>
  <c r="X59" i="98"/>
  <c r="Z59" i="98" s="1"/>
  <c r="T56" i="100"/>
  <c r="Z17" i="96"/>
  <c r="P12" i="96"/>
  <c r="X13" i="96"/>
  <c r="L57" i="96"/>
  <c r="N57" i="96" s="1"/>
  <c r="X63" i="96"/>
  <c r="Z63" i="96" s="1"/>
  <c r="L65" i="96"/>
  <c r="N65" i="96" s="1"/>
  <c r="R26" i="98"/>
  <c r="X36" i="98"/>
  <c r="Z36" i="98" s="1"/>
  <c r="X53" i="98"/>
  <c r="Z53" i="98" s="1"/>
  <c r="R71" i="98"/>
  <c r="J29" i="99"/>
  <c r="J26" i="99"/>
  <c r="N12" i="99"/>
  <c r="J22" i="99"/>
  <c r="J20" i="99"/>
  <c r="J18" i="99"/>
  <c r="J16" i="99"/>
  <c r="J14" i="99"/>
  <c r="J24" i="99"/>
  <c r="L12" i="99"/>
  <c r="R47" i="100"/>
  <c r="R50" i="100"/>
  <c r="R49" i="100"/>
  <c r="R38" i="100"/>
  <c r="R34" i="100"/>
  <c r="R30" i="100"/>
  <c r="R52" i="100"/>
  <c r="R25" i="100"/>
  <c r="R21" i="100"/>
  <c r="R40" i="100"/>
  <c r="R39" i="100"/>
  <c r="R35" i="100"/>
  <c r="R31" i="100"/>
  <c r="R59" i="100"/>
  <c r="R56" i="100"/>
  <c r="R42" i="100"/>
  <c r="R41" i="100"/>
  <c r="R36" i="100"/>
  <c r="R32" i="100"/>
  <c r="X12" i="100"/>
  <c r="R44" i="100"/>
  <c r="R43" i="100"/>
  <c r="R27" i="100"/>
  <c r="R23" i="100"/>
  <c r="R19" i="100"/>
  <c r="R46" i="100"/>
  <c r="R45" i="100"/>
  <c r="R37" i="100"/>
  <c r="R33" i="100"/>
  <c r="R18" i="100"/>
  <c r="R16" i="100"/>
  <c r="R14" i="100"/>
  <c r="R24" i="100"/>
  <c r="P16" i="100"/>
  <c r="R22" i="100"/>
  <c r="R20" i="100"/>
  <c r="R29" i="100"/>
  <c r="V68" i="96"/>
  <c r="V72" i="96"/>
  <c r="V84" i="96"/>
  <c r="V58" i="98"/>
  <c r="V59" i="98"/>
  <c r="V66" i="98"/>
  <c r="V71" i="98"/>
  <c r="V74" i="98"/>
  <c r="Z46" i="100"/>
  <c r="L22" i="101"/>
  <c r="N22" i="101" s="1"/>
  <c r="Z52" i="101"/>
  <c r="V37" i="96"/>
  <c r="V41" i="96"/>
  <c r="V45" i="96"/>
  <c r="V57" i="96"/>
  <c r="V73" i="96"/>
  <c r="V85" i="96"/>
  <c r="V95" i="96"/>
  <c r="J82" i="98"/>
  <c r="J59" i="98"/>
  <c r="J84" i="98"/>
  <c r="J88" i="98"/>
  <c r="J80" i="98"/>
  <c r="X13" i="98"/>
  <c r="Z13" i="98" s="1"/>
  <c r="V26" i="98"/>
  <c r="V30" i="98"/>
  <c r="V34" i="98"/>
  <c r="J38" i="98"/>
  <c r="J42" i="98"/>
  <c r="J46" i="98"/>
  <c r="V50" i="98"/>
  <c r="J73" i="98"/>
  <c r="J76" i="98"/>
  <c r="X12" i="99"/>
  <c r="R22" i="99"/>
  <c r="R20" i="99"/>
  <c r="R18" i="99"/>
  <c r="R16" i="99"/>
  <c r="R14" i="99"/>
  <c r="R24" i="99"/>
  <c r="R29" i="99"/>
  <c r="R26" i="99"/>
  <c r="L18" i="99"/>
  <c r="X22" i="101"/>
  <c r="V78" i="96"/>
  <c r="V82" i="96"/>
  <c r="V51" i="98"/>
  <c r="J55" i="98"/>
  <c r="J62" i="98"/>
  <c r="V63" i="98"/>
  <c r="J68" i="98"/>
  <c r="V81" i="98"/>
  <c r="P22" i="99"/>
  <c r="N18" i="100"/>
  <c r="Z22" i="101"/>
  <c r="V67" i="96"/>
  <c r="V71" i="96"/>
  <c r="V83" i="96"/>
  <c r="J18" i="98"/>
  <c r="V48" i="98"/>
  <c r="V56" i="98"/>
  <c r="N61" i="98"/>
  <c r="V64" i="98"/>
  <c r="V70" i="98"/>
  <c r="Z44" i="101"/>
  <c r="X44" i="101"/>
  <c r="V36" i="96"/>
  <c r="V40" i="96"/>
  <c r="V44" i="96"/>
  <c r="V64" i="96"/>
  <c r="V29" i="98"/>
  <c r="V33" i="98"/>
  <c r="J37" i="98"/>
  <c r="J41" i="98"/>
  <c r="J45" i="98"/>
  <c r="V49" i="98"/>
  <c r="V57" i="98"/>
  <c r="J61" i="98"/>
  <c r="Z18" i="100"/>
  <c r="N29" i="100"/>
  <c r="P12" i="101"/>
  <c r="X13" i="101"/>
  <c r="V17" i="96"/>
  <c r="V53" i="96"/>
  <c r="V65" i="96"/>
  <c r="V77" i="96"/>
  <c r="V81" i="96"/>
  <c r="V89" i="96"/>
  <c r="V91" i="96"/>
  <c r="V88" i="98"/>
  <c r="V77" i="98"/>
  <c r="V69" i="98"/>
  <c r="V76" i="98"/>
  <c r="V72" i="98"/>
  <c r="V78" i="98"/>
  <c r="V86" i="98"/>
  <c r="V84" i="98"/>
  <c r="V82" i="98"/>
  <c r="H23" i="98"/>
  <c r="J36" i="98"/>
  <c r="V38" i="98"/>
  <c r="V42" i="98"/>
  <c r="V46" i="98"/>
  <c r="J54" i="98"/>
  <c r="J60" i="98"/>
  <c r="V62" i="98"/>
  <c r="J67" i="98"/>
  <c r="J72" i="98"/>
  <c r="V73" i="98"/>
  <c r="J75" i="98"/>
  <c r="F49" i="101"/>
  <c r="J79" i="98"/>
  <c r="T22" i="96"/>
  <c r="V35" i="96"/>
  <c r="V39" i="96"/>
  <c r="V43" i="96"/>
  <c r="V51" i="96"/>
  <c r="V63" i="96"/>
  <c r="V87" i="96"/>
  <c r="Z12" i="98"/>
  <c r="J26" i="98"/>
  <c r="V28" i="98"/>
  <c r="V32" i="98"/>
  <c r="J40" i="98"/>
  <c r="J44" i="98"/>
  <c r="J52" i="98"/>
  <c r="J65" i="98"/>
  <c r="D16" i="100"/>
  <c r="N49" i="100"/>
  <c r="H59" i="101"/>
  <c r="N19" i="101"/>
  <c r="Z31" i="101"/>
  <c r="F36" i="101"/>
  <c r="V20" i="96"/>
  <c r="V24" i="96"/>
  <c r="V52" i="96"/>
  <c r="V60" i="96"/>
  <c r="V76" i="96"/>
  <c r="V80" i="96"/>
  <c r="J21" i="98"/>
  <c r="V37" i="98"/>
  <c r="V41" i="98"/>
  <c r="V45" i="98"/>
  <c r="J51" i="98"/>
  <c r="J58" i="98"/>
  <c r="J71" i="98"/>
  <c r="X72" i="98"/>
  <c r="Z72" i="98" s="1"/>
  <c r="V75" i="98"/>
  <c r="F56" i="101"/>
  <c r="F61" i="101"/>
  <c r="F51" i="101"/>
  <c r="F50" i="101"/>
  <c r="F53" i="101"/>
  <c r="F27" i="101"/>
  <c r="F23" i="101"/>
  <c r="F22" i="101"/>
  <c r="F21" i="101"/>
  <c r="F41" i="101"/>
  <c r="F37" i="101"/>
  <c r="F33" i="101"/>
  <c r="D19" i="101"/>
  <c r="F19" i="101" s="1"/>
  <c r="F28" i="101"/>
  <c r="F24" i="101"/>
  <c r="F54" i="101"/>
  <c r="F43" i="101"/>
  <c r="F42" i="101"/>
  <c r="F45" i="101"/>
  <c r="F44" i="101"/>
  <c r="F29" i="101"/>
  <c r="F25" i="101"/>
  <c r="F16" i="101"/>
  <c r="F15" i="101"/>
  <c r="F52" i="101"/>
  <c r="F47" i="101"/>
  <c r="F46" i="101"/>
  <c r="F39" i="101"/>
  <c r="F35" i="101"/>
  <c r="F30" i="101"/>
  <c r="F26" i="101"/>
  <c r="L12" i="101"/>
  <c r="F48" i="101"/>
  <c r="F17" i="101"/>
  <c r="F34" i="101"/>
  <c r="J78" i="98"/>
  <c r="L84" i="98"/>
  <c r="L16" i="99"/>
  <c r="L42" i="100"/>
  <c r="N42" i="100" s="1"/>
  <c r="F14" i="99"/>
  <c r="F16" i="99"/>
  <c r="F18" i="99"/>
  <c r="F20" i="99"/>
  <c r="F22" i="99"/>
  <c r="N12" i="100"/>
  <c r="V20" i="100"/>
  <c r="V24" i="100"/>
  <c r="V28" i="100"/>
  <c r="J32" i="100"/>
  <c r="J36" i="100"/>
  <c r="F40" i="100"/>
  <c r="F41" i="100"/>
  <c r="J42" i="100"/>
  <c r="J56" i="100"/>
  <c r="J59" i="100"/>
  <c r="J57" i="101"/>
  <c r="J56" i="101"/>
  <c r="J50" i="101"/>
  <c r="J52" i="101"/>
  <c r="J22" i="101"/>
  <c r="V24" i="101"/>
  <c r="V28" i="101"/>
  <c r="J32" i="101"/>
  <c r="J36" i="101"/>
  <c r="J40" i="101"/>
  <c r="V44" i="101"/>
  <c r="J49" i="101"/>
  <c r="V59" i="101"/>
  <c r="R40" i="102"/>
  <c r="J42" i="102"/>
  <c r="F49" i="102"/>
  <c r="R54" i="102"/>
  <c r="F60" i="102"/>
  <c r="R68" i="102"/>
  <c r="Z42" i="103"/>
  <c r="Z52" i="103"/>
  <c r="V37" i="100"/>
  <c r="J41" i="100"/>
  <c r="V45" i="100"/>
  <c r="V33" i="101"/>
  <c r="V37" i="101"/>
  <c r="V41" i="101"/>
  <c r="V63" i="101"/>
  <c r="V28" i="102"/>
  <c r="F37" i="102"/>
  <c r="R44" i="102"/>
  <c r="J46" i="102"/>
  <c r="N49" i="102"/>
  <c r="F62" i="102"/>
  <c r="Z25" i="104"/>
  <c r="V14" i="100"/>
  <c r="V16" i="100"/>
  <c r="V18" i="100"/>
  <c r="J22" i="100"/>
  <c r="J26" i="100"/>
  <c r="J40" i="100"/>
  <c r="V46" i="100"/>
  <c r="F52" i="100"/>
  <c r="J54" i="100"/>
  <c r="J26" i="101"/>
  <c r="J30" i="101"/>
  <c r="V42" i="101"/>
  <c r="J48" i="101"/>
  <c r="V50" i="101"/>
  <c r="V53" i="101"/>
  <c r="J61" i="101"/>
  <c r="J68" i="102"/>
  <c r="J69" i="102"/>
  <c r="J63" i="102"/>
  <c r="J53" i="102"/>
  <c r="J35" i="102"/>
  <c r="J31" i="102"/>
  <c r="J27" i="102"/>
  <c r="J25" i="102"/>
  <c r="J23" i="102"/>
  <c r="J70" i="102"/>
  <c r="J64" i="102"/>
  <c r="J54" i="102"/>
  <c r="J36" i="102"/>
  <c r="J71" i="102"/>
  <c r="J65" i="102"/>
  <c r="J55" i="102"/>
  <c r="J45" i="102"/>
  <c r="J41" i="102"/>
  <c r="J37" i="102"/>
  <c r="J72" i="102"/>
  <c r="J56" i="102"/>
  <c r="J57" i="102"/>
  <c r="J19" i="102"/>
  <c r="J75" i="102"/>
  <c r="J74" i="102"/>
  <c r="J66" i="102"/>
  <c r="J58" i="102"/>
  <c r="J77" i="102"/>
  <c r="J59" i="102"/>
  <c r="J47" i="102"/>
  <c r="J33" i="102"/>
  <c r="J29" i="102"/>
  <c r="J60" i="102"/>
  <c r="J48" i="102"/>
  <c r="J62" i="102"/>
  <c r="J50" i="102"/>
  <c r="J34" i="102"/>
  <c r="J30" i="102"/>
  <c r="R18" i="102"/>
  <c r="J20" i="102"/>
  <c r="V26" i="102"/>
  <c r="J49" i="102"/>
  <c r="J68" i="103"/>
  <c r="J65" i="103"/>
  <c r="J57" i="103"/>
  <c r="J49" i="103"/>
  <c r="J51" i="103"/>
  <c r="J45" i="103"/>
  <c r="J37" i="103"/>
  <c r="J33" i="103"/>
  <c r="J19" i="103"/>
  <c r="J63" i="103"/>
  <c r="J46" i="103"/>
  <c r="J28" i="103"/>
  <c r="J24" i="103"/>
  <c r="J20" i="103"/>
  <c r="J18" i="103"/>
  <c r="J16" i="103"/>
  <c r="J14" i="103"/>
  <c r="J52" i="103"/>
  <c r="J47" i="103"/>
  <c r="J29" i="103"/>
  <c r="H16" i="103"/>
  <c r="J48" i="103"/>
  <c r="J38" i="103"/>
  <c r="J34" i="103"/>
  <c r="J30" i="103"/>
  <c r="J53" i="103"/>
  <c r="J25" i="103"/>
  <c r="J21" i="103"/>
  <c r="J59" i="103"/>
  <c r="J54" i="103"/>
  <c r="J39" i="103"/>
  <c r="J35" i="103"/>
  <c r="J31" i="103"/>
  <c r="J40" i="103"/>
  <c r="J26" i="103"/>
  <c r="J22" i="103"/>
  <c r="J61" i="103"/>
  <c r="J55" i="103"/>
  <c r="J50" i="103"/>
  <c r="J41" i="103"/>
  <c r="J43" i="103"/>
  <c r="J27" i="103"/>
  <c r="J23" i="103"/>
  <c r="N19" i="103"/>
  <c r="Z29" i="103"/>
  <c r="V23" i="100"/>
  <c r="V27" i="100"/>
  <c r="J31" i="100"/>
  <c r="J35" i="100"/>
  <c r="J39" i="100"/>
  <c r="V43" i="100"/>
  <c r="F49" i="100"/>
  <c r="V23" i="101"/>
  <c r="J35" i="101"/>
  <c r="J39" i="101"/>
  <c r="J47" i="101"/>
  <c r="N52" i="101"/>
  <c r="V36" i="100"/>
  <c r="V44" i="100"/>
  <c r="J52" i="100"/>
  <c r="V52" i="101"/>
  <c r="V56" i="101"/>
  <c r="V54" i="101"/>
  <c r="T19" i="101"/>
  <c r="V32" i="101"/>
  <c r="V36" i="101"/>
  <c r="V40" i="101"/>
  <c r="J46" i="101"/>
  <c r="V49" i="101"/>
  <c r="V57" i="101"/>
  <c r="V74" i="102"/>
  <c r="V72" i="102"/>
  <c r="V56" i="102"/>
  <c r="V75" i="102"/>
  <c r="V59" i="102"/>
  <c r="V47" i="102"/>
  <c r="V19" i="102"/>
  <c r="V66" i="102"/>
  <c r="V58" i="102"/>
  <c r="V46" i="102"/>
  <c r="V42" i="102"/>
  <c r="V38" i="102"/>
  <c r="V61" i="102"/>
  <c r="V49" i="102"/>
  <c r="V33" i="102"/>
  <c r="V29" i="102"/>
  <c r="V60" i="102"/>
  <c r="V79" i="102"/>
  <c r="V67" i="102"/>
  <c r="V51" i="102"/>
  <c r="V43" i="102"/>
  <c r="V39" i="102"/>
  <c r="V62" i="102"/>
  <c r="V50" i="102"/>
  <c r="V69" i="102"/>
  <c r="V53" i="102"/>
  <c r="V25" i="102"/>
  <c r="V21" i="102"/>
  <c r="V68" i="102"/>
  <c r="V64" i="102"/>
  <c r="V52" i="102"/>
  <c r="V44" i="102"/>
  <c r="V40" i="102"/>
  <c r="V36" i="102"/>
  <c r="V70" i="102"/>
  <c r="V54" i="102"/>
  <c r="V18" i="102"/>
  <c r="R65" i="102"/>
  <c r="R72" i="102"/>
  <c r="R57" i="102"/>
  <c r="R56" i="102"/>
  <c r="R32" i="102"/>
  <c r="R28" i="102"/>
  <c r="X12" i="102"/>
  <c r="Z12" i="102" s="1"/>
  <c r="R75" i="102"/>
  <c r="R74" i="102"/>
  <c r="R66" i="102"/>
  <c r="R59" i="102"/>
  <c r="R58" i="102"/>
  <c r="R47" i="102"/>
  <c r="R46" i="102"/>
  <c r="R42" i="102"/>
  <c r="R38" i="102"/>
  <c r="R61" i="102"/>
  <c r="R60" i="102"/>
  <c r="R49" i="102"/>
  <c r="R48" i="102"/>
  <c r="R20" i="102"/>
  <c r="R79" i="102"/>
  <c r="R67" i="102"/>
  <c r="R62" i="102"/>
  <c r="R51" i="102"/>
  <c r="R50" i="102"/>
  <c r="R34" i="102"/>
  <c r="R30" i="102"/>
  <c r="R26" i="102"/>
  <c r="R64" i="102"/>
  <c r="R63" i="102"/>
  <c r="R36" i="102"/>
  <c r="R35" i="102"/>
  <c r="R31" i="102"/>
  <c r="R27" i="102"/>
  <c r="P23" i="102"/>
  <c r="D23" i="102"/>
  <c r="R25" i="102"/>
  <c r="V31" i="102"/>
  <c r="R37" i="102"/>
  <c r="F41" i="102"/>
  <c r="F48" i="102"/>
  <c r="Z49" i="102"/>
  <c r="J79" i="102"/>
  <c r="J32" i="103"/>
  <c r="J36" i="103"/>
  <c r="H81" i="102"/>
  <c r="J81" i="102" s="1"/>
  <c r="F59" i="102"/>
  <c r="X64" i="102"/>
  <c r="V22" i="100"/>
  <c r="V26" i="100"/>
  <c r="J30" i="100"/>
  <c r="J34" i="100"/>
  <c r="J38" i="100"/>
  <c r="V42" i="100"/>
  <c r="F46" i="100"/>
  <c r="F47" i="100"/>
  <c r="V54" i="100"/>
  <c r="V56" i="100"/>
  <c r="V59" i="100"/>
  <c r="Z12" i="101"/>
  <c r="L15" i="101"/>
  <c r="X21" i="101"/>
  <c r="Z21" i="101" s="1"/>
  <c r="V22" i="101"/>
  <c r="V26" i="101"/>
  <c r="V30" i="101"/>
  <c r="J34" i="101"/>
  <c r="J38" i="101"/>
  <c r="J44" i="101"/>
  <c r="J51" i="101"/>
  <c r="J66" i="101"/>
  <c r="F34" i="102"/>
  <c r="F36" i="102"/>
  <c r="R39" i="102"/>
  <c r="J43" i="102"/>
  <c r="R53" i="102"/>
  <c r="R55" i="102"/>
  <c r="Z64" i="102"/>
  <c r="T16" i="99"/>
  <c r="X16" i="99" s="1"/>
  <c r="H16" i="100"/>
  <c r="J29" i="100"/>
  <c r="V31" i="100"/>
  <c r="V35" i="100"/>
  <c r="V39" i="100"/>
  <c r="J47" i="100"/>
  <c r="N15" i="101"/>
  <c r="V31" i="101"/>
  <c r="V35" i="101"/>
  <c r="V39" i="101"/>
  <c r="J43" i="101"/>
  <c r="V47" i="101"/>
  <c r="J54" i="101"/>
  <c r="J59" i="101"/>
  <c r="F68" i="102"/>
  <c r="F52" i="102"/>
  <c r="F51" i="102"/>
  <c r="F44" i="102"/>
  <c r="F40" i="102"/>
  <c r="F63" i="102"/>
  <c r="F35" i="102"/>
  <c r="F31" i="102"/>
  <c r="F27" i="102"/>
  <c r="F26" i="102"/>
  <c r="F70" i="102"/>
  <c r="F69" i="102"/>
  <c r="F54" i="102"/>
  <c r="F53" i="102"/>
  <c r="F25" i="102"/>
  <c r="F23" i="102"/>
  <c r="F65" i="102"/>
  <c r="F64" i="102"/>
  <c r="F72" i="102"/>
  <c r="F71" i="102"/>
  <c r="F56" i="102"/>
  <c r="F55" i="102"/>
  <c r="F32" i="102"/>
  <c r="F28" i="102"/>
  <c r="L12" i="102"/>
  <c r="N12" i="102" s="1"/>
  <c r="F75" i="102"/>
  <c r="F66" i="102"/>
  <c r="F58" i="102"/>
  <c r="F57" i="102"/>
  <c r="F46" i="102"/>
  <c r="F42" i="102"/>
  <c r="F38" i="102"/>
  <c r="F74" i="102"/>
  <c r="F33" i="102"/>
  <c r="F29" i="102"/>
  <c r="F79" i="102"/>
  <c r="F67" i="102"/>
  <c r="F43" i="102"/>
  <c r="F39" i="102"/>
  <c r="F19" i="102"/>
  <c r="V27" i="102"/>
  <c r="J32" i="102"/>
  <c r="R41" i="102"/>
  <c r="V48" i="102"/>
  <c r="J52" i="102"/>
  <c r="F61" i="102"/>
  <c r="J67" i="102"/>
  <c r="N71" i="102"/>
  <c r="Z74" i="102"/>
  <c r="Z26" i="104"/>
  <c r="V14" i="99"/>
  <c r="V16" i="99"/>
  <c r="V18" i="99"/>
  <c r="V20" i="99"/>
  <c r="F26" i="99"/>
  <c r="J14" i="100"/>
  <c r="J16" i="100"/>
  <c r="J18" i="100"/>
  <c r="J20" i="100"/>
  <c r="J24" i="100"/>
  <c r="J28" i="100"/>
  <c r="V40" i="100"/>
  <c r="F44" i="100"/>
  <c r="F45" i="100"/>
  <c r="J46" i="100"/>
  <c r="V16" i="101"/>
  <c r="J24" i="101"/>
  <c r="J28" i="101"/>
  <c r="J42" i="101"/>
  <c r="V48" i="101"/>
  <c r="R23" i="102"/>
  <c r="F30" i="102"/>
  <c r="V34" i="102"/>
  <c r="V41" i="102"/>
  <c r="R43" i="102"/>
  <c r="R45" i="102"/>
  <c r="F47" i="102"/>
  <c r="V55" i="102"/>
  <c r="V57" i="102"/>
  <c r="R69" i="102"/>
  <c r="J56" i="103"/>
  <c r="J19" i="100"/>
  <c r="V21" i="100"/>
  <c r="V25" i="100"/>
  <c r="J33" i="100"/>
  <c r="J37" i="100"/>
  <c r="J45" i="100"/>
  <c r="V25" i="101"/>
  <c r="V29" i="101"/>
  <c r="J33" i="101"/>
  <c r="J37" i="101"/>
  <c r="J41" i="101"/>
  <c r="V45" i="101"/>
  <c r="V51" i="101"/>
  <c r="V66" i="101"/>
  <c r="F18" i="102"/>
  <c r="R19" i="102"/>
  <c r="F21" i="102"/>
  <c r="T23" i="102"/>
  <c r="X36" i="102"/>
  <c r="Z36" i="102" s="1"/>
  <c r="J38" i="102"/>
  <c r="V45" i="102"/>
  <c r="N47" i="102"/>
  <c r="R52" i="102"/>
  <c r="J61" i="102"/>
  <c r="V63" i="102"/>
  <c r="R71" i="102"/>
  <c r="V25" i="104"/>
  <c r="H87" i="104"/>
  <c r="V30" i="100"/>
  <c r="V34" i="100"/>
  <c r="V38" i="100"/>
  <c r="V50" i="100"/>
  <c r="F56" i="100"/>
  <c r="V34" i="101"/>
  <c r="V38" i="101"/>
  <c r="V46" i="101"/>
  <c r="J63" i="101"/>
  <c r="J21" i="102"/>
  <c r="J26" i="102"/>
  <c r="J28" i="102"/>
  <c r="V30" i="102"/>
  <c r="V32" i="102"/>
  <c r="J40" i="102"/>
  <c r="V65" i="102"/>
  <c r="J42" i="103"/>
  <c r="J44" i="103"/>
  <c r="L12" i="103"/>
  <c r="P16" i="103"/>
  <c r="R20" i="103"/>
  <c r="R24" i="103"/>
  <c r="R28" i="103"/>
  <c r="R29" i="103"/>
  <c r="F32" i="103"/>
  <c r="F36" i="103"/>
  <c r="V47" i="103"/>
  <c r="V57" i="103"/>
  <c r="F61" i="103"/>
  <c r="R58" i="106"/>
  <c r="R77" i="104"/>
  <c r="R76" i="104"/>
  <c r="R72" i="104"/>
  <c r="R89" i="104"/>
  <c r="R67" i="104"/>
  <c r="R60" i="104"/>
  <c r="R59" i="104"/>
  <c r="R48" i="104"/>
  <c r="R47" i="104"/>
  <c r="R43" i="104"/>
  <c r="R39" i="104"/>
  <c r="R79" i="104"/>
  <c r="R78" i="104"/>
  <c r="R73" i="104"/>
  <c r="R62" i="104"/>
  <c r="R61" i="104"/>
  <c r="R81" i="104"/>
  <c r="R80" i="104"/>
  <c r="R69" i="104"/>
  <c r="R68" i="104"/>
  <c r="R44" i="104"/>
  <c r="R40" i="104"/>
  <c r="R25" i="104"/>
  <c r="R64" i="104"/>
  <c r="R63" i="104"/>
  <c r="R82" i="104"/>
  <c r="R74" i="104"/>
  <c r="R70" i="104"/>
  <c r="R65" i="104"/>
  <c r="R54" i="104"/>
  <c r="R53" i="104"/>
  <c r="R45" i="104"/>
  <c r="R41" i="104"/>
  <c r="R18" i="104"/>
  <c r="R37" i="104"/>
  <c r="R36" i="104"/>
  <c r="R32" i="104"/>
  <c r="R28" i="104"/>
  <c r="X12" i="104"/>
  <c r="Z12" i="104" s="1"/>
  <c r="H88" i="106"/>
  <c r="J88" i="106" s="1"/>
  <c r="X56" i="106"/>
  <c r="Z56" i="106" s="1"/>
  <c r="R50" i="103"/>
  <c r="R63" i="103"/>
  <c r="T16" i="103"/>
  <c r="R19" i="103"/>
  <c r="F22" i="103"/>
  <c r="F26" i="103"/>
  <c r="V29" i="103"/>
  <c r="V33" i="103"/>
  <c r="V37" i="103"/>
  <c r="V45" i="103"/>
  <c r="V51" i="103"/>
  <c r="F54" i="103"/>
  <c r="L59" i="103"/>
  <c r="V76" i="104"/>
  <c r="V72" i="104"/>
  <c r="V89" i="104"/>
  <c r="V79" i="104"/>
  <c r="V67" i="104"/>
  <c r="V59" i="104"/>
  <c r="V47" i="104"/>
  <c r="V43" i="104"/>
  <c r="V78" i="104"/>
  <c r="V62" i="104"/>
  <c r="V50" i="104"/>
  <c r="V34" i="104"/>
  <c r="V30" i="104"/>
  <c r="V26" i="104"/>
  <c r="V81" i="104"/>
  <c r="V73" i="104"/>
  <c r="V69" i="104"/>
  <c r="V61" i="104"/>
  <c r="V49" i="104"/>
  <c r="V80" i="104"/>
  <c r="V68" i="104"/>
  <c r="V64" i="104"/>
  <c r="V63" i="104"/>
  <c r="V51" i="104"/>
  <c r="V35" i="104"/>
  <c r="V31" i="104"/>
  <c r="V27" i="104"/>
  <c r="V82" i="104"/>
  <c r="V74" i="104"/>
  <c r="V70" i="104"/>
  <c r="V65" i="104"/>
  <c r="V53" i="104"/>
  <c r="V45" i="104"/>
  <c r="V41" i="104"/>
  <c r="V56" i="104"/>
  <c r="V36" i="104"/>
  <c r="V32" i="104"/>
  <c r="V28" i="104"/>
  <c r="V85" i="104"/>
  <c r="V83" i="104"/>
  <c r="V75" i="104"/>
  <c r="V71" i="104"/>
  <c r="V55" i="104"/>
  <c r="V19" i="104"/>
  <c r="P23" i="104"/>
  <c r="R23" i="104" s="1"/>
  <c r="R33" i="104"/>
  <c r="V48" i="104"/>
  <c r="R56" i="104"/>
  <c r="L81" i="104"/>
  <c r="N81" i="104" s="1"/>
  <c r="F42" i="105"/>
  <c r="L54" i="105"/>
  <c r="J23" i="106"/>
  <c r="V56" i="106"/>
  <c r="V55" i="103"/>
  <c r="V68" i="103"/>
  <c r="V65" i="103"/>
  <c r="V63" i="103"/>
  <c r="V14" i="103"/>
  <c r="V16" i="103"/>
  <c r="V18" i="103"/>
  <c r="R23" i="103"/>
  <c r="R27" i="103"/>
  <c r="F31" i="103"/>
  <c r="F35" i="103"/>
  <c r="F39" i="103"/>
  <c r="R43" i="103"/>
  <c r="R44" i="103"/>
  <c r="V46" i="103"/>
  <c r="R56" i="103"/>
  <c r="F59" i="103"/>
  <c r="F65" i="103"/>
  <c r="R19" i="104"/>
  <c r="T23" i="104"/>
  <c r="V33" i="104"/>
  <c r="V39" i="104"/>
  <c r="T60" i="105"/>
  <c r="R32" i="103"/>
  <c r="R36" i="103"/>
  <c r="R61" i="103"/>
  <c r="R68" i="103"/>
  <c r="R30" i="104"/>
  <c r="F21" i="103"/>
  <c r="F25" i="103"/>
  <c r="V32" i="103"/>
  <c r="V36" i="103"/>
  <c r="R41" i="103"/>
  <c r="R42" i="103"/>
  <c r="V44" i="103"/>
  <c r="F48" i="103"/>
  <c r="F49" i="103"/>
  <c r="V50" i="103"/>
  <c r="F53" i="103"/>
  <c r="R55" i="103"/>
  <c r="V56" i="103"/>
  <c r="R27" i="104"/>
  <c r="R50" i="104"/>
  <c r="N52" i="104"/>
  <c r="R55" i="104"/>
  <c r="R58" i="104"/>
  <c r="R75" i="104"/>
  <c r="Z77" i="104"/>
  <c r="R83" i="104"/>
  <c r="F58" i="105"/>
  <c r="F44" i="105"/>
  <c r="F43" i="105"/>
  <c r="F28" i="105"/>
  <c r="F24" i="105"/>
  <c r="F46" i="105"/>
  <c r="F45" i="105"/>
  <c r="F38" i="105"/>
  <c r="F34" i="105"/>
  <c r="F63" i="105"/>
  <c r="F60" i="105"/>
  <c r="F29" i="105"/>
  <c r="F25" i="105"/>
  <c r="F48" i="105"/>
  <c r="F47" i="105"/>
  <c r="F16" i="105"/>
  <c r="F15" i="105"/>
  <c r="F39" i="105"/>
  <c r="F35" i="105"/>
  <c r="F31" i="105"/>
  <c r="F30" i="105"/>
  <c r="F50" i="105"/>
  <c r="F49" i="105"/>
  <c r="F26" i="105"/>
  <c r="F22" i="105"/>
  <c r="F21" i="105"/>
  <c r="L12" i="105"/>
  <c r="F20" i="105"/>
  <c r="F18" i="105"/>
  <c r="F52" i="105"/>
  <c r="F51" i="105"/>
  <c r="F40" i="105"/>
  <c r="F36" i="105"/>
  <c r="F32" i="105"/>
  <c r="D18" i="105"/>
  <c r="F27" i="105"/>
  <c r="F23" i="105"/>
  <c r="X49" i="105"/>
  <c r="L16" i="109"/>
  <c r="D16" i="103"/>
  <c r="F29" i="103"/>
  <c r="F30" i="103"/>
  <c r="F34" i="103"/>
  <c r="F38" i="103"/>
  <c r="F52" i="103"/>
  <c r="R21" i="104"/>
  <c r="R35" i="104"/>
  <c r="Z58" i="104"/>
  <c r="N64" i="104"/>
  <c r="R66" i="104"/>
  <c r="V77" i="104"/>
  <c r="F14" i="103"/>
  <c r="F16" i="103"/>
  <c r="F18" i="103"/>
  <c r="V22" i="103"/>
  <c r="V26" i="103"/>
  <c r="R31" i="103"/>
  <c r="R35" i="103"/>
  <c r="R39" i="103"/>
  <c r="R40" i="103"/>
  <c r="V42" i="103"/>
  <c r="F46" i="103"/>
  <c r="F47" i="103"/>
  <c r="R59" i="103"/>
  <c r="V21" i="104"/>
  <c r="R38" i="104"/>
  <c r="V58" i="104"/>
  <c r="V60" i="104"/>
  <c r="J64" i="104"/>
  <c r="V66" i="104"/>
  <c r="F41" i="105"/>
  <c r="F56" i="105"/>
  <c r="F19" i="103"/>
  <c r="F20" i="103"/>
  <c r="F24" i="103"/>
  <c r="F28" i="103"/>
  <c r="V31" i="103"/>
  <c r="V35" i="103"/>
  <c r="V39" i="103"/>
  <c r="R49" i="103"/>
  <c r="R53" i="103"/>
  <c r="R54" i="103"/>
  <c r="F63" i="103"/>
  <c r="R65" i="103"/>
  <c r="R29" i="104"/>
  <c r="V38" i="104"/>
  <c r="R42" i="104"/>
  <c r="R49" i="104"/>
  <c r="R52" i="104"/>
  <c r="R57" i="104"/>
  <c r="N69" i="104"/>
  <c r="R71" i="104"/>
  <c r="H56" i="105"/>
  <c r="D12" i="106"/>
  <c r="L14" i="106"/>
  <c r="N14" i="106" s="1"/>
  <c r="N81" i="106"/>
  <c r="R21" i="103"/>
  <c r="R25" i="103"/>
  <c r="F33" i="103"/>
  <c r="F37" i="103"/>
  <c r="V40" i="103"/>
  <c r="F44" i="103"/>
  <c r="F45" i="103"/>
  <c r="V49" i="103"/>
  <c r="V53" i="103"/>
  <c r="Z54" i="103"/>
  <c r="V59" i="103"/>
  <c r="D12" i="104"/>
  <c r="R26" i="104"/>
  <c r="V40" i="104"/>
  <c r="V42" i="104"/>
  <c r="V44" i="104"/>
  <c r="R46" i="104"/>
  <c r="V57" i="104"/>
  <c r="F57" i="103"/>
  <c r="F56" i="103"/>
  <c r="R38" i="103"/>
  <c r="R20" i="104"/>
  <c r="X25" i="104"/>
  <c r="R66" i="106"/>
  <c r="R46" i="106"/>
  <c r="R42" i="106"/>
  <c r="R38" i="106"/>
  <c r="R77" i="106"/>
  <c r="R90" i="106"/>
  <c r="R73" i="106"/>
  <c r="R72" i="106"/>
  <c r="R20" i="106"/>
  <c r="R68" i="106"/>
  <c r="R67" i="106"/>
  <c r="R60" i="106"/>
  <c r="R59" i="106"/>
  <c r="R48" i="106"/>
  <c r="R47" i="106"/>
  <c r="R43" i="106"/>
  <c r="R39" i="106"/>
  <c r="R79" i="106"/>
  <c r="R78" i="106"/>
  <c r="R74" i="106"/>
  <c r="R69" i="106"/>
  <c r="R62" i="106"/>
  <c r="R61" i="106"/>
  <c r="R50" i="106"/>
  <c r="R49" i="106"/>
  <c r="R81" i="106"/>
  <c r="R80" i="106"/>
  <c r="R44" i="106"/>
  <c r="R40" i="106"/>
  <c r="R75" i="106"/>
  <c r="R64" i="106"/>
  <c r="R63" i="106"/>
  <c r="R52" i="106"/>
  <c r="R51" i="106"/>
  <c r="R35" i="106"/>
  <c r="R31" i="106"/>
  <c r="R27" i="106"/>
  <c r="R83" i="106"/>
  <c r="R82" i="106"/>
  <c r="R70" i="106"/>
  <c r="R84" i="106"/>
  <c r="R76" i="106"/>
  <c r="R56" i="106"/>
  <c r="R54" i="106"/>
  <c r="R34" i="106"/>
  <c r="R37" i="106"/>
  <c r="R65" i="106"/>
  <c r="R45" i="106"/>
  <c r="R41" i="106"/>
  <c r="R32" i="106"/>
  <c r="R30" i="106"/>
  <c r="R21" i="106"/>
  <c r="R33" i="106"/>
  <c r="R28" i="106"/>
  <c r="R86" i="106"/>
  <c r="R57" i="106"/>
  <c r="R25" i="106"/>
  <c r="P23" i="106"/>
  <c r="R18" i="106"/>
  <c r="R55" i="106"/>
  <c r="R53" i="106"/>
  <c r="R26" i="106"/>
  <c r="X12" i="106"/>
  <c r="Z12" i="106" s="1"/>
  <c r="R71" i="106"/>
  <c r="R19" i="106"/>
  <c r="J23" i="104"/>
  <c r="J25" i="104"/>
  <c r="J27" i="104"/>
  <c r="J31" i="104"/>
  <c r="J35" i="104"/>
  <c r="J51" i="104"/>
  <c r="J63" i="104"/>
  <c r="J69" i="104"/>
  <c r="J81" i="104"/>
  <c r="Z18" i="105"/>
  <c r="V30" i="105"/>
  <c r="V34" i="105"/>
  <c r="V38" i="105"/>
  <c r="J42" i="105"/>
  <c r="V46" i="105"/>
  <c r="J54" i="105"/>
  <c r="J56" i="105"/>
  <c r="R60" i="105"/>
  <c r="R63" i="105"/>
  <c r="V77" i="106"/>
  <c r="V73" i="106"/>
  <c r="V57" i="106"/>
  <c r="V33" i="106"/>
  <c r="V29" i="106"/>
  <c r="V90" i="106"/>
  <c r="V72" i="106"/>
  <c r="V68" i="106"/>
  <c r="V79" i="106"/>
  <c r="V67" i="106"/>
  <c r="V59" i="106"/>
  <c r="V47" i="106"/>
  <c r="V43" i="106"/>
  <c r="V39" i="106"/>
  <c r="V78" i="106"/>
  <c r="V74" i="106"/>
  <c r="V62" i="106"/>
  <c r="V50" i="106"/>
  <c r="V81" i="106"/>
  <c r="V69" i="106"/>
  <c r="V61" i="106"/>
  <c r="V49" i="106"/>
  <c r="V80" i="106"/>
  <c r="V64" i="106"/>
  <c r="V52" i="106"/>
  <c r="V83" i="106"/>
  <c r="V75" i="106"/>
  <c r="V63" i="106"/>
  <c r="V51" i="106"/>
  <c r="V35" i="106"/>
  <c r="V31" i="106"/>
  <c r="V27" i="106"/>
  <c r="V82" i="106"/>
  <c r="V70" i="106"/>
  <c r="V54" i="106"/>
  <c r="V65" i="106"/>
  <c r="V53" i="106"/>
  <c r="V45" i="106"/>
  <c r="V41" i="106"/>
  <c r="V37" i="106"/>
  <c r="V71" i="106"/>
  <c r="V19" i="106"/>
  <c r="X26" i="106"/>
  <c r="Z26" i="106" s="1"/>
  <c r="J28" i="106"/>
  <c r="J33" i="106"/>
  <c r="V36" i="106"/>
  <c r="V38" i="106"/>
  <c r="V46" i="106"/>
  <c r="N50" i="106"/>
  <c r="J62" i="106"/>
  <c r="V40" i="108"/>
  <c r="V75" i="108"/>
  <c r="H50" i="109"/>
  <c r="J26" i="104"/>
  <c r="J40" i="104"/>
  <c r="J44" i="104"/>
  <c r="J50" i="104"/>
  <c r="J62" i="104"/>
  <c r="J68" i="104"/>
  <c r="J80" i="104"/>
  <c r="V15" i="105"/>
  <c r="J23" i="105"/>
  <c r="R24" i="105"/>
  <c r="J27" i="105"/>
  <c r="R28" i="105"/>
  <c r="J41" i="105"/>
  <c r="R44" i="105"/>
  <c r="R45" i="105"/>
  <c r="V47" i="105"/>
  <c r="R58" i="105"/>
  <c r="J21" i="106"/>
  <c r="J50" i="106"/>
  <c r="V58" i="106"/>
  <c r="V60" i="106"/>
  <c r="V76" i="106"/>
  <c r="N79" i="106"/>
  <c r="N23" i="108"/>
  <c r="V30" i="108"/>
  <c r="F33" i="108"/>
  <c r="V36" i="108"/>
  <c r="V50" i="108"/>
  <c r="V62" i="108"/>
  <c r="V69" i="108"/>
  <c r="Z19" i="109"/>
  <c r="J61" i="104"/>
  <c r="J73" i="104"/>
  <c r="J79" i="104"/>
  <c r="V28" i="105"/>
  <c r="J32" i="105"/>
  <c r="R33" i="105"/>
  <c r="J36" i="105"/>
  <c r="R37" i="105"/>
  <c r="J40" i="105"/>
  <c r="V44" i="105"/>
  <c r="J52" i="105"/>
  <c r="V58" i="105"/>
  <c r="V60" i="105"/>
  <c r="V63" i="105"/>
  <c r="J52" i="106"/>
  <c r="F47" i="108"/>
  <c r="V44" i="109"/>
  <c r="V27" i="109"/>
  <c r="V23" i="109"/>
  <c r="V19" i="109"/>
  <c r="V37" i="109"/>
  <c r="V33" i="109"/>
  <c r="V29" i="109"/>
  <c r="V48" i="109"/>
  <c r="V40" i="109"/>
  <c r="V25" i="109"/>
  <c r="V21" i="109"/>
  <c r="V53" i="109"/>
  <c r="V42" i="109"/>
  <c r="V35" i="109"/>
  <c r="V31" i="109"/>
  <c r="V50" i="109"/>
  <c r="V38" i="109"/>
  <c r="V46" i="109"/>
  <c r="V14" i="109"/>
  <c r="V36" i="109"/>
  <c r="V20" i="109"/>
  <c r="V16" i="109"/>
  <c r="V43" i="109"/>
  <c r="T16" i="109"/>
  <c r="V34" i="109"/>
  <c r="V18" i="109"/>
  <c r="V26" i="109"/>
  <c r="V32" i="109"/>
  <c r="V41" i="109"/>
  <c r="V30" i="109"/>
  <c r="V24" i="109"/>
  <c r="Z12" i="109"/>
  <c r="J78" i="104"/>
  <c r="V33" i="105"/>
  <c r="V37" i="105"/>
  <c r="R42" i="105"/>
  <c r="R43" i="105"/>
  <c r="V45" i="105"/>
  <c r="J51" i="105"/>
  <c r="Z25" i="106"/>
  <c r="V26" i="106"/>
  <c r="J32" i="106"/>
  <c r="J35" i="106"/>
  <c r="Z79" i="106"/>
  <c r="J82" i="106"/>
  <c r="Z23" i="108"/>
  <c r="N72" i="108"/>
  <c r="J39" i="104"/>
  <c r="J43" i="104"/>
  <c r="J47" i="104"/>
  <c r="J59" i="104"/>
  <c r="J67" i="104"/>
  <c r="J77" i="104"/>
  <c r="J89" i="104"/>
  <c r="N12" i="105"/>
  <c r="J18" i="105"/>
  <c r="J20" i="105"/>
  <c r="J22" i="105"/>
  <c r="R23" i="105"/>
  <c r="J26" i="105"/>
  <c r="R27" i="105"/>
  <c r="V42" i="105"/>
  <c r="J50" i="105"/>
  <c r="R54" i="105"/>
  <c r="R56" i="105"/>
  <c r="V18" i="106"/>
  <c r="T23" i="106"/>
  <c r="V25" i="106"/>
  <c r="N37" i="106"/>
  <c r="V86" i="106"/>
  <c r="V22" i="109"/>
  <c r="V28" i="109"/>
  <c r="N40" i="109"/>
  <c r="J72" i="104"/>
  <c r="J76" i="104"/>
  <c r="J31" i="105"/>
  <c r="R32" i="105"/>
  <c r="J35" i="105"/>
  <c r="R36" i="105"/>
  <c r="J39" i="105"/>
  <c r="R40" i="105"/>
  <c r="R41" i="105"/>
  <c r="J49" i="105"/>
  <c r="R52" i="105"/>
  <c r="J20" i="106"/>
  <c r="J70" i="106"/>
  <c r="J80" i="106"/>
  <c r="J57" i="104"/>
  <c r="J85" i="104"/>
  <c r="J87" i="104"/>
  <c r="J16" i="105"/>
  <c r="J30" i="105"/>
  <c r="V32" i="105"/>
  <c r="V36" i="105"/>
  <c r="V40" i="105"/>
  <c r="J48" i="105"/>
  <c r="V52" i="105"/>
  <c r="V54" i="105"/>
  <c r="V56" i="105"/>
  <c r="X37" i="106"/>
  <c r="Z37" i="106" s="1"/>
  <c r="J54" i="106"/>
  <c r="Z45" i="108"/>
  <c r="Z15" i="110"/>
  <c r="X15" i="110"/>
  <c r="J38" i="104"/>
  <c r="J42" i="104"/>
  <c r="J46" i="104"/>
  <c r="J56" i="104"/>
  <c r="J66" i="104"/>
  <c r="X12" i="105"/>
  <c r="J15" i="105"/>
  <c r="P18" i="105"/>
  <c r="R22" i="105"/>
  <c r="J25" i="105"/>
  <c r="R26" i="105"/>
  <c r="J29" i="105"/>
  <c r="V41" i="105"/>
  <c r="J47" i="105"/>
  <c r="R50" i="105"/>
  <c r="R51" i="105"/>
  <c r="J27" i="106"/>
  <c r="V84" i="106"/>
  <c r="V73" i="108"/>
  <c r="V61" i="108"/>
  <c r="V49" i="108"/>
  <c r="V55" i="108"/>
  <c r="V47" i="108"/>
  <c r="V76" i="108"/>
  <c r="V45" i="108"/>
  <c r="V31" i="108"/>
  <c r="V27" i="108"/>
  <c r="V23" i="108"/>
  <c r="V70" i="108"/>
  <c r="V63" i="108"/>
  <c r="V22" i="108"/>
  <c r="V20" i="108"/>
  <c r="V18" i="108"/>
  <c r="V67" i="108"/>
  <c r="V57" i="108"/>
  <c r="V41" i="108"/>
  <c r="V37" i="108"/>
  <c r="T20" i="108"/>
  <c r="V58" i="108"/>
  <c r="V51" i="108"/>
  <c r="V32" i="108"/>
  <c r="V28" i="108"/>
  <c r="V24" i="108"/>
  <c r="V77" i="108"/>
  <c r="V72" i="108"/>
  <c r="V52" i="108"/>
  <c r="V46" i="108"/>
  <c r="V84" i="108"/>
  <c r="V71" i="108"/>
  <c r="V42" i="108"/>
  <c r="V38" i="108"/>
  <c r="V34" i="108"/>
  <c r="V68" i="108"/>
  <c r="V64" i="108"/>
  <c r="V60" i="108"/>
  <c r="V33" i="108"/>
  <c r="V29" i="108"/>
  <c r="V25" i="108"/>
  <c r="V86" i="108"/>
  <c r="V74" i="108"/>
  <c r="V59" i="108"/>
  <c r="V54" i="108"/>
  <c r="V16" i="108"/>
  <c r="Z12" i="108"/>
  <c r="V78" i="108"/>
  <c r="V53" i="108"/>
  <c r="V48" i="108"/>
  <c r="V43" i="108"/>
  <c r="V39" i="108"/>
  <c r="V35" i="108"/>
  <c r="V89" i="108"/>
  <c r="V80" i="108"/>
  <c r="V66" i="108"/>
  <c r="V65" i="108"/>
  <c r="V56" i="108"/>
  <c r="V17" i="108"/>
  <c r="J55" i="104"/>
  <c r="J71" i="104"/>
  <c r="J75" i="104"/>
  <c r="R18" i="105"/>
  <c r="R20" i="105"/>
  <c r="R31" i="105"/>
  <c r="J34" i="105"/>
  <c r="R35" i="105"/>
  <c r="J38" i="105"/>
  <c r="R39" i="105"/>
  <c r="J46" i="105"/>
  <c r="V50" i="105"/>
  <c r="J60" i="105"/>
  <c r="J63" i="105"/>
  <c r="J83" i="106"/>
  <c r="J65" i="106"/>
  <c r="J53" i="106"/>
  <c r="J45" i="106"/>
  <c r="J41" i="106"/>
  <c r="J84" i="106"/>
  <c r="J76" i="106"/>
  <c r="J71" i="106"/>
  <c r="J55" i="106"/>
  <c r="J37" i="106"/>
  <c r="J19" i="106"/>
  <c r="J86" i="106"/>
  <c r="J66" i="106"/>
  <c r="J56" i="106"/>
  <c r="J46" i="106"/>
  <c r="J42" i="106"/>
  <c r="J38" i="106"/>
  <c r="J77" i="106"/>
  <c r="J57" i="106"/>
  <c r="J90" i="106"/>
  <c r="J72" i="106"/>
  <c r="J58" i="106"/>
  <c r="J73" i="106"/>
  <c r="J67" i="106"/>
  <c r="J59" i="106"/>
  <c r="J47" i="106"/>
  <c r="J43" i="106"/>
  <c r="J39" i="106"/>
  <c r="J78" i="106"/>
  <c r="J74" i="106"/>
  <c r="J68" i="106"/>
  <c r="J60" i="106"/>
  <c r="J48" i="106"/>
  <c r="J34" i="106"/>
  <c r="J30" i="106"/>
  <c r="J79" i="106"/>
  <c r="J69" i="106"/>
  <c r="J61" i="106"/>
  <c r="J49" i="106"/>
  <c r="J81" i="106"/>
  <c r="J75" i="106"/>
  <c r="J63" i="106"/>
  <c r="J29" i="106"/>
  <c r="J36" i="106"/>
  <c r="J40" i="106"/>
  <c r="R58" i="110"/>
  <c r="R47" i="110"/>
  <c r="R46" i="110"/>
  <c r="R30" i="110"/>
  <c r="R29" i="110"/>
  <c r="R49" i="110"/>
  <c r="R48" i="110"/>
  <c r="R71" i="110"/>
  <c r="R60" i="110"/>
  <c r="R59" i="110"/>
  <c r="R39" i="110"/>
  <c r="R35" i="110"/>
  <c r="R31" i="110"/>
  <c r="R51" i="110"/>
  <c r="R50" i="110"/>
  <c r="R26" i="110"/>
  <c r="R22" i="110"/>
  <c r="X12" i="110"/>
  <c r="Z12" i="110" s="1"/>
  <c r="R57" i="110"/>
  <c r="R44" i="110"/>
  <c r="R37" i="110"/>
  <c r="R34" i="110"/>
  <c r="R28" i="110"/>
  <c r="R54" i="110"/>
  <c r="R41" i="110"/>
  <c r="R40" i="110"/>
  <c r="R23" i="110"/>
  <c r="R19" i="110"/>
  <c r="R64" i="110"/>
  <c r="R61" i="110"/>
  <c r="R55" i="110"/>
  <c r="R32" i="110"/>
  <c r="R45" i="110"/>
  <c r="R38" i="110"/>
  <c r="R52" i="110"/>
  <c r="R42" i="110"/>
  <c r="R21" i="110"/>
  <c r="R66" i="110"/>
  <c r="R53" i="110"/>
  <c r="R43" i="110"/>
  <c r="R33" i="110"/>
  <c r="R27" i="110"/>
  <c r="R24" i="110"/>
  <c r="R62" i="110"/>
  <c r="R56" i="110"/>
  <c r="R36" i="110"/>
  <c r="R63" i="110"/>
  <c r="R15" i="110"/>
  <c r="R67" i="110"/>
  <c r="R25" i="110"/>
  <c r="R20" i="110"/>
  <c r="P17" i="110"/>
  <c r="R17" i="110" s="1"/>
  <c r="R21" i="105"/>
  <c r="R48" i="105"/>
  <c r="N26" i="106"/>
  <c r="J44" i="106"/>
  <c r="F78" i="108"/>
  <c r="F70" i="108"/>
  <c r="F46" i="108"/>
  <c r="F45" i="108"/>
  <c r="F68" i="108"/>
  <c r="F73" i="108"/>
  <c r="F72" i="108"/>
  <c r="F59" i="108"/>
  <c r="L12" i="108"/>
  <c r="F53" i="108"/>
  <c r="F48" i="108"/>
  <c r="F43" i="108"/>
  <c r="F39" i="108"/>
  <c r="F35" i="108"/>
  <c r="F34" i="108"/>
  <c r="F69" i="108"/>
  <c r="F65" i="108"/>
  <c r="F61" i="108"/>
  <c r="F60" i="108"/>
  <c r="F30" i="108"/>
  <c r="F26" i="108"/>
  <c r="F75" i="108"/>
  <c r="F74" i="108"/>
  <c r="F55" i="108"/>
  <c r="F54" i="108"/>
  <c r="F17" i="108"/>
  <c r="F16" i="108"/>
  <c r="F80" i="108"/>
  <c r="F49" i="108"/>
  <c r="F44" i="108"/>
  <c r="F40" i="108"/>
  <c r="F36" i="108"/>
  <c r="F66" i="108"/>
  <c r="F63" i="108"/>
  <c r="F62" i="108"/>
  <c r="F31" i="108"/>
  <c r="F27" i="108"/>
  <c r="F57" i="108"/>
  <c r="F56" i="108"/>
  <c r="F18" i="108"/>
  <c r="F76" i="108"/>
  <c r="F67" i="108"/>
  <c r="F51" i="108"/>
  <c r="F50" i="108"/>
  <c r="F41" i="108"/>
  <c r="F37" i="108"/>
  <c r="F32" i="108"/>
  <c r="F28" i="108"/>
  <c r="F24" i="108"/>
  <c r="F23" i="108"/>
  <c r="F84" i="108"/>
  <c r="F64" i="108"/>
  <c r="F58" i="108"/>
  <c r="F42" i="108"/>
  <c r="F38" i="108"/>
  <c r="D20" i="108"/>
  <c r="F20" i="108" s="1"/>
  <c r="F77" i="108"/>
  <c r="H16" i="107"/>
  <c r="R84" i="108"/>
  <c r="R64" i="108"/>
  <c r="R45" i="108"/>
  <c r="J25" i="108"/>
  <c r="R26" i="108"/>
  <c r="J29" i="108"/>
  <c r="R30" i="108"/>
  <c r="J33" i="108"/>
  <c r="R61" i="108"/>
  <c r="J68" i="108"/>
  <c r="R69" i="108"/>
  <c r="J72" i="108"/>
  <c r="J18" i="109"/>
  <c r="J21" i="109"/>
  <c r="J26" i="109"/>
  <c r="R35" i="109"/>
  <c r="J48" i="109"/>
  <c r="V49" i="110"/>
  <c r="V60" i="110"/>
  <c r="V48" i="110"/>
  <c r="V71" i="110"/>
  <c r="V59" i="110"/>
  <c r="V51" i="110"/>
  <c r="V39" i="110"/>
  <c r="V35" i="110"/>
  <c r="V31" i="110"/>
  <c r="V50" i="110"/>
  <c r="V26" i="110"/>
  <c r="V22" i="110"/>
  <c r="V61" i="110"/>
  <c r="V53" i="110"/>
  <c r="V41" i="110"/>
  <c r="V54" i="110"/>
  <c r="V40" i="110"/>
  <c r="V55" i="110"/>
  <c r="V23" i="110"/>
  <c r="V20" i="110"/>
  <c r="V64" i="110"/>
  <c r="V45" i="110"/>
  <c r="V32" i="110"/>
  <c r="V58" i="110"/>
  <c r="V38" i="110"/>
  <c r="V29" i="110"/>
  <c r="V66" i="110"/>
  <c r="V52" i="110"/>
  <c r="V43" i="110"/>
  <c r="V42" i="110"/>
  <c r="V21" i="110"/>
  <c r="V33" i="110"/>
  <c r="V30" i="110"/>
  <c r="V27" i="110"/>
  <c r="V24" i="110"/>
  <c r="V62" i="110"/>
  <c r="V56" i="110"/>
  <c r="V36" i="110"/>
  <c r="V63" i="110"/>
  <c r="V46" i="110"/>
  <c r="V15" i="110"/>
  <c r="V67" i="110"/>
  <c r="V57" i="110"/>
  <c r="V25" i="110"/>
  <c r="V37" i="110"/>
  <c r="X63" i="110"/>
  <c r="Z63" i="110" s="1"/>
  <c r="X86" i="106"/>
  <c r="L14" i="107"/>
  <c r="L18" i="107"/>
  <c r="L20" i="107"/>
  <c r="R24" i="107"/>
  <c r="X12" i="108"/>
  <c r="H20" i="108"/>
  <c r="J46" i="108"/>
  <c r="J58" i="108"/>
  <c r="R59" i="108"/>
  <c r="R60" i="108"/>
  <c r="J71" i="108"/>
  <c r="R73" i="108"/>
  <c r="L76" i="108"/>
  <c r="N76" i="108" s="1"/>
  <c r="J77" i="108"/>
  <c r="J84" i="108"/>
  <c r="J16" i="109"/>
  <c r="J34" i="109"/>
  <c r="R37" i="109"/>
  <c r="R44" i="109"/>
  <c r="H69" i="110"/>
  <c r="Z45" i="110"/>
  <c r="Z57" i="110"/>
  <c r="V24" i="107"/>
  <c r="V26" i="107"/>
  <c r="V29" i="107"/>
  <c r="J20" i="108"/>
  <c r="J22" i="108"/>
  <c r="J24" i="108"/>
  <c r="R25" i="108"/>
  <c r="J28" i="108"/>
  <c r="R29" i="108"/>
  <c r="J32" i="108"/>
  <c r="R33" i="108"/>
  <c r="R34" i="108"/>
  <c r="X52" i="108"/>
  <c r="R68" i="108"/>
  <c r="N16" i="109"/>
  <c r="R21" i="109"/>
  <c r="R26" i="109"/>
  <c r="L12" i="107"/>
  <c r="P16" i="107"/>
  <c r="J23" i="108"/>
  <c r="J37" i="108"/>
  <c r="R38" i="108"/>
  <c r="J41" i="108"/>
  <c r="R42" i="108"/>
  <c r="R47" i="108"/>
  <c r="R52" i="108"/>
  <c r="X58" i="108"/>
  <c r="L66" i="108"/>
  <c r="N66" i="108" s="1"/>
  <c r="J67" i="108"/>
  <c r="R71" i="108"/>
  <c r="R72" i="108"/>
  <c r="J14" i="109"/>
  <c r="P16" i="109"/>
  <c r="J20" i="109"/>
  <c r="J36" i="109"/>
  <c r="P40" i="109"/>
  <c r="X40" i="109" s="1"/>
  <c r="Z40" i="109" s="1"/>
  <c r="R53" i="109"/>
  <c r="J45" i="108"/>
  <c r="R46" i="108"/>
  <c r="J50" i="108"/>
  <c r="R58" i="108"/>
  <c r="J70" i="108"/>
  <c r="J76" i="108"/>
  <c r="R77" i="108"/>
  <c r="L80" i="108"/>
  <c r="R16" i="109"/>
  <c r="R23" i="109"/>
  <c r="J25" i="109"/>
  <c r="R29" i="109"/>
  <c r="J42" i="109"/>
  <c r="R43" i="109"/>
  <c r="T17" i="110"/>
  <c r="V17" i="110" s="1"/>
  <c r="T16" i="107"/>
  <c r="L13" i="108"/>
  <c r="P20" i="108"/>
  <c r="R24" i="108"/>
  <c r="J27" i="108"/>
  <c r="R28" i="108"/>
  <c r="J31" i="108"/>
  <c r="R32" i="108"/>
  <c r="X47" i="108"/>
  <c r="R51" i="108"/>
  <c r="J56" i="108"/>
  <c r="J82" i="108"/>
  <c r="X81" i="106"/>
  <c r="Z81" i="106" s="1"/>
  <c r="V14" i="107"/>
  <c r="V16" i="107"/>
  <c r="V18" i="107"/>
  <c r="V20" i="107"/>
  <c r="R20" i="108"/>
  <c r="R22" i="108"/>
  <c r="J36" i="108"/>
  <c r="R37" i="108"/>
  <c r="J40" i="108"/>
  <c r="R41" i="108"/>
  <c r="J44" i="108"/>
  <c r="J49" i="108"/>
  <c r="R57" i="108"/>
  <c r="J62" i="108"/>
  <c r="J66" i="108"/>
  <c r="R67" i="108"/>
  <c r="X76" i="108"/>
  <c r="Z76" i="108" s="1"/>
  <c r="J44" i="109"/>
  <c r="J50" i="109"/>
  <c r="J41" i="109"/>
  <c r="J40" i="109"/>
  <c r="J35" i="109"/>
  <c r="J31" i="109"/>
  <c r="J27" i="109"/>
  <c r="J23" i="109"/>
  <c r="J46" i="109"/>
  <c r="J37" i="109"/>
  <c r="J33" i="109"/>
  <c r="J29" i="109"/>
  <c r="J19" i="109"/>
  <c r="J22" i="109"/>
  <c r="R31" i="109"/>
  <c r="J38" i="109"/>
  <c r="V34" i="110"/>
  <c r="V44" i="110"/>
  <c r="X14" i="107"/>
  <c r="X18" i="107"/>
  <c r="X20" i="107"/>
  <c r="J17" i="108"/>
  <c r="R18" i="108"/>
  <c r="R23" i="108"/>
  <c r="J55" i="108"/>
  <c r="R63" i="108"/>
  <c r="R70" i="108"/>
  <c r="R76" i="108"/>
  <c r="J80" i="108"/>
  <c r="L12" i="109"/>
  <c r="R25" i="109"/>
  <c r="R46" i="109"/>
  <c r="D12" i="110"/>
  <c r="N19" i="110"/>
  <c r="J65" i="108"/>
  <c r="J57" i="108"/>
  <c r="J47" i="108"/>
  <c r="J75" i="108"/>
  <c r="J63" i="108"/>
  <c r="J51" i="108"/>
  <c r="J16" i="108"/>
  <c r="J26" i="108"/>
  <c r="R27" i="108"/>
  <c r="J30" i="108"/>
  <c r="R31" i="108"/>
  <c r="R50" i="108"/>
  <c r="J54" i="108"/>
  <c r="J61" i="108"/>
  <c r="X66" i="108"/>
  <c r="Z66" i="108" s="1"/>
  <c r="J69" i="108"/>
  <c r="J74" i="108"/>
  <c r="N19" i="109"/>
  <c r="J24" i="109"/>
  <c r="R28" i="109"/>
  <c r="J30" i="109"/>
  <c r="R33" i="109"/>
  <c r="V28" i="110"/>
  <c r="D16" i="107"/>
  <c r="J35" i="108"/>
  <c r="R36" i="108"/>
  <c r="J39" i="108"/>
  <c r="R40" i="108"/>
  <c r="J43" i="108"/>
  <c r="R44" i="108"/>
  <c r="J48" i="108"/>
  <c r="R49" i="108"/>
  <c r="L52" i="108"/>
  <c r="J53" i="108"/>
  <c r="R56" i="108"/>
  <c r="J60" i="108"/>
  <c r="R66" i="108"/>
  <c r="R75" i="108"/>
  <c r="J78" i="108"/>
  <c r="X80" i="108"/>
  <c r="J86" i="108"/>
  <c r="R48" i="109"/>
  <c r="R36" i="109"/>
  <c r="R32" i="109"/>
  <c r="X12" i="109"/>
  <c r="R19" i="109"/>
  <c r="R24" i="109"/>
  <c r="R20" i="109"/>
  <c r="R38" i="109"/>
  <c r="R34" i="109"/>
  <c r="R30" i="109"/>
  <c r="R50" i="109"/>
  <c r="R41" i="109"/>
  <c r="R40" i="109"/>
  <c r="L19" i="109"/>
  <c r="R22" i="109"/>
  <c r="Z19" i="110"/>
  <c r="F19" i="109"/>
  <c r="F20" i="109"/>
  <c r="F24" i="109"/>
  <c r="F46" i="109"/>
  <c r="J24" i="110"/>
  <c r="J27" i="110"/>
  <c r="J33" i="110"/>
  <c r="N49" i="110"/>
  <c r="F32" i="109"/>
  <c r="F36" i="109"/>
  <c r="J32" i="110"/>
  <c r="J35" i="110"/>
  <c r="Z43" i="110"/>
  <c r="J48" i="110"/>
  <c r="Z53" i="110"/>
  <c r="J61" i="110"/>
  <c r="J23" i="110"/>
  <c r="J26" i="110"/>
  <c r="F22" i="109"/>
  <c r="F26" i="109"/>
  <c r="F40" i="109"/>
  <c r="D40" i="109"/>
  <c r="L40" i="109" s="1"/>
  <c r="F42" i="109"/>
  <c r="F50" i="109"/>
  <c r="J63" i="110"/>
  <c r="J55" i="110"/>
  <c r="J64" i="110"/>
  <c r="J56" i="110"/>
  <c r="J44" i="110"/>
  <c r="J57" i="110"/>
  <c r="J45" i="110"/>
  <c r="J67" i="110"/>
  <c r="J66" i="110"/>
  <c r="J58" i="110"/>
  <c r="J46" i="110"/>
  <c r="J38" i="110"/>
  <c r="J34" i="110"/>
  <c r="J20" i="110"/>
  <c r="J69" i="110"/>
  <c r="J47" i="110"/>
  <c r="J29" i="110"/>
  <c r="J25" i="110"/>
  <c r="J21" i="110"/>
  <c r="J19" i="110"/>
  <c r="J17" i="110"/>
  <c r="J15" i="110"/>
  <c r="J40" i="110"/>
  <c r="L47" i="110"/>
  <c r="N47" i="110" s="1"/>
  <c r="J51" i="110"/>
  <c r="J54" i="110"/>
  <c r="X66" i="110"/>
  <c r="Z66" i="110" s="1"/>
  <c r="J60" i="110"/>
  <c r="Z55" i="110"/>
  <c r="J31" i="110"/>
  <c r="J50" i="110"/>
  <c r="L30" i="110"/>
  <c r="N30" i="110" s="1"/>
  <c r="Z41" i="110"/>
  <c r="Z16" i="54" l="1"/>
  <c r="T22" i="54"/>
  <c r="R127" i="36"/>
  <c r="R126" i="36"/>
  <c r="R111" i="36"/>
  <c r="R107" i="36"/>
  <c r="R72" i="36"/>
  <c r="R71" i="36"/>
  <c r="R56" i="36"/>
  <c r="R55" i="36"/>
  <c r="R51" i="36"/>
  <c r="R47" i="36"/>
  <c r="R128" i="36"/>
  <c r="R119" i="36"/>
  <c r="R118" i="36"/>
  <c r="R103" i="36"/>
  <c r="R102" i="36"/>
  <c r="R90" i="36"/>
  <c r="R83" i="36"/>
  <c r="R82" i="36"/>
  <c r="R42" i="36"/>
  <c r="R38" i="36"/>
  <c r="R129" i="36"/>
  <c r="R97" i="36"/>
  <c r="R74" i="36"/>
  <c r="R73" i="36"/>
  <c r="R65" i="36"/>
  <c r="R58" i="36"/>
  <c r="R57" i="36"/>
  <c r="R34" i="36"/>
  <c r="R29" i="36"/>
  <c r="R130" i="36"/>
  <c r="R120" i="36"/>
  <c r="R112" i="36"/>
  <c r="R108" i="36"/>
  <c r="R104" i="36"/>
  <c r="R85" i="36"/>
  <c r="R84" i="36"/>
  <c r="R52" i="36"/>
  <c r="R48" i="36"/>
  <c r="R33" i="36"/>
  <c r="R31" i="36"/>
  <c r="X12" i="36"/>
  <c r="Z12" i="36" s="1"/>
  <c r="R92" i="36"/>
  <c r="R91" i="36"/>
  <c r="R76" i="36"/>
  <c r="R75" i="36"/>
  <c r="R59" i="36"/>
  <c r="R43" i="36"/>
  <c r="R39" i="36"/>
  <c r="R35" i="36"/>
  <c r="P31" i="36"/>
  <c r="R98" i="36"/>
  <c r="R87" i="36"/>
  <c r="R86" i="36"/>
  <c r="R66" i="36"/>
  <c r="R121" i="36"/>
  <c r="R114" i="36"/>
  <c r="R113" i="36"/>
  <c r="R109" i="36"/>
  <c r="R105" i="36"/>
  <c r="R93" i="36"/>
  <c r="R77" i="36"/>
  <c r="R53" i="36"/>
  <c r="R49" i="36"/>
  <c r="R26" i="36"/>
  <c r="R134" i="36"/>
  <c r="R88" i="36"/>
  <c r="R61" i="36"/>
  <c r="R60" i="36"/>
  <c r="R45" i="36"/>
  <c r="R44" i="36"/>
  <c r="R40" i="36"/>
  <c r="R36" i="36"/>
  <c r="R46" i="36"/>
  <c r="R28" i="36"/>
  <c r="R115" i="36"/>
  <c r="R80" i="36"/>
  <c r="R69" i="36"/>
  <c r="R63" i="36"/>
  <c r="R67" i="36"/>
  <c r="R50" i="36"/>
  <c r="R78" i="36"/>
  <c r="R124" i="36"/>
  <c r="R122" i="36"/>
  <c r="R81" i="36"/>
  <c r="R54" i="36"/>
  <c r="R106" i="36"/>
  <c r="R27" i="36"/>
  <c r="R96" i="36"/>
  <c r="R94" i="36"/>
  <c r="R79" i="36"/>
  <c r="R70" i="36"/>
  <c r="R68" i="36"/>
  <c r="R100" i="36"/>
  <c r="R37" i="36"/>
  <c r="R116" i="36"/>
  <c r="R101" i="36"/>
  <c r="R99" i="36"/>
  <c r="R62" i="36"/>
  <c r="R89" i="36"/>
  <c r="R64" i="36"/>
  <c r="R123" i="36"/>
  <c r="R110" i="36"/>
  <c r="R41" i="36"/>
  <c r="R117" i="36"/>
  <c r="R95" i="36"/>
  <c r="R240" i="18"/>
  <c r="R231" i="18"/>
  <c r="R230" i="18"/>
  <c r="R202" i="18"/>
  <c r="R191" i="18"/>
  <c r="R190" i="18"/>
  <c r="R182" i="18"/>
  <c r="R167" i="18"/>
  <c r="R166" i="18"/>
  <c r="R162" i="18"/>
  <c r="R158" i="18"/>
  <c r="R241" i="18"/>
  <c r="R213" i="18"/>
  <c r="R153" i="18"/>
  <c r="R149" i="18"/>
  <c r="R242" i="18"/>
  <c r="R232" i="18"/>
  <c r="R224" i="18"/>
  <c r="R220" i="18"/>
  <c r="R208" i="18"/>
  <c r="R193" i="18"/>
  <c r="R192" i="18"/>
  <c r="R176" i="18"/>
  <c r="R169" i="18"/>
  <c r="R168" i="18"/>
  <c r="R145" i="18"/>
  <c r="R140" i="18"/>
  <c r="R136" i="18"/>
  <c r="R132" i="18"/>
  <c r="R128" i="18"/>
  <c r="R124" i="18"/>
  <c r="R120" i="18"/>
  <c r="R116" i="18"/>
  <c r="R112" i="18"/>
  <c r="R108" i="18"/>
  <c r="R104" i="18"/>
  <c r="R100" i="18"/>
  <c r="R244" i="18"/>
  <c r="R215" i="18"/>
  <c r="R214" i="18"/>
  <c r="R195" i="18"/>
  <c r="R194" i="18"/>
  <c r="R170" i="18"/>
  <c r="R154" i="18"/>
  <c r="R150" i="18"/>
  <c r="R146" i="18"/>
  <c r="P142" i="18"/>
  <c r="R245" i="18"/>
  <c r="R233" i="18"/>
  <c r="R226" i="18"/>
  <c r="R225" i="18"/>
  <c r="R221" i="18"/>
  <c r="R210" i="18"/>
  <c r="R209" i="18"/>
  <c r="R186" i="18"/>
  <c r="R185" i="18"/>
  <c r="R178" i="18"/>
  <c r="R177" i="18"/>
  <c r="R137" i="18"/>
  <c r="R133" i="18"/>
  <c r="R129" i="18"/>
  <c r="R125" i="18"/>
  <c r="R121" i="18"/>
  <c r="R117" i="18"/>
  <c r="R113" i="18"/>
  <c r="R109" i="18"/>
  <c r="R105" i="18"/>
  <c r="R101" i="18"/>
  <c r="R97" i="18"/>
  <c r="R216" i="18"/>
  <c r="R205" i="18"/>
  <c r="R204" i="18"/>
  <c r="R197" i="18"/>
  <c r="R196" i="18"/>
  <c r="R164" i="18"/>
  <c r="R160" i="18"/>
  <c r="R236" i="18"/>
  <c r="R229" i="18"/>
  <c r="R228" i="18"/>
  <c r="R212" i="18"/>
  <c r="R201" i="18"/>
  <c r="R200" i="18"/>
  <c r="R181" i="18"/>
  <c r="R180" i="18"/>
  <c r="R152" i="18"/>
  <c r="R148" i="18"/>
  <c r="R222" i="18"/>
  <c r="R189" i="18"/>
  <c r="R184" i="18"/>
  <c r="R163" i="18"/>
  <c r="R144" i="18"/>
  <c r="R131" i="18"/>
  <c r="R115" i="18"/>
  <c r="R99" i="18"/>
  <c r="R249" i="18"/>
  <c r="R238" i="18"/>
  <c r="R165" i="18"/>
  <c r="R159" i="18"/>
  <c r="R239" i="18"/>
  <c r="R203" i="18"/>
  <c r="R187" i="18"/>
  <c r="R175" i="18"/>
  <c r="R161" i="18"/>
  <c r="R138" i="18"/>
  <c r="R122" i="18"/>
  <c r="R106" i="18"/>
  <c r="R227" i="18"/>
  <c r="R199" i="18"/>
  <c r="R157" i="18"/>
  <c r="R147" i="18"/>
  <c r="R151" i="18"/>
  <c r="R219" i="18"/>
  <c r="R188" i="18"/>
  <c r="R173" i="18"/>
  <c r="R155" i="18"/>
  <c r="R134" i="18"/>
  <c r="R118" i="18"/>
  <c r="R102" i="18"/>
  <c r="X12" i="18"/>
  <c r="Z12" i="18" s="1"/>
  <c r="R223" i="18"/>
  <c r="R211" i="18"/>
  <c r="R206" i="18"/>
  <c r="R139" i="18"/>
  <c r="R123" i="18"/>
  <c r="R107" i="18"/>
  <c r="R234" i="18"/>
  <c r="R172" i="18"/>
  <c r="R243" i="18"/>
  <c r="R235" i="18"/>
  <c r="R218" i="18"/>
  <c r="R207" i="18"/>
  <c r="R198" i="18"/>
  <c r="R179" i="18"/>
  <c r="R126" i="18"/>
  <c r="R110" i="18"/>
  <c r="R174" i="18"/>
  <c r="R142" i="18"/>
  <c r="R130" i="18"/>
  <c r="R119" i="18"/>
  <c r="R98" i="18"/>
  <c r="R183" i="18"/>
  <c r="R217" i="18"/>
  <c r="R171" i="18"/>
  <c r="R127" i="18"/>
  <c r="R135" i="18"/>
  <c r="R114" i="18"/>
  <c r="R103" i="18"/>
  <c r="R96" i="18"/>
  <c r="R156" i="18"/>
  <c r="R111" i="18"/>
  <c r="T107" i="27"/>
  <c r="V47" i="27"/>
  <c r="F58" i="27"/>
  <c r="F54" i="27"/>
  <c r="F101" i="27"/>
  <c r="F100" i="27"/>
  <c r="F93" i="27"/>
  <c r="F85" i="27"/>
  <c r="F84" i="27"/>
  <c r="F73" i="27"/>
  <c r="F72" i="27"/>
  <c r="F45" i="27"/>
  <c r="F41" i="27"/>
  <c r="F37" i="27"/>
  <c r="F33" i="27"/>
  <c r="F32" i="27"/>
  <c r="F68" i="27"/>
  <c r="F64" i="27"/>
  <c r="L12" i="27"/>
  <c r="N12" i="27" s="1"/>
  <c r="F104" i="27"/>
  <c r="F105" i="27"/>
  <c r="F103" i="27"/>
  <c r="F94" i="27"/>
  <c r="F77" i="27"/>
  <c r="F76" i="27"/>
  <c r="F69" i="27"/>
  <c r="F65" i="27"/>
  <c r="D47" i="27"/>
  <c r="F96" i="27"/>
  <c r="F95" i="27"/>
  <c r="F88" i="27"/>
  <c r="F60" i="27"/>
  <c r="F56" i="27"/>
  <c r="F52" i="27"/>
  <c r="F109" i="27"/>
  <c r="F79" i="27"/>
  <c r="F78" i="27"/>
  <c r="F43" i="27"/>
  <c r="F39" i="27"/>
  <c r="F35" i="27"/>
  <c r="F98" i="27"/>
  <c r="F87" i="27"/>
  <c r="F70" i="27"/>
  <c r="F61" i="27"/>
  <c r="F49" i="27"/>
  <c r="F40" i="27"/>
  <c r="F66" i="27"/>
  <c r="F99" i="27"/>
  <c r="F90" i="27"/>
  <c r="F71" i="27"/>
  <c r="F80" i="27"/>
  <c r="F62" i="27"/>
  <c r="F50" i="27"/>
  <c r="F36" i="27"/>
  <c r="F57" i="27"/>
  <c r="F81" i="27"/>
  <c r="F51" i="27"/>
  <c r="F89" i="27"/>
  <c r="F42" i="27"/>
  <c r="F83" i="27"/>
  <c r="F38" i="27"/>
  <c r="F34" i="27"/>
  <c r="F91" i="27"/>
  <c r="F74" i="27"/>
  <c r="F53" i="27"/>
  <c r="F44" i="27"/>
  <c r="F55" i="27"/>
  <c r="F47" i="27"/>
  <c r="F97" i="27"/>
  <c r="F86" i="27"/>
  <c r="F82" i="27"/>
  <c r="F59" i="27"/>
  <c r="F63" i="27"/>
  <c r="F67" i="27"/>
  <c r="F92" i="27"/>
  <c r="F75" i="27"/>
  <c r="T27" i="112"/>
  <c r="Z18" i="112"/>
  <c r="L18" i="113"/>
  <c r="D27" i="113"/>
  <c r="H27" i="111"/>
  <c r="N18" i="111"/>
  <c r="Z18" i="52"/>
  <c r="T27" i="52"/>
  <c r="L18" i="41"/>
  <c r="D27" i="41"/>
  <c r="X18" i="34"/>
  <c r="P27" i="34"/>
  <c r="T27" i="29"/>
  <c r="Z18" i="29"/>
  <c r="T27" i="32"/>
  <c r="Z18" i="32"/>
  <c r="P27" i="38"/>
  <c r="X18" i="38"/>
  <c r="H27" i="25"/>
  <c r="N18" i="25"/>
  <c r="T27" i="26"/>
  <c r="Z18" i="26"/>
  <c r="T27" i="11"/>
  <c r="Z18" i="11"/>
  <c r="X18" i="7"/>
  <c r="P27" i="7"/>
  <c r="T27" i="10"/>
  <c r="Z18" i="10"/>
  <c r="X18" i="10"/>
  <c r="P27" i="10"/>
  <c r="D22" i="107"/>
  <c r="L16" i="107"/>
  <c r="P52" i="100"/>
  <c r="X16" i="100"/>
  <c r="T59" i="100"/>
  <c r="H77" i="93"/>
  <c r="J22" i="93"/>
  <c r="T84" i="95"/>
  <c r="H95" i="88"/>
  <c r="J91" i="88"/>
  <c r="T28" i="86"/>
  <c r="H28" i="83"/>
  <c r="N22" i="83"/>
  <c r="J22" i="83"/>
  <c r="R59" i="84"/>
  <c r="R58" i="84"/>
  <c r="R42" i="84"/>
  <c r="R38" i="84"/>
  <c r="X12" i="84"/>
  <c r="Z12" i="84" s="1"/>
  <c r="R81" i="84"/>
  <c r="R80" i="84"/>
  <c r="R76" i="84"/>
  <c r="R61" i="84"/>
  <c r="R60" i="84"/>
  <c r="R25" i="84"/>
  <c r="R20" i="84"/>
  <c r="R52" i="84"/>
  <c r="R51" i="84"/>
  <c r="R43" i="84"/>
  <c r="R39" i="84"/>
  <c r="R24" i="84"/>
  <c r="R83" i="84"/>
  <c r="R82" i="84"/>
  <c r="R86" i="84"/>
  <c r="R78" i="84"/>
  <c r="R67" i="84"/>
  <c r="R66" i="84"/>
  <c r="R55" i="84"/>
  <c r="R54" i="84"/>
  <c r="R18" i="84"/>
  <c r="R74" i="84"/>
  <c r="R73" i="84"/>
  <c r="R46" i="84"/>
  <c r="R45" i="84"/>
  <c r="R41" i="84"/>
  <c r="R37" i="84"/>
  <c r="R63" i="84"/>
  <c r="R71" i="84"/>
  <c r="R57" i="84"/>
  <c r="R48" i="84"/>
  <c r="R72" i="84"/>
  <c r="R27" i="84"/>
  <c r="R84" i="84"/>
  <c r="R69" i="84"/>
  <c r="R36" i="84"/>
  <c r="R33" i="84"/>
  <c r="R30" i="84"/>
  <c r="R19" i="84"/>
  <c r="R17" i="84"/>
  <c r="R79" i="84"/>
  <c r="R77" i="84"/>
  <c r="R75" i="84"/>
  <c r="R64" i="84"/>
  <c r="R49" i="84"/>
  <c r="R28" i="84"/>
  <c r="R31" i="84"/>
  <c r="R90" i="84"/>
  <c r="R70" i="84"/>
  <c r="R50" i="84"/>
  <c r="R44" i="84"/>
  <c r="R34" i="84"/>
  <c r="R56" i="84"/>
  <c r="R26" i="84"/>
  <c r="R47" i="84"/>
  <c r="R65" i="84"/>
  <c r="R53" i="84"/>
  <c r="R32" i="84"/>
  <c r="R35" i="84"/>
  <c r="R29" i="84"/>
  <c r="R62" i="84"/>
  <c r="R68" i="84"/>
  <c r="R40" i="84"/>
  <c r="P22" i="84"/>
  <c r="H114" i="75"/>
  <c r="H83" i="76"/>
  <c r="X25" i="73"/>
  <c r="P76" i="73"/>
  <c r="R95" i="69"/>
  <c r="R85" i="69"/>
  <c r="R84" i="69"/>
  <c r="R73" i="69"/>
  <c r="R72" i="69"/>
  <c r="R44" i="69"/>
  <c r="R40" i="69"/>
  <c r="R36" i="69"/>
  <c r="R67" i="69"/>
  <c r="R63" i="69"/>
  <c r="R99" i="69"/>
  <c r="R50" i="69"/>
  <c r="R45" i="69"/>
  <c r="R41" i="69"/>
  <c r="R37" i="69"/>
  <c r="R77" i="69"/>
  <c r="R76" i="69"/>
  <c r="R68" i="69"/>
  <c r="R64" i="69"/>
  <c r="R49" i="69"/>
  <c r="R88" i="69"/>
  <c r="R87" i="69"/>
  <c r="R60" i="69"/>
  <c r="R59" i="69"/>
  <c r="R55" i="69"/>
  <c r="R51" i="69"/>
  <c r="P47" i="69"/>
  <c r="R79" i="69"/>
  <c r="R78" i="69"/>
  <c r="R42" i="69"/>
  <c r="R38" i="69"/>
  <c r="R89" i="69"/>
  <c r="R86" i="69"/>
  <c r="R81" i="69"/>
  <c r="R69" i="69"/>
  <c r="R62" i="69"/>
  <c r="R92" i="69"/>
  <c r="R43" i="69"/>
  <c r="R90" i="69"/>
  <c r="R75" i="69"/>
  <c r="R57" i="69"/>
  <c r="X12" i="69"/>
  <c r="Z12" i="69" s="1"/>
  <c r="R65" i="69"/>
  <c r="R53" i="69"/>
  <c r="R70" i="69"/>
  <c r="R39" i="69"/>
  <c r="R82" i="69"/>
  <c r="R83" i="69"/>
  <c r="R66" i="69"/>
  <c r="R58" i="69"/>
  <c r="R35" i="69"/>
  <c r="R74" i="69"/>
  <c r="R54" i="69"/>
  <c r="R61" i="69"/>
  <c r="R80" i="69"/>
  <c r="R56" i="69"/>
  <c r="R71" i="69"/>
  <c r="R52" i="69"/>
  <c r="R93" i="69"/>
  <c r="R91" i="69"/>
  <c r="D58" i="68"/>
  <c r="L16" i="68"/>
  <c r="L46" i="77"/>
  <c r="N46" i="77" s="1"/>
  <c r="D95" i="77"/>
  <c r="H62" i="68"/>
  <c r="R68" i="70"/>
  <c r="R58" i="70"/>
  <c r="R57" i="70"/>
  <c r="R46" i="70"/>
  <c r="R45" i="70"/>
  <c r="R41" i="70"/>
  <c r="R37" i="70"/>
  <c r="R32" i="70"/>
  <c r="R28" i="70"/>
  <c r="R60" i="70"/>
  <c r="R59" i="70"/>
  <c r="R48" i="70"/>
  <c r="R47" i="70"/>
  <c r="R72" i="70"/>
  <c r="R42" i="70"/>
  <c r="R38" i="70"/>
  <c r="X12" i="70"/>
  <c r="Z12" i="70" s="1"/>
  <c r="R62" i="70"/>
  <c r="R61" i="70"/>
  <c r="R50" i="70"/>
  <c r="R49" i="70"/>
  <c r="R33" i="70"/>
  <c r="R29" i="70"/>
  <c r="R25" i="70"/>
  <c r="R20" i="70"/>
  <c r="R63" i="70"/>
  <c r="R52" i="70"/>
  <c r="R51" i="70"/>
  <c r="R43" i="70"/>
  <c r="R39" i="70"/>
  <c r="R24" i="70"/>
  <c r="R22" i="70"/>
  <c r="R26" i="70"/>
  <c r="R44" i="70"/>
  <c r="P22" i="70"/>
  <c r="R40" i="70"/>
  <c r="R31" i="70"/>
  <c r="R36" i="70"/>
  <c r="R19" i="70"/>
  <c r="R17" i="70"/>
  <c r="R27" i="70"/>
  <c r="R55" i="70"/>
  <c r="R34" i="70"/>
  <c r="R66" i="70"/>
  <c r="R64" i="70"/>
  <c r="R35" i="70"/>
  <c r="R56" i="70"/>
  <c r="R18" i="70"/>
  <c r="R30" i="70"/>
  <c r="R65" i="70"/>
  <c r="R53" i="70"/>
  <c r="R54" i="70"/>
  <c r="H68" i="59"/>
  <c r="N16" i="59"/>
  <c r="N16" i="55"/>
  <c r="H31" i="55"/>
  <c r="T71" i="56"/>
  <c r="Z16" i="56"/>
  <c r="H99" i="51"/>
  <c r="H141" i="39"/>
  <c r="X16" i="9"/>
  <c r="P97" i="9"/>
  <c r="H236" i="12"/>
  <c r="H247" i="18"/>
  <c r="H27" i="113"/>
  <c r="N18" i="113"/>
  <c r="T27" i="113"/>
  <c r="Z18" i="113"/>
  <c r="X18" i="44"/>
  <c r="P27" i="44"/>
  <c r="T27" i="34"/>
  <c r="Z18" i="34"/>
  <c r="P27" i="40"/>
  <c r="X18" i="40"/>
  <c r="D27" i="29"/>
  <c r="L18" i="29"/>
  <c r="L18" i="32"/>
  <c r="D27" i="32"/>
  <c r="H27" i="26"/>
  <c r="N18" i="26"/>
  <c r="F75" i="93"/>
  <c r="F34" i="93"/>
  <c r="F30" i="93"/>
  <c r="F26" i="93"/>
  <c r="F25" i="93"/>
  <c r="F79" i="93"/>
  <c r="F69" i="93"/>
  <c r="F53" i="93"/>
  <c r="F52" i="93"/>
  <c r="F24" i="93"/>
  <c r="F22" i="93"/>
  <c r="F64" i="93"/>
  <c r="F44" i="93"/>
  <c r="F40" i="93"/>
  <c r="F36" i="93"/>
  <c r="F35" i="93"/>
  <c r="D22" i="93"/>
  <c r="F55" i="93"/>
  <c r="F54" i="93"/>
  <c r="F31" i="93"/>
  <c r="F27" i="93"/>
  <c r="F70" i="93"/>
  <c r="F66" i="93"/>
  <c r="F65" i="93"/>
  <c r="F57" i="93"/>
  <c r="F56" i="93"/>
  <c r="F45" i="93"/>
  <c r="F41" i="93"/>
  <c r="F37" i="93"/>
  <c r="F71" i="93"/>
  <c r="F67" i="93"/>
  <c r="F59" i="93"/>
  <c r="F58" i="93"/>
  <c r="F47" i="93"/>
  <c r="F46" i="93"/>
  <c r="F19" i="93"/>
  <c r="F18" i="93"/>
  <c r="F42" i="93"/>
  <c r="F38" i="93"/>
  <c r="F63" i="93"/>
  <c r="F61" i="93"/>
  <c r="F73" i="93"/>
  <c r="F50" i="93"/>
  <c r="F48" i="93"/>
  <c r="F43" i="93"/>
  <c r="F39" i="93"/>
  <c r="F20" i="93"/>
  <c r="F62" i="93"/>
  <c r="F60" i="93"/>
  <c r="F33" i="93"/>
  <c r="F29" i="93"/>
  <c r="F68" i="93"/>
  <c r="F72" i="93"/>
  <c r="L12" i="93"/>
  <c r="N12" i="93" s="1"/>
  <c r="F49" i="93"/>
  <c r="F51" i="93"/>
  <c r="F28" i="93"/>
  <c r="F32" i="93"/>
  <c r="H75" i="56"/>
  <c r="F114" i="42"/>
  <c r="F102" i="42"/>
  <c r="F98" i="42"/>
  <c r="F86" i="42"/>
  <c r="F81" i="42"/>
  <c r="F116" i="42"/>
  <c r="F115" i="42"/>
  <c r="F108" i="42"/>
  <c r="F92" i="42"/>
  <c r="F120" i="42"/>
  <c r="F118" i="42"/>
  <c r="F89" i="42"/>
  <c r="F122" i="42"/>
  <c r="F83" i="42"/>
  <c r="F126" i="42"/>
  <c r="F80" i="42"/>
  <c r="F79" i="42"/>
  <c r="F119" i="42"/>
  <c r="F110" i="42"/>
  <c r="F105" i="42"/>
  <c r="F103" i="42"/>
  <c r="F73" i="42"/>
  <c r="F26" i="42"/>
  <c r="F25" i="42"/>
  <c r="L12" i="42"/>
  <c r="N12" i="42" s="1"/>
  <c r="F113" i="42"/>
  <c r="F101" i="42"/>
  <c r="F82" i="42"/>
  <c r="F77" i="42"/>
  <c r="F53" i="42"/>
  <c r="F49" i="42"/>
  <c r="F45" i="42"/>
  <c r="F44" i="42"/>
  <c r="F99" i="42"/>
  <c r="F94" i="42"/>
  <c r="F88" i="42"/>
  <c r="F85" i="42"/>
  <c r="F70" i="42"/>
  <c r="F63" i="42"/>
  <c r="F40" i="42"/>
  <c r="F36" i="42"/>
  <c r="F97" i="42"/>
  <c r="F74" i="42"/>
  <c r="F59" i="42"/>
  <c r="F27" i="42"/>
  <c r="F111" i="42"/>
  <c r="F106" i="42"/>
  <c r="F90" i="42"/>
  <c r="F78" i="42"/>
  <c r="F71" i="42"/>
  <c r="F66" i="42"/>
  <c r="F54" i="42"/>
  <c r="F50" i="42"/>
  <c r="F46" i="42"/>
  <c r="F60" i="42"/>
  <c r="F41" i="42"/>
  <c r="F37" i="42"/>
  <c r="F104" i="42"/>
  <c r="F95" i="42"/>
  <c r="F67" i="42"/>
  <c r="F64" i="42"/>
  <c r="F56" i="42"/>
  <c r="F55" i="42"/>
  <c r="F28" i="42"/>
  <c r="F62" i="42"/>
  <c r="F35" i="42"/>
  <c r="F33" i="42"/>
  <c r="F93" i="42"/>
  <c r="F91" i="42"/>
  <c r="F84" i="42"/>
  <c r="F30" i="42"/>
  <c r="F58" i="42"/>
  <c r="F51" i="42"/>
  <c r="D30" i="42"/>
  <c r="F112" i="42"/>
  <c r="F75" i="42"/>
  <c r="F42" i="42"/>
  <c r="F38" i="42"/>
  <c r="F61" i="42"/>
  <c r="F47" i="42"/>
  <c r="F34" i="42"/>
  <c r="F121" i="42"/>
  <c r="F69" i="42"/>
  <c r="F65" i="42"/>
  <c r="F52" i="42"/>
  <c r="F39" i="42"/>
  <c r="F32" i="42"/>
  <c r="F100" i="42"/>
  <c r="F43" i="42"/>
  <c r="F107" i="42"/>
  <c r="F87" i="42"/>
  <c r="F57" i="42"/>
  <c r="F68" i="42"/>
  <c r="F76" i="42"/>
  <c r="F72" i="42"/>
  <c r="F48" i="42"/>
  <c r="F109" i="42"/>
  <c r="F96" i="42"/>
  <c r="L31" i="36"/>
  <c r="D132" i="36"/>
  <c r="P22" i="6"/>
  <c r="X16" i="6"/>
  <c r="T97" i="9"/>
  <c r="Z16" i="9"/>
  <c r="F272" i="3"/>
  <c r="F276" i="3"/>
  <c r="F265" i="3"/>
  <c r="F281" i="3"/>
  <c r="F280" i="3"/>
  <c r="F266" i="3"/>
  <c r="F264" i="3"/>
  <c r="F267" i="3"/>
  <c r="F268" i="3"/>
  <c r="F269" i="3"/>
  <c r="F222" i="3"/>
  <c r="F221" i="3"/>
  <c r="F210" i="3"/>
  <c r="F209" i="3"/>
  <c r="F202" i="3"/>
  <c r="F201" i="3"/>
  <c r="F194" i="3"/>
  <c r="F166" i="3"/>
  <c r="F162" i="3"/>
  <c r="F165" i="3"/>
  <c r="F270" i="3"/>
  <c r="F253" i="3"/>
  <c r="F252" i="3"/>
  <c r="F237" i="3"/>
  <c r="F233" i="3"/>
  <c r="F189" i="3"/>
  <c r="F181" i="3"/>
  <c r="F180" i="3"/>
  <c r="F153" i="3"/>
  <c r="F149" i="3"/>
  <c r="F145" i="3"/>
  <c r="F141" i="3"/>
  <c r="F137" i="3"/>
  <c r="F133" i="3"/>
  <c r="F129" i="3"/>
  <c r="F125" i="3"/>
  <c r="F121" i="3"/>
  <c r="F117" i="3"/>
  <c r="F113" i="3"/>
  <c r="F109" i="3"/>
  <c r="F260" i="3"/>
  <c r="F248" i="3"/>
  <c r="F244" i="3"/>
  <c r="F228" i="3"/>
  <c r="F212" i="3"/>
  <c r="F211" i="3"/>
  <c r="F204" i="3"/>
  <c r="F203" i="3"/>
  <c r="F196" i="3"/>
  <c r="F195" i="3"/>
  <c r="F176" i="3"/>
  <c r="F172" i="3"/>
  <c r="F239" i="3"/>
  <c r="F238" i="3"/>
  <c r="F223" i="3"/>
  <c r="F183" i="3"/>
  <c r="F182" i="3"/>
  <c r="F167" i="3"/>
  <c r="F163" i="3"/>
  <c r="F159" i="3"/>
  <c r="F158" i="3"/>
  <c r="F179" i="3"/>
  <c r="F261" i="3"/>
  <c r="F254" i="3"/>
  <c r="F234" i="3"/>
  <c r="F214" i="3"/>
  <c r="F213" i="3"/>
  <c r="F190" i="3"/>
  <c r="F157" i="3"/>
  <c r="F150" i="3"/>
  <c r="F146" i="3"/>
  <c r="F142" i="3"/>
  <c r="F138" i="3"/>
  <c r="F134" i="3"/>
  <c r="F130" i="3"/>
  <c r="F126" i="3"/>
  <c r="F122" i="3"/>
  <c r="F118" i="3"/>
  <c r="F114" i="3"/>
  <c r="F110" i="3"/>
  <c r="L12" i="3"/>
  <c r="N12" i="3" s="1"/>
  <c r="F262" i="3"/>
  <c r="F249" i="3"/>
  <c r="F245" i="3"/>
  <c r="F229" i="3"/>
  <c r="F205" i="3"/>
  <c r="F197" i="3"/>
  <c r="F177" i="3"/>
  <c r="F173" i="3"/>
  <c r="D155" i="3"/>
  <c r="F192" i="3"/>
  <c r="F161" i="3"/>
  <c r="F171" i="3"/>
  <c r="F256" i="3"/>
  <c r="F255" i="3"/>
  <c r="F240" i="3"/>
  <c r="F224" i="3"/>
  <c r="F216" i="3"/>
  <c r="F215" i="3"/>
  <c r="F184" i="3"/>
  <c r="F168" i="3"/>
  <c r="F164" i="3"/>
  <c r="F160" i="3"/>
  <c r="F175" i="3"/>
  <c r="F235" i="3"/>
  <c r="F207" i="3"/>
  <c r="F206" i="3"/>
  <c r="F191" i="3"/>
  <c r="F151" i="3"/>
  <c r="F147" i="3"/>
  <c r="F143" i="3"/>
  <c r="F139" i="3"/>
  <c r="F135" i="3"/>
  <c r="F131" i="3"/>
  <c r="F127" i="3"/>
  <c r="F123" i="3"/>
  <c r="F119" i="3"/>
  <c r="F115" i="3"/>
  <c r="F111" i="3"/>
  <c r="F271" i="3"/>
  <c r="F258" i="3"/>
  <c r="F257" i="3"/>
  <c r="F250" i="3"/>
  <c r="F246" i="3"/>
  <c r="F242" i="3"/>
  <c r="F241" i="3"/>
  <c r="F230" i="3"/>
  <c r="F218" i="3"/>
  <c r="F217" i="3"/>
  <c r="F198" i="3"/>
  <c r="F186" i="3"/>
  <c r="F185" i="3"/>
  <c r="F178" i="3"/>
  <c r="F174" i="3"/>
  <c r="F170" i="3"/>
  <c r="F169" i="3"/>
  <c r="F225" i="3"/>
  <c r="F193" i="3"/>
  <c r="F236" i="3"/>
  <c r="F232" i="3"/>
  <c r="F231" i="3"/>
  <c r="F220" i="3"/>
  <c r="F219" i="3"/>
  <c r="F208" i="3"/>
  <c r="F200" i="3"/>
  <c r="F199" i="3"/>
  <c r="F188" i="3"/>
  <c r="F187" i="3"/>
  <c r="F152" i="3"/>
  <c r="F148" i="3"/>
  <c r="F144" i="3"/>
  <c r="F140" i="3"/>
  <c r="F136" i="3"/>
  <c r="F132" i="3"/>
  <c r="F128" i="3"/>
  <c r="F124" i="3"/>
  <c r="F120" i="3"/>
  <c r="F116" i="3"/>
  <c r="F112" i="3"/>
  <c r="F108" i="3"/>
  <c r="F107" i="3"/>
  <c r="F259" i="3"/>
  <c r="F251" i="3"/>
  <c r="F247" i="3"/>
  <c r="F243" i="3"/>
  <c r="F227" i="3"/>
  <c r="F226" i="3"/>
  <c r="H27" i="50"/>
  <c r="N18" i="50"/>
  <c r="D46" i="109"/>
  <c r="V23" i="104"/>
  <c r="T87" i="104"/>
  <c r="H91" i="104"/>
  <c r="T91" i="88"/>
  <c r="N18" i="89"/>
  <c r="H73" i="89"/>
  <c r="L18" i="89"/>
  <c r="L22" i="83"/>
  <c r="D28" i="83"/>
  <c r="T80" i="81"/>
  <c r="V76" i="81"/>
  <c r="P76" i="81"/>
  <c r="X22" i="81"/>
  <c r="Z22" i="81" s="1"/>
  <c r="R22" i="81"/>
  <c r="V45" i="74"/>
  <c r="T79" i="74"/>
  <c r="V47" i="71"/>
  <c r="T107" i="71"/>
  <c r="T80" i="80"/>
  <c r="R92" i="71"/>
  <c r="R96" i="71"/>
  <c r="R89" i="71"/>
  <c r="R88" i="71"/>
  <c r="R61" i="71"/>
  <c r="R60" i="71"/>
  <c r="R56" i="71"/>
  <c r="R52" i="71"/>
  <c r="R103" i="71"/>
  <c r="R93" i="71"/>
  <c r="R84" i="71"/>
  <c r="R72" i="71"/>
  <c r="R32" i="71"/>
  <c r="R109" i="71"/>
  <c r="R104" i="71"/>
  <c r="R97" i="71"/>
  <c r="R85" i="71"/>
  <c r="R79" i="71"/>
  <c r="R73" i="71"/>
  <c r="R68" i="71"/>
  <c r="R58" i="71"/>
  <c r="R45" i="71"/>
  <c r="R41" i="71"/>
  <c r="R37" i="71"/>
  <c r="R33" i="71"/>
  <c r="R98" i="71"/>
  <c r="R86" i="71"/>
  <c r="R74" i="71"/>
  <c r="R65" i="71"/>
  <c r="R62" i="71"/>
  <c r="R55" i="71"/>
  <c r="X12" i="71"/>
  <c r="Z12" i="71" s="1"/>
  <c r="R94" i="71"/>
  <c r="R90" i="71"/>
  <c r="R80" i="71"/>
  <c r="R47" i="71"/>
  <c r="R105" i="71"/>
  <c r="R91" i="71"/>
  <c r="R69" i="71"/>
  <c r="P47" i="71"/>
  <c r="R42" i="71"/>
  <c r="R38" i="71"/>
  <c r="R34" i="71"/>
  <c r="R99" i="71"/>
  <c r="R95" i="71"/>
  <c r="R66" i="71"/>
  <c r="R63" i="71"/>
  <c r="R59" i="71"/>
  <c r="R50" i="71"/>
  <c r="R49" i="71"/>
  <c r="R100" i="71"/>
  <c r="R87" i="71"/>
  <c r="R81" i="71"/>
  <c r="R75" i="71"/>
  <c r="R53" i="71"/>
  <c r="R78" i="71"/>
  <c r="R76" i="71"/>
  <c r="R40" i="71"/>
  <c r="R54" i="71"/>
  <c r="R64" i="71"/>
  <c r="R51" i="71"/>
  <c r="R36" i="71"/>
  <c r="R70" i="71"/>
  <c r="R43" i="71"/>
  <c r="R83" i="71"/>
  <c r="R101" i="71"/>
  <c r="R57" i="71"/>
  <c r="R39" i="71"/>
  <c r="R44" i="71"/>
  <c r="R82" i="71"/>
  <c r="R67" i="71"/>
  <c r="R71" i="71"/>
  <c r="R77" i="71"/>
  <c r="R35" i="71"/>
  <c r="P90" i="92"/>
  <c r="H111" i="71"/>
  <c r="D64" i="61"/>
  <c r="X16" i="64"/>
  <c r="P102" i="64"/>
  <c r="H84" i="95"/>
  <c r="T68" i="59"/>
  <c r="Z16" i="59"/>
  <c r="T98" i="45"/>
  <c r="F83" i="51"/>
  <c r="F74" i="51"/>
  <c r="F73" i="51"/>
  <c r="F97" i="51"/>
  <c r="F85" i="51"/>
  <c r="F84" i="51"/>
  <c r="F88" i="51"/>
  <c r="F71" i="51"/>
  <c r="F48" i="51"/>
  <c r="F41" i="51"/>
  <c r="F37" i="51"/>
  <c r="F68" i="51"/>
  <c r="F64" i="51"/>
  <c r="D46" i="51"/>
  <c r="F81" i="51"/>
  <c r="F77" i="51"/>
  <c r="F42" i="51"/>
  <c r="F38" i="51"/>
  <c r="F90" i="51"/>
  <c r="F82" i="51"/>
  <c r="F78" i="51"/>
  <c r="F69" i="51"/>
  <c r="F56" i="51"/>
  <c r="F52" i="51"/>
  <c r="F43" i="51"/>
  <c r="F39" i="51"/>
  <c r="F35" i="51"/>
  <c r="F34" i="51"/>
  <c r="F91" i="51"/>
  <c r="F86" i="51"/>
  <c r="F66" i="51"/>
  <c r="F62" i="51"/>
  <c r="F80" i="51"/>
  <c r="F70" i="51"/>
  <c r="F54" i="51"/>
  <c r="F93" i="51"/>
  <c r="F60" i="51"/>
  <c r="F55" i="51"/>
  <c r="F79" i="51"/>
  <c r="F67" i="51"/>
  <c r="F53" i="51"/>
  <c r="L12" i="51"/>
  <c r="N12" i="51" s="1"/>
  <c r="F63" i="51"/>
  <c r="F61" i="51"/>
  <c r="F58" i="51"/>
  <c r="F92" i="51"/>
  <c r="F49" i="51"/>
  <c r="F44" i="51"/>
  <c r="F76" i="51"/>
  <c r="F51" i="51"/>
  <c r="F87" i="51"/>
  <c r="F72" i="51"/>
  <c r="F57" i="51"/>
  <c r="F40" i="51"/>
  <c r="F75" i="51"/>
  <c r="F50" i="51"/>
  <c r="F65" i="51"/>
  <c r="F59" i="51"/>
  <c r="F36" i="51"/>
  <c r="L16" i="6"/>
  <c r="D22" i="6"/>
  <c r="F227" i="12"/>
  <c r="F226" i="12"/>
  <c r="F219" i="12"/>
  <c r="F203" i="12"/>
  <c r="F199" i="12"/>
  <c r="F198" i="12"/>
  <c r="F159" i="12"/>
  <c r="F158" i="12"/>
  <c r="F123" i="12"/>
  <c r="F119" i="12"/>
  <c r="F115" i="12"/>
  <c r="F111" i="12"/>
  <c r="F107" i="12"/>
  <c r="F103" i="12"/>
  <c r="F99" i="12"/>
  <c r="F95" i="12"/>
  <c r="F91" i="12"/>
  <c r="F87" i="12"/>
  <c r="F214" i="12"/>
  <c r="F210" i="12"/>
  <c r="F194" i="12"/>
  <c r="F193" i="12"/>
  <c r="F186" i="12"/>
  <c r="F185" i="12"/>
  <c r="F174" i="12"/>
  <c r="F166" i="12"/>
  <c r="F165" i="12"/>
  <c r="F150" i="12"/>
  <c r="F146" i="12"/>
  <c r="F142" i="12"/>
  <c r="F230" i="12"/>
  <c r="F221" i="12"/>
  <c r="F220" i="12"/>
  <c r="F137" i="12"/>
  <c r="F133" i="12"/>
  <c r="F231" i="12"/>
  <c r="F229" i="12"/>
  <c r="F204" i="12"/>
  <c r="F200" i="12"/>
  <c r="F188" i="12"/>
  <c r="F187" i="12"/>
  <c r="F176" i="12"/>
  <c r="F175" i="12"/>
  <c r="F160" i="12"/>
  <c r="F152" i="12"/>
  <c r="F151" i="12"/>
  <c r="F124" i="12"/>
  <c r="F120" i="12"/>
  <c r="F116" i="12"/>
  <c r="F112" i="12"/>
  <c r="F108" i="12"/>
  <c r="F104" i="12"/>
  <c r="F100" i="12"/>
  <c r="F96" i="12"/>
  <c r="F92" i="12"/>
  <c r="F88" i="12"/>
  <c r="F232" i="12"/>
  <c r="F223" i="12"/>
  <c r="F222" i="12"/>
  <c r="F215" i="12"/>
  <c r="F211" i="12"/>
  <c r="F195" i="12"/>
  <c r="F167" i="12"/>
  <c r="F147" i="12"/>
  <c r="F143" i="12"/>
  <c r="F233" i="12"/>
  <c r="F206" i="12"/>
  <c r="F205" i="12"/>
  <c r="F190" i="12"/>
  <c r="F189" i="12"/>
  <c r="F178" i="12"/>
  <c r="F177" i="12"/>
  <c r="F154" i="12"/>
  <c r="F153" i="12"/>
  <c r="F138" i="12"/>
  <c r="F134" i="12"/>
  <c r="F130" i="12"/>
  <c r="F129" i="12"/>
  <c r="F234" i="12"/>
  <c r="F201" i="12"/>
  <c r="F169" i="12"/>
  <c r="F168" i="12"/>
  <c r="F161" i="12"/>
  <c r="F128" i="12"/>
  <c r="F121" i="12"/>
  <c r="F117" i="12"/>
  <c r="F113" i="12"/>
  <c r="F109" i="12"/>
  <c r="F105" i="12"/>
  <c r="F101" i="12"/>
  <c r="F97" i="12"/>
  <c r="F93" i="12"/>
  <c r="F89" i="12"/>
  <c r="F224" i="12"/>
  <c r="F216" i="12"/>
  <c r="F212" i="12"/>
  <c r="F196" i="12"/>
  <c r="F180" i="12"/>
  <c r="F179" i="12"/>
  <c r="F148" i="12"/>
  <c r="F144" i="12"/>
  <c r="D126" i="12"/>
  <c r="F207" i="12"/>
  <c r="F191" i="12"/>
  <c r="F171" i="12"/>
  <c r="F170" i="12"/>
  <c r="F163" i="12"/>
  <c r="F162" i="12"/>
  <c r="F155" i="12"/>
  <c r="F139" i="12"/>
  <c r="F135" i="12"/>
  <c r="F131" i="12"/>
  <c r="F238" i="12"/>
  <c r="F218" i="12"/>
  <c r="F217" i="12"/>
  <c r="F202" i="12"/>
  <c r="F182" i="12"/>
  <c r="F181" i="12"/>
  <c r="F122" i="12"/>
  <c r="F118" i="12"/>
  <c r="F114" i="12"/>
  <c r="F110" i="12"/>
  <c r="F106" i="12"/>
  <c r="F102" i="12"/>
  <c r="F98" i="12"/>
  <c r="F94" i="12"/>
  <c r="F90" i="12"/>
  <c r="F86" i="12"/>
  <c r="F85" i="12"/>
  <c r="L12" i="12"/>
  <c r="N12" i="12" s="1"/>
  <c r="F136" i="12"/>
  <c r="F208" i="12"/>
  <c r="F156" i="12"/>
  <c r="F225" i="12"/>
  <c r="F173" i="12"/>
  <c r="F149" i="12"/>
  <c r="F213" i="12"/>
  <c r="F141" i="12"/>
  <c r="F183" i="12"/>
  <c r="F132" i="12"/>
  <c r="F164" i="12"/>
  <c r="F192" i="12"/>
  <c r="F209" i="12"/>
  <c r="F157" i="12"/>
  <c r="F145" i="12"/>
  <c r="F197" i="12"/>
  <c r="F172" i="12"/>
  <c r="F184" i="12"/>
  <c r="F140" i="12"/>
  <c r="H274" i="3"/>
  <c r="H27" i="47"/>
  <c r="N18" i="47"/>
  <c r="N18" i="52"/>
  <c r="H27" i="52"/>
  <c r="D27" i="46"/>
  <c r="L18" i="46"/>
  <c r="X18" i="37"/>
  <c r="P27" i="37"/>
  <c r="T27" i="28"/>
  <c r="Z18" i="28"/>
  <c r="H27" i="43"/>
  <c r="N18" i="43"/>
  <c r="T27" i="31"/>
  <c r="Z18" i="31"/>
  <c r="P27" i="22"/>
  <c r="X18" i="22"/>
  <c r="T27" i="4"/>
  <c r="Z18" i="4"/>
  <c r="L18" i="5"/>
  <c r="D27" i="5"/>
  <c r="T27" i="13"/>
  <c r="Z18" i="13"/>
  <c r="N18" i="14"/>
  <c r="H27" i="14"/>
  <c r="T93" i="96"/>
  <c r="H73" i="110"/>
  <c r="L16" i="103"/>
  <c r="D61" i="103"/>
  <c r="H60" i="61"/>
  <c r="L60" i="61" s="1"/>
  <c r="N16" i="61"/>
  <c r="T27" i="49"/>
  <c r="Z18" i="49"/>
  <c r="X18" i="8"/>
  <c r="P27" i="8"/>
  <c r="F62" i="110"/>
  <c r="F54" i="110"/>
  <c r="F53" i="110"/>
  <c r="F37" i="110"/>
  <c r="F33" i="110"/>
  <c r="F64" i="110"/>
  <c r="F63" i="110"/>
  <c r="F56" i="110"/>
  <c r="F55" i="110"/>
  <c r="F44" i="110"/>
  <c r="F43" i="110"/>
  <c r="F28" i="110"/>
  <c r="F24" i="110"/>
  <c r="F67" i="110"/>
  <c r="F58" i="110"/>
  <c r="F57" i="110"/>
  <c r="F46" i="110"/>
  <c r="F45" i="110"/>
  <c r="F38" i="110"/>
  <c r="F34" i="110"/>
  <c r="F71" i="110"/>
  <c r="F59" i="110"/>
  <c r="F39" i="110"/>
  <c r="F36" i="110"/>
  <c r="F22" i="110"/>
  <c r="F50" i="110"/>
  <c r="F31" i="110"/>
  <c r="F25" i="110"/>
  <c r="F15" i="110"/>
  <c r="F47" i="110"/>
  <c r="F60" i="110"/>
  <c r="F40" i="110"/>
  <c r="F51" i="110"/>
  <c r="F26" i="110"/>
  <c r="F23" i="110"/>
  <c r="F19" i="110"/>
  <c r="F61" i="110"/>
  <c r="F48" i="110"/>
  <c r="F41" i="110"/>
  <c r="F35" i="110"/>
  <c r="F32" i="110"/>
  <c r="F29" i="110"/>
  <c r="F20" i="110"/>
  <c r="F66" i="110"/>
  <c r="F52" i="110"/>
  <c r="F42" i="110"/>
  <c r="F21" i="110"/>
  <c r="L12" i="110"/>
  <c r="N12" i="110" s="1"/>
  <c r="F30" i="110"/>
  <c r="F27" i="110"/>
  <c r="D17" i="110"/>
  <c r="F17" i="110" s="1"/>
  <c r="F49" i="110"/>
  <c r="X20" i="108"/>
  <c r="P82" i="108"/>
  <c r="H61" i="103"/>
  <c r="N16" i="103"/>
  <c r="L23" i="98"/>
  <c r="D86" i="98"/>
  <c r="T90" i="98"/>
  <c r="H86" i="92"/>
  <c r="N16" i="92"/>
  <c r="Z16" i="92"/>
  <c r="T86" i="92"/>
  <c r="X86" i="92" s="1"/>
  <c r="D80" i="89"/>
  <c r="D95" i="88"/>
  <c r="L91" i="88"/>
  <c r="N91" i="88" s="1"/>
  <c r="T28" i="83"/>
  <c r="V22" i="83"/>
  <c r="J41" i="85"/>
  <c r="H115" i="85"/>
  <c r="X46" i="75"/>
  <c r="P110" i="75"/>
  <c r="D70" i="70"/>
  <c r="L22" i="70"/>
  <c r="R25" i="73"/>
  <c r="X16" i="55"/>
  <c r="P31" i="55"/>
  <c r="R134" i="30"/>
  <c r="R105" i="30"/>
  <c r="R104" i="30"/>
  <c r="R48" i="30"/>
  <c r="R44" i="30"/>
  <c r="R40" i="30"/>
  <c r="R36" i="30"/>
  <c r="R135" i="30"/>
  <c r="R123" i="30"/>
  <c r="R111" i="30"/>
  <c r="R96" i="30"/>
  <c r="R95" i="30"/>
  <c r="R84" i="30"/>
  <c r="R83" i="30"/>
  <c r="R75" i="30"/>
  <c r="R71" i="30"/>
  <c r="R67" i="30"/>
  <c r="R118" i="30"/>
  <c r="R106" i="30"/>
  <c r="R62" i="30"/>
  <c r="R58" i="30"/>
  <c r="X12" i="30"/>
  <c r="Z12" i="30" s="1"/>
  <c r="R98" i="30"/>
  <c r="R97" i="30"/>
  <c r="R86" i="30"/>
  <c r="R85" i="30"/>
  <c r="R49" i="30"/>
  <c r="R45" i="30"/>
  <c r="R41" i="30"/>
  <c r="R37" i="30"/>
  <c r="R125" i="30"/>
  <c r="R124" i="30"/>
  <c r="R113" i="30"/>
  <c r="R112" i="30"/>
  <c r="R77" i="30"/>
  <c r="R76" i="30"/>
  <c r="R72" i="30"/>
  <c r="R68" i="30"/>
  <c r="R33" i="30"/>
  <c r="R139" i="30"/>
  <c r="R119" i="30"/>
  <c r="R107" i="30"/>
  <c r="R100" i="30"/>
  <c r="R99" i="30"/>
  <c r="R88" i="30"/>
  <c r="R87" i="30"/>
  <c r="R63" i="30"/>
  <c r="R59" i="30"/>
  <c r="R127" i="30"/>
  <c r="R126" i="30"/>
  <c r="R114" i="30"/>
  <c r="R79" i="30"/>
  <c r="R78" i="30"/>
  <c r="R50" i="30"/>
  <c r="R46" i="30"/>
  <c r="R42" i="30"/>
  <c r="R38" i="30"/>
  <c r="R34" i="30"/>
  <c r="R102" i="30"/>
  <c r="R101" i="30"/>
  <c r="R90" i="30"/>
  <c r="R89" i="30"/>
  <c r="R73" i="30"/>
  <c r="R69" i="30"/>
  <c r="R133" i="30"/>
  <c r="R39" i="30"/>
  <c r="R53" i="30"/>
  <c r="R80" i="30"/>
  <c r="P53" i="30"/>
  <c r="R35" i="30"/>
  <c r="R130" i="30"/>
  <c r="R61" i="30"/>
  <c r="R128" i="30"/>
  <c r="R121" i="30"/>
  <c r="R117" i="30"/>
  <c r="R66" i="30"/>
  <c r="R57" i="30"/>
  <c r="R93" i="30"/>
  <c r="R70" i="30"/>
  <c r="R51" i="30"/>
  <c r="R122" i="30"/>
  <c r="R115" i="30"/>
  <c r="R120" i="30"/>
  <c r="R116" i="30"/>
  <c r="R110" i="30"/>
  <c r="R60" i="30"/>
  <c r="R43" i="30"/>
  <c r="R108" i="30"/>
  <c r="R92" i="30"/>
  <c r="R56" i="30"/>
  <c r="R81" i="30"/>
  <c r="R94" i="30"/>
  <c r="R82" i="30"/>
  <c r="R109" i="30"/>
  <c r="R129" i="30"/>
  <c r="R64" i="30"/>
  <c r="R47" i="30"/>
  <c r="R132" i="30"/>
  <c r="R103" i="30"/>
  <c r="R74" i="30"/>
  <c r="R55" i="30"/>
  <c r="R91" i="30"/>
  <c r="R65" i="30"/>
  <c r="T94" i="33"/>
  <c r="V35" i="33"/>
  <c r="H110" i="21"/>
  <c r="J106" i="21"/>
  <c r="T278" i="3"/>
  <c r="T22" i="6"/>
  <c r="Z16" i="6"/>
  <c r="F201" i="15"/>
  <c r="F197" i="15"/>
  <c r="F196" i="15"/>
  <c r="F185" i="15"/>
  <c r="F217" i="15"/>
  <c r="F208" i="15"/>
  <c r="F207" i="15"/>
  <c r="F180" i="15"/>
  <c r="F179" i="15"/>
  <c r="F168" i="15"/>
  <c r="F160" i="15"/>
  <c r="F159" i="15"/>
  <c r="F144" i="15"/>
  <c r="F140" i="15"/>
  <c r="F136" i="15"/>
  <c r="F218" i="15"/>
  <c r="F216" i="15"/>
  <c r="F220" i="15"/>
  <c r="F181" i="15"/>
  <c r="F161" i="15"/>
  <c r="F141" i="15"/>
  <c r="F137" i="15"/>
  <c r="F221" i="15"/>
  <c r="F192" i="15"/>
  <c r="F172" i="15"/>
  <c r="F171" i="15"/>
  <c r="F148" i="15"/>
  <c r="F147" i="15"/>
  <c r="F132" i="15"/>
  <c r="F128" i="15"/>
  <c r="F124" i="15"/>
  <c r="F123" i="15"/>
  <c r="F211" i="15"/>
  <c r="F203" i="15"/>
  <c r="F199" i="15"/>
  <c r="F187" i="15"/>
  <c r="F195" i="15"/>
  <c r="F167" i="15"/>
  <c r="F166" i="15"/>
  <c r="F151" i="15"/>
  <c r="F150" i="15"/>
  <c r="F143" i="15"/>
  <c r="F139" i="15"/>
  <c r="F135" i="15"/>
  <c r="F134" i="15"/>
  <c r="F214" i="15"/>
  <c r="F213" i="15"/>
  <c r="F206" i="15"/>
  <c r="F190" i="15"/>
  <c r="F178" i="15"/>
  <c r="F177" i="15"/>
  <c r="F158" i="15"/>
  <c r="F130" i="15"/>
  <c r="F169" i="15"/>
  <c r="F153" i="15"/>
  <c r="F138" i="15"/>
  <c r="F131" i="15"/>
  <c r="F117" i="15"/>
  <c r="F106" i="15"/>
  <c r="F102" i="15"/>
  <c r="F98" i="15"/>
  <c r="F94" i="15"/>
  <c r="F90" i="15"/>
  <c r="F86" i="15"/>
  <c r="F82" i="15"/>
  <c r="F81" i="15"/>
  <c r="F209" i="15"/>
  <c r="F175" i="15"/>
  <c r="F133" i="15"/>
  <c r="F110" i="15"/>
  <c r="F219" i="15"/>
  <c r="F191" i="15"/>
  <c r="F189" i="15"/>
  <c r="F182" i="15"/>
  <c r="F164" i="15"/>
  <c r="F114" i="15"/>
  <c r="F205" i="15"/>
  <c r="F193" i="15"/>
  <c r="F156" i="15"/>
  <c r="F129" i="15"/>
  <c r="F127" i="15"/>
  <c r="F118" i="15"/>
  <c r="F103" i="15"/>
  <c r="F99" i="15"/>
  <c r="F95" i="15"/>
  <c r="F91" i="15"/>
  <c r="F87" i="15"/>
  <c r="F83" i="15"/>
  <c r="F198" i="15"/>
  <c r="F170" i="15"/>
  <c r="F107" i="15"/>
  <c r="F225" i="15"/>
  <c r="F183" i="15"/>
  <c r="F173" i="15"/>
  <c r="F154" i="15"/>
  <c r="F145" i="15"/>
  <c r="F125" i="15"/>
  <c r="F111" i="15"/>
  <c r="F210" i="15"/>
  <c r="F200" i="15"/>
  <c r="F176" i="15"/>
  <c r="F165" i="15"/>
  <c r="F142" i="15"/>
  <c r="F115" i="15"/>
  <c r="F104" i="15"/>
  <c r="F100" i="15"/>
  <c r="F96" i="15"/>
  <c r="F92" i="15"/>
  <c r="F88" i="15"/>
  <c r="F84" i="15"/>
  <c r="F202" i="15"/>
  <c r="F162" i="15"/>
  <c r="F157" i="15"/>
  <c r="F120" i="15"/>
  <c r="F108" i="15"/>
  <c r="F212" i="15"/>
  <c r="F204" i="15"/>
  <c r="F194" i="15"/>
  <c r="F188" i="15"/>
  <c r="F146" i="15"/>
  <c r="F122" i="15"/>
  <c r="D120" i="15"/>
  <c r="F112" i="15"/>
  <c r="L12" i="15"/>
  <c r="N12" i="15" s="1"/>
  <c r="F163" i="15"/>
  <c r="F116" i="15"/>
  <c r="F105" i="15"/>
  <c r="F101" i="15"/>
  <c r="F97" i="15"/>
  <c r="F93" i="15"/>
  <c r="F89" i="15"/>
  <c r="F85" i="15"/>
  <c r="F155" i="15"/>
  <c r="F184" i="15"/>
  <c r="F152" i="15"/>
  <c r="F126" i="15"/>
  <c r="F186" i="15"/>
  <c r="F149" i="15"/>
  <c r="F109" i="15"/>
  <c r="F174" i="15"/>
  <c r="F113" i="15"/>
  <c r="X18" i="113"/>
  <c r="P27" i="113"/>
  <c r="X18" i="111"/>
  <c r="P27" i="111"/>
  <c r="X18" i="49"/>
  <c r="P27" i="49"/>
  <c r="X18" i="35"/>
  <c r="P27" i="35"/>
  <c r="L18" i="34"/>
  <c r="D27" i="34"/>
  <c r="D27" i="35"/>
  <c r="L18" i="35"/>
  <c r="X18" i="28"/>
  <c r="P27" i="28"/>
  <c r="L18" i="31"/>
  <c r="D27" i="31"/>
  <c r="X18" i="20"/>
  <c r="P27" i="20"/>
  <c r="H27" i="8"/>
  <c r="N18" i="8"/>
  <c r="H27" i="13"/>
  <c r="N18" i="13"/>
  <c r="T97" i="69"/>
  <c r="H74" i="58"/>
  <c r="N16" i="58"/>
  <c r="H27" i="41"/>
  <c r="N18" i="41"/>
  <c r="T27" i="25"/>
  <c r="Z18" i="25"/>
  <c r="H27" i="29"/>
  <c r="N18" i="29"/>
  <c r="L18" i="20"/>
  <c r="D27" i="20"/>
  <c r="T27" i="14"/>
  <c r="Z18" i="14"/>
  <c r="X16" i="109"/>
  <c r="P46" i="109"/>
  <c r="X16" i="107"/>
  <c r="P22" i="107"/>
  <c r="T82" i="108"/>
  <c r="Z20" i="108"/>
  <c r="T46" i="109"/>
  <c r="Z16" i="109"/>
  <c r="P88" i="106"/>
  <c r="X23" i="106"/>
  <c r="H71" i="94"/>
  <c r="J23" i="94"/>
  <c r="X18" i="89"/>
  <c r="P73" i="89"/>
  <c r="P28" i="86"/>
  <c r="X20" i="86"/>
  <c r="Z20" i="86" s="1"/>
  <c r="H35" i="86"/>
  <c r="R70" i="74"/>
  <c r="R69" i="74"/>
  <c r="R41" i="74"/>
  <c r="R37" i="74"/>
  <c r="R33" i="74"/>
  <c r="R72" i="74"/>
  <c r="R71" i="74"/>
  <c r="R55" i="74"/>
  <c r="R51" i="74"/>
  <c r="R42" i="74"/>
  <c r="R38" i="74"/>
  <c r="R34" i="74"/>
  <c r="R74" i="74"/>
  <c r="R73" i="74"/>
  <c r="R65" i="74"/>
  <c r="R61" i="74"/>
  <c r="R57" i="74"/>
  <c r="R56" i="74"/>
  <c r="R52" i="74"/>
  <c r="R75" i="74"/>
  <c r="R48" i="74"/>
  <c r="R43" i="74"/>
  <c r="R39" i="74"/>
  <c r="R35" i="74"/>
  <c r="R77" i="74"/>
  <c r="R66" i="74"/>
  <c r="R62" i="74"/>
  <c r="R58" i="74"/>
  <c r="R81" i="74"/>
  <c r="R68" i="74"/>
  <c r="R67" i="74"/>
  <c r="R63" i="74"/>
  <c r="R59" i="74"/>
  <c r="R32" i="74"/>
  <c r="R49" i="74"/>
  <c r="R53" i="74"/>
  <c r="R60" i="74"/>
  <c r="R47" i="74"/>
  <c r="R40" i="74"/>
  <c r="X12" i="74"/>
  <c r="Z12" i="74" s="1"/>
  <c r="R64" i="74"/>
  <c r="R45" i="74"/>
  <c r="R50" i="74"/>
  <c r="P45" i="74"/>
  <c r="R54" i="74"/>
  <c r="R36" i="74"/>
  <c r="N26" i="72"/>
  <c r="H29" i="72"/>
  <c r="N29" i="72" s="1"/>
  <c r="H106" i="64"/>
  <c r="X16" i="61"/>
  <c r="P60" i="61"/>
  <c r="H71" i="57"/>
  <c r="N16" i="57"/>
  <c r="R87" i="51"/>
  <c r="R86" i="51"/>
  <c r="R79" i="51"/>
  <c r="R78" i="51"/>
  <c r="R69" i="51"/>
  <c r="R85" i="51"/>
  <c r="R65" i="51"/>
  <c r="R61" i="51"/>
  <c r="R34" i="51"/>
  <c r="R82" i="51"/>
  <c r="R56" i="51"/>
  <c r="R52" i="51"/>
  <c r="R74" i="51"/>
  <c r="R66" i="51"/>
  <c r="R62" i="51"/>
  <c r="R93" i="51"/>
  <c r="R75" i="51"/>
  <c r="R49" i="51"/>
  <c r="R44" i="51"/>
  <c r="R40" i="51"/>
  <c r="R36" i="51"/>
  <c r="X12" i="51"/>
  <c r="Z12" i="51" s="1"/>
  <c r="R83" i="51"/>
  <c r="R71" i="51"/>
  <c r="R70" i="51"/>
  <c r="R67" i="51"/>
  <c r="R63" i="51"/>
  <c r="R48" i="51"/>
  <c r="R80" i="51"/>
  <c r="R58" i="51"/>
  <c r="R54" i="51"/>
  <c r="R50" i="51"/>
  <c r="P46" i="51"/>
  <c r="R68" i="51"/>
  <c r="R59" i="51"/>
  <c r="R76" i="51"/>
  <c r="R64" i="51"/>
  <c r="R57" i="51"/>
  <c r="R97" i="51"/>
  <c r="R88" i="51"/>
  <c r="R81" i="51"/>
  <c r="R60" i="51"/>
  <c r="R35" i="51"/>
  <c r="R77" i="51"/>
  <c r="R51" i="51"/>
  <c r="R41" i="51"/>
  <c r="R72" i="51"/>
  <c r="R92" i="51"/>
  <c r="R84" i="51"/>
  <c r="R42" i="51"/>
  <c r="R37" i="51"/>
  <c r="R53" i="51"/>
  <c r="R90" i="51"/>
  <c r="R55" i="51"/>
  <c r="R73" i="51"/>
  <c r="R38" i="51"/>
  <c r="R91" i="51"/>
  <c r="R43" i="51"/>
  <c r="R39" i="51"/>
  <c r="T73" i="48"/>
  <c r="Z69" i="48"/>
  <c r="V23" i="45"/>
  <c r="T124" i="42"/>
  <c r="R95" i="27"/>
  <c r="R94" i="27"/>
  <c r="R42" i="27"/>
  <c r="R38" i="27"/>
  <c r="R34" i="27"/>
  <c r="R78" i="27"/>
  <c r="R77" i="27"/>
  <c r="R69" i="27"/>
  <c r="R65" i="27"/>
  <c r="R96" i="27"/>
  <c r="R89" i="27"/>
  <c r="R88" i="27"/>
  <c r="R61" i="27"/>
  <c r="R60" i="27"/>
  <c r="R56" i="27"/>
  <c r="R52" i="27"/>
  <c r="R109" i="27"/>
  <c r="R91" i="27"/>
  <c r="R90" i="27"/>
  <c r="R98" i="27"/>
  <c r="R97" i="27"/>
  <c r="R82" i="27"/>
  <c r="R81" i="27"/>
  <c r="R57" i="27"/>
  <c r="R53" i="27"/>
  <c r="R92" i="27"/>
  <c r="R44" i="27"/>
  <c r="R40" i="27"/>
  <c r="R36" i="27"/>
  <c r="R100" i="27"/>
  <c r="R99" i="27"/>
  <c r="R84" i="27"/>
  <c r="R83" i="27"/>
  <c r="R72" i="27"/>
  <c r="R71" i="27"/>
  <c r="R67" i="27"/>
  <c r="R63" i="27"/>
  <c r="R32" i="27"/>
  <c r="R85" i="27"/>
  <c r="R64" i="27"/>
  <c r="R59" i="27"/>
  <c r="R45" i="27"/>
  <c r="R50" i="27"/>
  <c r="R43" i="27"/>
  <c r="R80" i="27"/>
  <c r="R62" i="27"/>
  <c r="R55" i="27"/>
  <c r="R41" i="27"/>
  <c r="R75" i="27"/>
  <c r="R47" i="27"/>
  <c r="R39" i="27"/>
  <c r="R103" i="27"/>
  <c r="P47" i="27"/>
  <c r="X12" i="27"/>
  <c r="Z12" i="27" s="1"/>
  <c r="R87" i="27"/>
  <c r="R79" i="27"/>
  <c r="R68" i="27"/>
  <c r="R49" i="27"/>
  <c r="R104" i="27"/>
  <c r="R101" i="27"/>
  <c r="R74" i="27"/>
  <c r="R66" i="27"/>
  <c r="R54" i="27"/>
  <c r="R33" i="27"/>
  <c r="R51" i="27"/>
  <c r="R76" i="27"/>
  <c r="R105" i="27"/>
  <c r="R93" i="27"/>
  <c r="R86" i="27"/>
  <c r="R70" i="27"/>
  <c r="R35" i="27"/>
  <c r="R37" i="27"/>
  <c r="R58" i="27"/>
  <c r="R73" i="27"/>
  <c r="D137" i="39"/>
  <c r="L36" i="39"/>
  <c r="N36" i="39" s="1"/>
  <c r="N31" i="36"/>
  <c r="H132" i="36"/>
  <c r="F31" i="36"/>
  <c r="D101" i="9"/>
  <c r="L97" i="9"/>
  <c r="P274" i="3"/>
  <c r="X155" i="3"/>
  <c r="Z155" i="3" s="1"/>
  <c r="H27" i="46"/>
  <c r="N18" i="46"/>
  <c r="D27" i="38"/>
  <c r="L18" i="38"/>
  <c r="L18" i="44"/>
  <c r="D27" i="44"/>
  <c r="X18" i="25"/>
  <c r="P27" i="25"/>
  <c r="X18" i="29"/>
  <c r="P27" i="29"/>
  <c r="T27" i="37"/>
  <c r="Z18" i="37"/>
  <c r="H27" i="32"/>
  <c r="N18" i="32"/>
  <c r="T27" i="17"/>
  <c r="Z18" i="17"/>
  <c r="H27" i="17"/>
  <c r="N18" i="17"/>
  <c r="X18" i="14"/>
  <c r="P27" i="14"/>
  <c r="X18" i="11"/>
  <c r="P27" i="11"/>
  <c r="H92" i="106"/>
  <c r="T70" i="70"/>
  <c r="N23" i="98"/>
  <c r="J23" i="98"/>
  <c r="H86" i="98"/>
  <c r="D106" i="64"/>
  <c r="L102" i="64"/>
  <c r="N102" i="64" s="1"/>
  <c r="H105" i="45"/>
  <c r="X18" i="112"/>
  <c r="P27" i="112"/>
  <c r="P27" i="41"/>
  <c r="X18" i="41"/>
  <c r="Z16" i="107"/>
  <c r="T22" i="107"/>
  <c r="H82" i="108"/>
  <c r="N20" i="108"/>
  <c r="F83" i="104"/>
  <c r="F75" i="104"/>
  <c r="F71" i="104"/>
  <c r="F55" i="104"/>
  <c r="F54" i="104"/>
  <c r="F19" i="104"/>
  <c r="F18" i="104"/>
  <c r="F66" i="104"/>
  <c r="F46" i="104"/>
  <c r="F42" i="104"/>
  <c r="F57" i="104"/>
  <c r="F56" i="104"/>
  <c r="F85" i="104"/>
  <c r="F76" i="104"/>
  <c r="F72" i="104"/>
  <c r="F20" i="104"/>
  <c r="F89" i="104"/>
  <c r="F67" i="104"/>
  <c r="F78" i="104"/>
  <c r="F77" i="104"/>
  <c r="F73" i="104"/>
  <c r="F61" i="104"/>
  <c r="F60" i="104"/>
  <c r="F49" i="104"/>
  <c r="F48" i="104"/>
  <c r="F21" i="104"/>
  <c r="F80" i="104"/>
  <c r="F79" i="104"/>
  <c r="F68" i="104"/>
  <c r="F44" i="104"/>
  <c r="F40" i="104"/>
  <c r="F36" i="104"/>
  <c r="F33" i="104"/>
  <c r="D23" i="104"/>
  <c r="F59" i="104"/>
  <c r="F51" i="104"/>
  <c r="F28" i="104"/>
  <c r="F82" i="104"/>
  <c r="F74" i="104"/>
  <c r="F31" i="104"/>
  <c r="F69" i="104"/>
  <c r="F34" i="104"/>
  <c r="F25" i="104"/>
  <c r="F37" i="104"/>
  <c r="F64" i="104"/>
  <c r="F62" i="104"/>
  <c r="F52" i="104"/>
  <c r="F38" i="104"/>
  <c r="F29" i="104"/>
  <c r="F26" i="104"/>
  <c r="F81" i="104"/>
  <c r="F35" i="104"/>
  <c r="F32" i="104"/>
  <c r="F47" i="104"/>
  <c r="F27" i="104"/>
  <c r="F58" i="104"/>
  <c r="F53" i="104"/>
  <c r="F50" i="104"/>
  <c r="F43" i="104"/>
  <c r="F41" i="104"/>
  <c r="F70" i="104"/>
  <c r="F45" i="104"/>
  <c r="F39" i="104"/>
  <c r="F30" i="104"/>
  <c r="F23" i="104"/>
  <c r="F63" i="104"/>
  <c r="L12" i="104"/>
  <c r="N12" i="104" s="1"/>
  <c r="F65" i="104"/>
  <c r="T61" i="103"/>
  <c r="Z16" i="103"/>
  <c r="X16" i="103"/>
  <c r="P61" i="103"/>
  <c r="D77" i="102"/>
  <c r="L23" i="102"/>
  <c r="N23" i="102" s="1"/>
  <c r="H93" i="96"/>
  <c r="T115" i="85"/>
  <c r="T88" i="84"/>
  <c r="V22" i="84"/>
  <c r="H88" i="84"/>
  <c r="P71" i="94"/>
  <c r="X23" i="94"/>
  <c r="D86" i="92"/>
  <c r="L16" i="92"/>
  <c r="T61" i="79"/>
  <c r="Z23" i="79"/>
  <c r="H80" i="81"/>
  <c r="F74" i="81"/>
  <c r="F71" i="81"/>
  <c r="F64" i="81"/>
  <c r="F44" i="81"/>
  <c r="F40" i="81"/>
  <c r="F36" i="81"/>
  <c r="F35" i="81"/>
  <c r="F72" i="81"/>
  <c r="F55" i="81"/>
  <c r="F54" i="81"/>
  <c r="F31" i="81"/>
  <c r="F27" i="81"/>
  <c r="F66" i="81"/>
  <c r="F65" i="81"/>
  <c r="F18" i="81"/>
  <c r="F17" i="81"/>
  <c r="F57" i="81"/>
  <c r="F56" i="81"/>
  <c r="F45" i="81"/>
  <c r="F41" i="81"/>
  <c r="F37" i="81"/>
  <c r="F32" i="81"/>
  <c r="F28" i="81"/>
  <c r="F67" i="81"/>
  <c r="F59" i="81"/>
  <c r="F58" i="81"/>
  <c r="F47" i="81"/>
  <c r="F46" i="81"/>
  <c r="F42" i="81"/>
  <c r="F38" i="81"/>
  <c r="L12" i="81"/>
  <c r="N12" i="81" s="1"/>
  <c r="F78" i="81"/>
  <c r="F61" i="81"/>
  <c r="F60" i="81"/>
  <c r="F49" i="81"/>
  <c r="F48" i="81"/>
  <c r="F33" i="81"/>
  <c r="F29" i="81"/>
  <c r="F68" i="81"/>
  <c r="F20" i="81"/>
  <c r="F52" i="81"/>
  <c r="F50" i="81"/>
  <c r="D22" i="81"/>
  <c r="F70" i="81"/>
  <c r="F26" i="81"/>
  <c r="F62" i="81"/>
  <c r="F51" i="81"/>
  <c r="F24" i="81"/>
  <c r="F53" i="81"/>
  <c r="F30" i="81"/>
  <c r="F34" i="81"/>
  <c r="F69" i="81"/>
  <c r="F39" i="81"/>
  <c r="F43" i="81"/>
  <c r="F25" i="81"/>
  <c r="F22" i="81"/>
  <c r="F19" i="81"/>
  <c r="F63" i="81"/>
  <c r="T83" i="76"/>
  <c r="V28" i="76"/>
  <c r="H95" i="77"/>
  <c r="R105" i="75"/>
  <c r="F96" i="71"/>
  <c r="F95" i="71"/>
  <c r="F88" i="71"/>
  <c r="F60" i="71"/>
  <c r="F56" i="71"/>
  <c r="F52" i="71"/>
  <c r="F68" i="71"/>
  <c r="F64" i="71"/>
  <c r="F92" i="71"/>
  <c r="F70" i="71"/>
  <c r="F50" i="71"/>
  <c r="F43" i="71"/>
  <c r="F39" i="71"/>
  <c r="F35" i="71"/>
  <c r="F101" i="71"/>
  <c r="F100" i="71"/>
  <c r="F76" i="71"/>
  <c r="F67" i="71"/>
  <c r="F51" i="71"/>
  <c r="F82" i="71"/>
  <c r="F77" i="71"/>
  <c r="F83" i="71"/>
  <c r="F71" i="71"/>
  <c r="F57" i="71"/>
  <c r="F54" i="71"/>
  <c r="F44" i="71"/>
  <c r="F40" i="71"/>
  <c r="F36" i="71"/>
  <c r="F93" i="71"/>
  <c r="F109" i="71"/>
  <c r="F103" i="71"/>
  <c r="F97" i="71"/>
  <c r="F79" i="71"/>
  <c r="F78" i="71"/>
  <c r="F61" i="71"/>
  <c r="F104" i="71"/>
  <c r="F89" i="71"/>
  <c r="F85" i="71"/>
  <c r="F84" i="71"/>
  <c r="F73" i="71"/>
  <c r="F72" i="71"/>
  <c r="F65" i="71"/>
  <c r="F58" i="71"/>
  <c r="F55" i="71"/>
  <c r="F45" i="71"/>
  <c r="F41" i="71"/>
  <c r="F37" i="71"/>
  <c r="F33" i="71"/>
  <c r="F32" i="71"/>
  <c r="F62" i="71"/>
  <c r="L12" i="71"/>
  <c r="N12" i="71" s="1"/>
  <c r="F99" i="71"/>
  <c r="F86" i="71"/>
  <c r="F75" i="71"/>
  <c r="F63" i="71"/>
  <c r="F90" i="71"/>
  <c r="D47" i="71"/>
  <c r="F94" i="71"/>
  <c r="F80" i="71"/>
  <c r="F69" i="71"/>
  <c r="F42" i="71"/>
  <c r="F105" i="71"/>
  <c r="F98" i="71"/>
  <c r="F74" i="71"/>
  <c r="F91" i="71"/>
  <c r="F38" i="71"/>
  <c r="F87" i="71"/>
  <c r="F66" i="71"/>
  <c r="F53" i="71"/>
  <c r="F49" i="71"/>
  <c r="F34" i="71"/>
  <c r="F59" i="71"/>
  <c r="F81" i="71"/>
  <c r="D88" i="84"/>
  <c r="L22" i="84"/>
  <c r="N22" i="84" s="1"/>
  <c r="Z16" i="61"/>
  <c r="T60" i="61"/>
  <c r="L16" i="59"/>
  <c r="D68" i="59"/>
  <c r="D71" i="56"/>
  <c r="L16" i="56"/>
  <c r="L16" i="54"/>
  <c r="D22" i="54"/>
  <c r="Z16" i="55"/>
  <c r="T31" i="55"/>
  <c r="H128" i="42"/>
  <c r="R101" i="21"/>
  <c r="R100" i="21"/>
  <c r="R88" i="21"/>
  <c r="R60" i="21"/>
  <c r="R95" i="21"/>
  <c r="R84" i="21"/>
  <c r="R83" i="21"/>
  <c r="R72" i="21"/>
  <c r="R71" i="21"/>
  <c r="R51" i="21"/>
  <c r="R47" i="21"/>
  <c r="R43" i="21"/>
  <c r="R24" i="21"/>
  <c r="R102" i="21"/>
  <c r="R38" i="21"/>
  <c r="R34" i="21"/>
  <c r="R96" i="21"/>
  <c r="R53" i="21"/>
  <c r="R52" i="21"/>
  <c r="R48" i="21"/>
  <c r="R44" i="21"/>
  <c r="R92" i="21"/>
  <c r="R91" i="21"/>
  <c r="R76" i="21"/>
  <c r="R75" i="21"/>
  <c r="R64" i="21"/>
  <c r="R63" i="21"/>
  <c r="R39" i="21"/>
  <c r="R35" i="21"/>
  <c r="R108" i="21"/>
  <c r="R86" i="21"/>
  <c r="R55" i="21"/>
  <c r="R54" i="21"/>
  <c r="R26" i="21"/>
  <c r="R99" i="21"/>
  <c r="R98" i="21"/>
  <c r="R94" i="21"/>
  <c r="R59" i="21"/>
  <c r="R58" i="21"/>
  <c r="R50" i="21"/>
  <c r="R46" i="21"/>
  <c r="R31" i="21"/>
  <c r="R77" i="21"/>
  <c r="R37" i="21"/>
  <c r="R80" i="21"/>
  <c r="R61" i="21"/>
  <c r="R41" i="21"/>
  <c r="R89" i="21"/>
  <c r="R85" i="21"/>
  <c r="R57" i="21"/>
  <c r="R25" i="21"/>
  <c r="R104" i="21"/>
  <c r="R87" i="21"/>
  <c r="R78" i="21"/>
  <c r="R70" i="21"/>
  <c r="R67" i="21"/>
  <c r="R27" i="21"/>
  <c r="X12" i="21"/>
  <c r="Z12" i="21" s="1"/>
  <c r="R65" i="21"/>
  <c r="R62" i="21"/>
  <c r="R42" i="21"/>
  <c r="R90" i="21"/>
  <c r="R73" i="21"/>
  <c r="R68" i="21"/>
  <c r="R36" i="21"/>
  <c r="R32" i="21"/>
  <c r="R97" i="21"/>
  <c r="R81" i="21"/>
  <c r="R40" i="21"/>
  <c r="R79" i="21"/>
  <c r="R74" i="21"/>
  <c r="R56" i="21"/>
  <c r="P29" i="21"/>
  <c r="R29" i="21" s="1"/>
  <c r="R82" i="21"/>
  <c r="R69" i="21"/>
  <c r="R45" i="21"/>
  <c r="R33" i="21"/>
  <c r="R66" i="21"/>
  <c r="R49" i="21"/>
  <c r="R93" i="21"/>
  <c r="R92" i="33"/>
  <c r="R96" i="33"/>
  <c r="R85" i="33"/>
  <c r="R89" i="33"/>
  <c r="R67" i="33"/>
  <c r="R66" i="33"/>
  <c r="R30" i="33"/>
  <c r="R82" i="33"/>
  <c r="R77" i="33"/>
  <c r="R57" i="33"/>
  <c r="R53" i="33"/>
  <c r="R49" i="33"/>
  <c r="R83" i="33"/>
  <c r="R69" i="33"/>
  <c r="R68" i="33"/>
  <c r="R44" i="33"/>
  <c r="R40" i="33"/>
  <c r="R90" i="33"/>
  <c r="R87" i="33"/>
  <c r="R31" i="33"/>
  <c r="R79" i="33"/>
  <c r="R78" i="33"/>
  <c r="R70" i="33"/>
  <c r="R59" i="33"/>
  <c r="R58" i="33"/>
  <c r="R54" i="33"/>
  <c r="R50" i="33"/>
  <c r="X12" i="33"/>
  <c r="Z12" i="33" s="1"/>
  <c r="R45" i="33"/>
  <c r="R41" i="33"/>
  <c r="R84" i="33"/>
  <c r="R80" i="33"/>
  <c r="R61" i="33"/>
  <c r="R60" i="33"/>
  <c r="R32" i="33"/>
  <c r="R91" i="33"/>
  <c r="R72" i="33"/>
  <c r="R71" i="33"/>
  <c r="R55" i="33"/>
  <c r="R51" i="33"/>
  <c r="R88" i="33"/>
  <c r="R73" i="33"/>
  <c r="R56" i="33"/>
  <c r="R37" i="33"/>
  <c r="R29" i="33"/>
  <c r="R52" i="33"/>
  <c r="R76" i="33"/>
  <c r="R64" i="33"/>
  <c r="R48" i="33"/>
  <c r="R81" i="33"/>
  <c r="R35" i="33"/>
  <c r="R65" i="33"/>
  <c r="R63" i="33"/>
  <c r="P35" i="33"/>
  <c r="R62" i="33"/>
  <c r="R39" i="33"/>
  <c r="R75" i="33"/>
  <c r="R43" i="33"/>
  <c r="R47" i="33"/>
  <c r="R38" i="33"/>
  <c r="R46" i="33"/>
  <c r="R42" i="33"/>
  <c r="R74" i="33"/>
  <c r="R33" i="33"/>
  <c r="F56" i="21"/>
  <c r="F55" i="21"/>
  <c r="F40" i="21"/>
  <c r="F36" i="21"/>
  <c r="L12" i="21"/>
  <c r="N12" i="21" s="1"/>
  <c r="F87" i="21"/>
  <c r="F79" i="21"/>
  <c r="F78" i="21"/>
  <c r="F67" i="21"/>
  <c r="F66" i="21"/>
  <c r="F27" i="21"/>
  <c r="F98" i="21"/>
  <c r="F94" i="21"/>
  <c r="F58" i="21"/>
  <c r="F57" i="21"/>
  <c r="F50" i="21"/>
  <c r="F46" i="21"/>
  <c r="F100" i="21"/>
  <c r="F99" i="21"/>
  <c r="F88" i="21"/>
  <c r="F60" i="21"/>
  <c r="F59" i="21"/>
  <c r="F31" i="21"/>
  <c r="F29" i="21"/>
  <c r="F95" i="21"/>
  <c r="F83" i="21"/>
  <c r="F82" i="21"/>
  <c r="F71" i="21"/>
  <c r="F70" i="21"/>
  <c r="F51" i="21"/>
  <c r="F47" i="21"/>
  <c r="F43" i="21"/>
  <c r="F42" i="21"/>
  <c r="D29" i="21"/>
  <c r="F102" i="21"/>
  <c r="F101" i="21"/>
  <c r="F38" i="21"/>
  <c r="F34" i="21"/>
  <c r="F108" i="21"/>
  <c r="F86" i="21"/>
  <c r="F54" i="21"/>
  <c r="F53" i="21"/>
  <c r="F26" i="21"/>
  <c r="F76" i="21"/>
  <c r="F49" i="21"/>
  <c r="F84" i="21"/>
  <c r="F63" i="21"/>
  <c r="F24" i="21"/>
  <c r="F91" i="21"/>
  <c r="F74" i="21"/>
  <c r="F69" i="21"/>
  <c r="F45" i="21"/>
  <c r="F37" i="21"/>
  <c r="F35" i="21"/>
  <c r="F33" i="21"/>
  <c r="F77" i="21"/>
  <c r="F41" i="21"/>
  <c r="F39" i="21"/>
  <c r="F61" i="21"/>
  <c r="F96" i="21"/>
  <c r="F89" i="21"/>
  <c r="F85" i="21"/>
  <c r="F80" i="21"/>
  <c r="F72" i="21"/>
  <c r="F64" i="21"/>
  <c r="F25" i="21"/>
  <c r="F75" i="21"/>
  <c r="F52" i="21"/>
  <c r="F104" i="21"/>
  <c r="F97" i="21"/>
  <c r="F90" i="21"/>
  <c r="F68" i="21"/>
  <c r="F32" i="21"/>
  <c r="F93" i="21"/>
  <c r="F48" i="21"/>
  <c r="F73" i="21"/>
  <c r="F81" i="21"/>
  <c r="F62" i="21"/>
  <c r="F92" i="21"/>
  <c r="F44" i="21"/>
  <c r="F65" i="21"/>
  <c r="N53" i="30"/>
  <c r="J53" i="30"/>
  <c r="H137" i="30"/>
  <c r="F238" i="18"/>
  <c r="T240" i="12"/>
  <c r="L53" i="30"/>
  <c r="D137" i="30"/>
  <c r="L18" i="43"/>
  <c r="D27" i="43"/>
  <c r="L18" i="53"/>
  <c r="D27" i="53"/>
  <c r="L18" i="40"/>
  <c r="D27" i="40"/>
  <c r="T27" i="44"/>
  <c r="Z18" i="44"/>
  <c r="T27" i="47"/>
  <c r="Z18" i="47"/>
  <c r="X18" i="26"/>
  <c r="P27" i="26"/>
  <c r="L18" i="25"/>
  <c r="D27" i="25"/>
  <c r="D27" i="22"/>
  <c r="L18" i="22"/>
  <c r="T27" i="53"/>
  <c r="Z18" i="53"/>
  <c r="L18" i="26"/>
  <c r="D27" i="26"/>
  <c r="H27" i="31"/>
  <c r="N18" i="31"/>
  <c r="D27" i="23"/>
  <c r="L18" i="23"/>
  <c r="L18" i="13"/>
  <c r="D27" i="13"/>
  <c r="L18" i="7"/>
  <c r="D27" i="7"/>
  <c r="T77" i="102"/>
  <c r="V22" i="96"/>
  <c r="T110" i="75"/>
  <c r="Z46" i="75"/>
  <c r="V46" i="75"/>
  <c r="R94" i="39"/>
  <c r="R87" i="39"/>
  <c r="R86" i="39"/>
  <c r="R46" i="39"/>
  <c r="R42" i="39"/>
  <c r="R129" i="39"/>
  <c r="R122" i="39"/>
  <c r="R121" i="39"/>
  <c r="R106" i="39"/>
  <c r="R105" i="39"/>
  <c r="R101" i="39"/>
  <c r="R78" i="39"/>
  <c r="R77" i="39"/>
  <c r="R69" i="39"/>
  <c r="R33" i="39"/>
  <c r="R132" i="39"/>
  <c r="R131" i="39"/>
  <c r="R116" i="39"/>
  <c r="R112" i="39"/>
  <c r="R89" i="39"/>
  <c r="R88" i="39"/>
  <c r="R133" i="39"/>
  <c r="R124" i="39"/>
  <c r="R123" i="39"/>
  <c r="R108" i="39"/>
  <c r="R107" i="39"/>
  <c r="R96" i="39"/>
  <c r="R95" i="39"/>
  <c r="R80" i="39"/>
  <c r="R79" i="39"/>
  <c r="R47" i="39"/>
  <c r="R43" i="39"/>
  <c r="R134" i="39"/>
  <c r="R102" i="39"/>
  <c r="R91" i="39"/>
  <c r="R90" i="39"/>
  <c r="R70" i="39"/>
  <c r="R63" i="39"/>
  <c r="R62" i="39"/>
  <c r="R39" i="39"/>
  <c r="R34" i="39"/>
  <c r="X12" i="39"/>
  <c r="Z12" i="39" s="1"/>
  <c r="R135" i="39"/>
  <c r="R125" i="39"/>
  <c r="R117" i="39"/>
  <c r="R113" i="39"/>
  <c r="R109" i="39"/>
  <c r="R97" i="39"/>
  <c r="R81" i="39"/>
  <c r="R57" i="39"/>
  <c r="R53" i="39"/>
  <c r="R38" i="39"/>
  <c r="R36" i="39"/>
  <c r="R92" i="39"/>
  <c r="R65" i="39"/>
  <c r="R64" i="39"/>
  <c r="R48" i="39"/>
  <c r="R44" i="39"/>
  <c r="R40" i="39"/>
  <c r="R139" i="39"/>
  <c r="R103" i="39"/>
  <c r="R99" i="39"/>
  <c r="R58" i="39"/>
  <c r="R118" i="39"/>
  <c r="R114" i="39"/>
  <c r="R110" i="39"/>
  <c r="R73" i="39"/>
  <c r="R66" i="39"/>
  <c r="R56" i="39"/>
  <c r="R49" i="39"/>
  <c r="R41" i="39"/>
  <c r="R128" i="39"/>
  <c r="R76" i="39"/>
  <c r="R61" i="39"/>
  <c r="R54" i="39"/>
  <c r="R45" i="39"/>
  <c r="R32" i="39"/>
  <c r="R119" i="39"/>
  <c r="R93" i="39"/>
  <c r="R74" i="39"/>
  <c r="R71" i="39"/>
  <c r="R67" i="39"/>
  <c r="R52" i="39"/>
  <c r="R84" i="39"/>
  <c r="R59" i="39"/>
  <c r="R50" i="39"/>
  <c r="R126" i="39"/>
  <c r="R104" i="39"/>
  <c r="R72" i="39"/>
  <c r="P36" i="39"/>
  <c r="R100" i="39"/>
  <c r="R82" i="39"/>
  <c r="R83" i="39"/>
  <c r="R85" i="39"/>
  <c r="R115" i="39"/>
  <c r="R127" i="39"/>
  <c r="R75" i="39"/>
  <c r="R31" i="39"/>
  <c r="R60" i="39"/>
  <c r="R68" i="39"/>
  <c r="R98" i="39"/>
  <c r="R111" i="39"/>
  <c r="R120" i="39"/>
  <c r="R55" i="39"/>
  <c r="R51" i="39"/>
  <c r="T27" i="19"/>
  <c r="Z18" i="19"/>
  <c r="X18" i="4"/>
  <c r="P27" i="4"/>
  <c r="P69" i="110"/>
  <c r="X17" i="110"/>
  <c r="T69" i="110"/>
  <c r="Z17" i="110"/>
  <c r="H53" i="109"/>
  <c r="P87" i="104"/>
  <c r="X23" i="104"/>
  <c r="Z23" i="104" s="1"/>
  <c r="P77" i="102"/>
  <c r="X23" i="102"/>
  <c r="Z23" i="102" s="1"/>
  <c r="H63" i="101"/>
  <c r="P86" i="98"/>
  <c r="X23" i="98"/>
  <c r="Z23" i="98" s="1"/>
  <c r="R23" i="98"/>
  <c r="D80" i="95"/>
  <c r="L23" i="95"/>
  <c r="N23" i="95" s="1"/>
  <c r="H26" i="99"/>
  <c r="N22" i="99"/>
  <c r="P80" i="95"/>
  <c r="X23" i="95"/>
  <c r="Z23" i="95" s="1"/>
  <c r="T73" i="89"/>
  <c r="Z18" i="89"/>
  <c r="H76" i="80"/>
  <c r="J22" i="80"/>
  <c r="L20" i="86"/>
  <c r="N20" i="86" s="1"/>
  <c r="D28" i="86"/>
  <c r="F72" i="80"/>
  <c r="F71" i="80"/>
  <c r="F64" i="80"/>
  <c r="F63" i="80"/>
  <c r="F52" i="80"/>
  <c r="F51" i="80"/>
  <c r="F20" i="80"/>
  <c r="F78" i="80"/>
  <c r="F58" i="80"/>
  <c r="F57" i="80"/>
  <c r="F46" i="80"/>
  <c r="F45" i="80"/>
  <c r="F18" i="80"/>
  <c r="F17" i="80"/>
  <c r="F74" i="80"/>
  <c r="F66" i="80"/>
  <c r="F41" i="80"/>
  <c r="F38" i="80"/>
  <c r="F67" i="80"/>
  <c r="F59" i="80"/>
  <c r="F55" i="80"/>
  <c r="F50" i="80"/>
  <c r="F28" i="80"/>
  <c r="F22" i="80"/>
  <c r="L12" i="80"/>
  <c r="N12" i="80" s="1"/>
  <c r="F39" i="80"/>
  <c r="F36" i="80"/>
  <c r="D22" i="80"/>
  <c r="F56" i="80"/>
  <c r="F42" i="80"/>
  <c r="F32" i="80"/>
  <c r="F24" i="80"/>
  <c r="F60" i="80"/>
  <c r="F29" i="80"/>
  <c r="F25" i="80"/>
  <c r="F68" i="80"/>
  <c r="F61" i="80"/>
  <c r="F40" i="80"/>
  <c r="F37" i="80"/>
  <c r="F33" i="80"/>
  <c r="F26" i="80"/>
  <c r="F19" i="80"/>
  <c r="F69" i="80"/>
  <c r="F30" i="80"/>
  <c r="F70" i="80"/>
  <c r="F53" i="80"/>
  <c r="F62" i="80"/>
  <c r="F44" i="80"/>
  <c r="F27" i="80"/>
  <c r="F49" i="80"/>
  <c r="F35" i="80"/>
  <c r="F31" i="80"/>
  <c r="F54" i="80"/>
  <c r="F47" i="80"/>
  <c r="F65" i="80"/>
  <c r="F48" i="80"/>
  <c r="F34" i="80"/>
  <c r="F43" i="80"/>
  <c r="H70" i="70"/>
  <c r="N22" i="70"/>
  <c r="H97" i="69"/>
  <c r="R90" i="77"/>
  <c r="F80" i="69"/>
  <c r="F79" i="69"/>
  <c r="F56" i="69"/>
  <c r="F52" i="69"/>
  <c r="F91" i="69"/>
  <c r="F90" i="69"/>
  <c r="F43" i="69"/>
  <c r="F39" i="69"/>
  <c r="F93" i="69"/>
  <c r="F92" i="69"/>
  <c r="F57" i="69"/>
  <c r="F53" i="69"/>
  <c r="F84" i="69"/>
  <c r="F83" i="69"/>
  <c r="F72" i="69"/>
  <c r="F71" i="69"/>
  <c r="F67" i="69"/>
  <c r="F63" i="69"/>
  <c r="F95" i="69"/>
  <c r="F86" i="69"/>
  <c r="F85" i="69"/>
  <c r="F74" i="69"/>
  <c r="F73" i="69"/>
  <c r="F58" i="69"/>
  <c r="F54" i="69"/>
  <c r="F49" i="69"/>
  <c r="F40" i="69"/>
  <c r="F35" i="69"/>
  <c r="F99" i="69"/>
  <c r="F88" i="69"/>
  <c r="F45" i="69"/>
  <c r="F77" i="69"/>
  <c r="F64" i="69"/>
  <c r="F38" i="69"/>
  <c r="F62" i="69"/>
  <c r="F50" i="69"/>
  <c r="F36" i="69"/>
  <c r="F89" i="69"/>
  <c r="F69" i="69"/>
  <c r="F59" i="69"/>
  <c r="L12" i="69"/>
  <c r="N12" i="69" s="1"/>
  <c r="F81" i="69"/>
  <c r="F78" i="69"/>
  <c r="F75" i="69"/>
  <c r="F41" i="69"/>
  <c r="F55" i="69"/>
  <c r="F47" i="69"/>
  <c r="F87" i="69"/>
  <c r="F70" i="69"/>
  <c r="F60" i="69"/>
  <c r="F51" i="69"/>
  <c r="F44" i="69"/>
  <c r="F68" i="69"/>
  <c r="F42" i="69"/>
  <c r="F76" i="69"/>
  <c r="D47" i="69"/>
  <c r="F37" i="69"/>
  <c r="F61" i="69"/>
  <c r="F82" i="69"/>
  <c r="F65" i="69"/>
  <c r="F66" i="69"/>
  <c r="T58" i="60"/>
  <c r="Z16" i="60"/>
  <c r="P71" i="56"/>
  <c r="X16" i="56"/>
  <c r="T71" i="57"/>
  <c r="Z16" i="57"/>
  <c r="H73" i="48"/>
  <c r="N16" i="54"/>
  <c r="H22" i="54"/>
  <c r="T137" i="39"/>
  <c r="L35" i="33"/>
  <c r="D94" i="33"/>
  <c r="F131" i="39"/>
  <c r="R221" i="15"/>
  <c r="R181" i="15"/>
  <c r="R193" i="15"/>
  <c r="R192" i="15"/>
  <c r="R173" i="15"/>
  <c r="R172" i="15"/>
  <c r="R148" i="15"/>
  <c r="R132" i="15"/>
  <c r="R128" i="15"/>
  <c r="R124" i="15"/>
  <c r="R211" i="15"/>
  <c r="R204" i="15"/>
  <c r="R203" i="15"/>
  <c r="R199" i="15"/>
  <c r="R225" i="15"/>
  <c r="R205" i="15"/>
  <c r="R189" i="15"/>
  <c r="R166" i="15"/>
  <c r="R165" i="15"/>
  <c r="R157" i="15"/>
  <c r="R150" i="15"/>
  <c r="R149" i="15"/>
  <c r="R134" i="15"/>
  <c r="R133" i="15"/>
  <c r="R129" i="15"/>
  <c r="R125" i="15"/>
  <c r="R213" i="15"/>
  <c r="R212" i="15"/>
  <c r="R200" i="15"/>
  <c r="R184" i="15"/>
  <c r="R177" i="15"/>
  <c r="R176" i="15"/>
  <c r="R196" i="15"/>
  <c r="R195" i="15"/>
  <c r="R219" i="15"/>
  <c r="R191" i="15"/>
  <c r="R131" i="15"/>
  <c r="R127" i="15"/>
  <c r="R220" i="15"/>
  <c r="R210" i="15"/>
  <c r="R202" i="15"/>
  <c r="R198" i="15"/>
  <c r="R186" i="15"/>
  <c r="R171" i="15"/>
  <c r="R170" i="15"/>
  <c r="R154" i="15"/>
  <c r="R147" i="15"/>
  <c r="R146" i="15"/>
  <c r="R178" i="15"/>
  <c r="R161" i="15"/>
  <c r="R139" i="15"/>
  <c r="R136" i="15"/>
  <c r="R107" i="15"/>
  <c r="R187" i="15"/>
  <c r="R183" i="15"/>
  <c r="R145" i="15"/>
  <c r="R111" i="15"/>
  <c r="R185" i="15"/>
  <c r="R162" i="15"/>
  <c r="R159" i="15"/>
  <c r="R142" i="15"/>
  <c r="R122" i="15"/>
  <c r="P120" i="15"/>
  <c r="R120" i="15" s="1"/>
  <c r="R115" i="15"/>
  <c r="R104" i="15"/>
  <c r="R100" i="15"/>
  <c r="R96" i="15"/>
  <c r="R92" i="15"/>
  <c r="R88" i="15"/>
  <c r="R84" i="15"/>
  <c r="R217" i="15"/>
  <c r="R214" i="15"/>
  <c r="R151" i="15"/>
  <c r="R108" i="15"/>
  <c r="R179" i="15"/>
  <c r="R137" i="15"/>
  <c r="R123" i="15"/>
  <c r="R112" i="15"/>
  <c r="X12" i="15"/>
  <c r="Z12" i="15" s="1"/>
  <c r="R194" i="15"/>
  <c r="R188" i="15"/>
  <c r="R168" i="15"/>
  <c r="R152" i="15"/>
  <c r="R140" i="15"/>
  <c r="R130" i="15"/>
  <c r="R116" i="15"/>
  <c r="R105" i="15"/>
  <c r="R101" i="15"/>
  <c r="R97" i="15"/>
  <c r="R93" i="15"/>
  <c r="R89" i="15"/>
  <c r="R85" i="15"/>
  <c r="R208" i="15"/>
  <c r="R190" i="15"/>
  <c r="R163" i="15"/>
  <c r="R143" i="15"/>
  <c r="R135" i="15"/>
  <c r="R109" i="15"/>
  <c r="R81" i="15"/>
  <c r="R206" i="15"/>
  <c r="R174" i="15"/>
  <c r="R155" i="15"/>
  <c r="R113" i="15"/>
  <c r="R218" i="15"/>
  <c r="R197" i="15"/>
  <c r="R169" i="15"/>
  <c r="R160" i="15"/>
  <c r="R138" i="15"/>
  <c r="R126" i="15"/>
  <c r="R117" i="15"/>
  <c r="R106" i="15"/>
  <c r="R102" i="15"/>
  <c r="R98" i="15"/>
  <c r="R94" i="15"/>
  <c r="R90" i="15"/>
  <c r="R86" i="15"/>
  <c r="R82" i="15"/>
  <c r="R216" i="15"/>
  <c r="R175" i="15"/>
  <c r="R153" i="15"/>
  <c r="R110" i="15"/>
  <c r="R182" i="15"/>
  <c r="R167" i="15"/>
  <c r="R114" i="15"/>
  <c r="R141" i="15"/>
  <c r="R118" i="15"/>
  <c r="R207" i="15"/>
  <c r="R103" i="15"/>
  <c r="R99" i="15"/>
  <c r="R95" i="15"/>
  <c r="R91" i="15"/>
  <c r="R87" i="15"/>
  <c r="R83" i="15"/>
  <c r="R209" i="15"/>
  <c r="R156" i="15"/>
  <c r="R201" i="15"/>
  <c r="R158" i="15"/>
  <c r="R180" i="15"/>
  <c r="R144" i="15"/>
  <c r="R164" i="15"/>
  <c r="D27" i="112"/>
  <c r="L18" i="112"/>
  <c r="H27" i="40"/>
  <c r="N18" i="40"/>
  <c r="P27" i="46"/>
  <c r="X18" i="46"/>
  <c r="H27" i="28"/>
  <c r="N18" i="28"/>
  <c r="L18" i="19"/>
  <c r="D27" i="19"/>
  <c r="Z18" i="22"/>
  <c r="T27" i="22"/>
  <c r="T27" i="16"/>
  <c r="Z18" i="16"/>
  <c r="H27" i="16"/>
  <c r="N18" i="16"/>
  <c r="T27" i="8"/>
  <c r="Z18" i="8"/>
  <c r="N18" i="7"/>
  <c r="H27" i="7"/>
  <c r="T27" i="5"/>
  <c r="Z18" i="5"/>
  <c r="H27" i="10"/>
  <c r="N18" i="10"/>
  <c r="H27" i="11"/>
  <c r="N18" i="11"/>
  <c r="L98" i="45"/>
  <c r="N98" i="45" s="1"/>
  <c r="D102" i="45"/>
  <c r="H107" i="27"/>
  <c r="T247" i="18"/>
  <c r="N16" i="6"/>
  <c r="H22" i="6"/>
  <c r="D247" i="18"/>
  <c r="L142" i="18"/>
  <c r="N142" i="18" s="1"/>
  <c r="L18" i="111"/>
  <c r="D27" i="111"/>
  <c r="H27" i="35"/>
  <c r="N18" i="35"/>
  <c r="Z18" i="40"/>
  <c r="T27" i="40"/>
  <c r="X18" i="32"/>
  <c r="P27" i="32"/>
  <c r="H27" i="20"/>
  <c r="N18" i="20"/>
  <c r="H27" i="34"/>
  <c r="N18" i="34"/>
  <c r="D27" i="28"/>
  <c r="L18" i="28"/>
  <c r="P27" i="23"/>
  <c r="X18" i="23"/>
  <c r="T27" i="20"/>
  <c r="Z18" i="20"/>
  <c r="L18" i="17"/>
  <c r="D27" i="17"/>
  <c r="P27" i="19"/>
  <c r="X18" i="19"/>
  <c r="L18" i="10"/>
  <c r="D27" i="10"/>
  <c r="L18" i="11"/>
  <c r="D27" i="11"/>
  <c r="H61" i="79"/>
  <c r="N23" i="79"/>
  <c r="F82" i="106"/>
  <c r="F81" i="106"/>
  <c r="F70" i="106"/>
  <c r="F65" i="106"/>
  <c r="F64" i="106"/>
  <c r="F84" i="106"/>
  <c r="F83" i="106"/>
  <c r="F76" i="106"/>
  <c r="F36" i="106"/>
  <c r="F32" i="106"/>
  <c r="F28" i="106"/>
  <c r="F71" i="106"/>
  <c r="F55" i="106"/>
  <c r="F54" i="106"/>
  <c r="F66" i="106"/>
  <c r="F46" i="106"/>
  <c r="F42" i="106"/>
  <c r="F38" i="106"/>
  <c r="F37" i="106"/>
  <c r="F86" i="106"/>
  <c r="F77" i="106"/>
  <c r="F57" i="106"/>
  <c r="F56" i="106"/>
  <c r="F90" i="106"/>
  <c r="F72" i="106"/>
  <c r="F67" i="106"/>
  <c r="F59" i="106"/>
  <c r="F58" i="106"/>
  <c r="F47" i="106"/>
  <c r="F43" i="106"/>
  <c r="F39" i="106"/>
  <c r="F78" i="106"/>
  <c r="F74" i="106"/>
  <c r="F73" i="106"/>
  <c r="F34" i="106"/>
  <c r="F30" i="106"/>
  <c r="F80" i="106"/>
  <c r="F79" i="106"/>
  <c r="F60" i="106"/>
  <c r="F31" i="106"/>
  <c r="F23" i="106"/>
  <c r="L12" i="106"/>
  <c r="N12" i="106" s="1"/>
  <c r="F44" i="106"/>
  <c r="F26" i="106"/>
  <c r="F25" i="106"/>
  <c r="D23" i="106"/>
  <c r="F19" i="106"/>
  <c r="F18" i="106"/>
  <c r="F75" i="106"/>
  <c r="F68" i="106"/>
  <c r="F40" i="106"/>
  <c r="F29" i="106"/>
  <c r="F51" i="106"/>
  <c r="F27" i="106"/>
  <c r="F49" i="106"/>
  <c r="F63" i="106"/>
  <c r="F61" i="106"/>
  <c r="F20" i="106"/>
  <c r="F45" i="106"/>
  <c r="F41" i="106"/>
  <c r="F35" i="106"/>
  <c r="F69" i="106"/>
  <c r="F52" i="106"/>
  <c r="F21" i="106"/>
  <c r="F53" i="106"/>
  <c r="F62" i="106"/>
  <c r="F50" i="106"/>
  <c r="F48" i="106"/>
  <c r="F33" i="106"/>
  <c r="H84" i="102"/>
  <c r="R77" i="76"/>
  <c r="R62" i="76"/>
  <c r="R61" i="76"/>
  <c r="R37" i="76"/>
  <c r="R33" i="76"/>
  <c r="R81" i="76"/>
  <c r="R64" i="76"/>
  <c r="R63" i="76"/>
  <c r="R52" i="76"/>
  <c r="R51" i="76"/>
  <c r="R47" i="76"/>
  <c r="R43" i="76"/>
  <c r="R73" i="76"/>
  <c r="R66" i="76"/>
  <c r="R65" i="76"/>
  <c r="R54" i="76"/>
  <c r="R53" i="76"/>
  <c r="R85" i="76"/>
  <c r="R68" i="76"/>
  <c r="R67" i="76"/>
  <c r="R56" i="76"/>
  <c r="R55" i="76"/>
  <c r="R75" i="76"/>
  <c r="R74" i="76"/>
  <c r="R31" i="76"/>
  <c r="R69" i="76"/>
  <c r="R58" i="76"/>
  <c r="R57" i="76"/>
  <c r="R49" i="76"/>
  <c r="R45" i="76"/>
  <c r="R30" i="76"/>
  <c r="R28" i="76"/>
  <c r="R26" i="76"/>
  <c r="R60" i="76"/>
  <c r="R59" i="76"/>
  <c r="R70" i="76"/>
  <c r="R41" i="76"/>
  <c r="R36" i="76"/>
  <c r="R71" i="76"/>
  <c r="R46" i="76"/>
  <c r="R32" i="76"/>
  <c r="P28" i="76"/>
  <c r="R44" i="76"/>
  <c r="R42" i="76"/>
  <c r="R39" i="76"/>
  <c r="R76" i="76"/>
  <c r="R79" i="76"/>
  <c r="R72" i="76"/>
  <c r="R35" i="76"/>
  <c r="R40" i="76"/>
  <c r="R48" i="76"/>
  <c r="R50" i="76"/>
  <c r="X12" i="76"/>
  <c r="Z12" i="76" s="1"/>
  <c r="R80" i="76"/>
  <c r="R34" i="76"/>
  <c r="R38" i="76"/>
  <c r="P71" i="57"/>
  <c r="X16" i="57"/>
  <c r="P22" i="54"/>
  <c r="X16" i="54"/>
  <c r="Z23" i="106"/>
  <c r="T88" i="106"/>
  <c r="V23" i="106"/>
  <c r="R23" i="106"/>
  <c r="H60" i="105"/>
  <c r="Z19" i="101"/>
  <c r="T59" i="101"/>
  <c r="D59" i="101"/>
  <c r="L19" i="101"/>
  <c r="L16" i="100"/>
  <c r="D52" i="100"/>
  <c r="R86" i="96"/>
  <c r="R69" i="96"/>
  <c r="R50" i="96"/>
  <c r="R49" i="96"/>
  <c r="R33" i="96"/>
  <c r="R29" i="96"/>
  <c r="R80" i="96"/>
  <c r="R76" i="96"/>
  <c r="R61" i="96"/>
  <c r="R60" i="96"/>
  <c r="R25" i="96"/>
  <c r="R20" i="96"/>
  <c r="R88" i="96"/>
  <c r="R87" i="96"/>
  <c r="R70" i="96"/>
  <c r="R63" i="96"/>
  <c r="R62" i="96"/>
  <c r="R35" i="96"/>
  <c r="R34" i="96"/>
  <c r="R30" i="96"/>
  <c r="R26" i="96"/>
  <c r="P22" i="96"/>
  <c r="R89" i="96"/>
  <c r="R81" i="96"/>
  <c r="R77" i="96"/>
  <c r="R53" i="96"/>
  <c r="R91" i="96"/>
  <c r="R65" i="96"/>
  <c r="R64" i="96"/>
  <c r="R71" i="96"/>
  <c r="R83" i="96"/>
  <c r="R82" i="96"/>
  <c r="R78" i="96"/>
  <c r="R67" i="96"/>
  <c r="R66" i="96"/>
  <c r="R55" i="96"/>
  <c r="R54" i="96"/>
  <c r="R18" i="96"/>
  <c r="R95" i="96"/>
  <c r="R79" i="96"/>
  <c r="R36" i="96"/>
  <c r="R31" i="96"/>
  <c r="R19" i="96"/>
  <c r="R58" i="96"/>
  <c r="R24" i="96"/>
  <c r="R85" i="96"/>
  <c r="R68" i="96"/>
  <c r="R48" i="96"/>
  <c r="R39" i="96"/>
  <c r="R27" i="96"/>
  <c r="R17" i="96"/>
  <c r="R74" i="96"/>
  <c r="R59" i="96"/>
  <c r="R51" i="96"/>
  <c r="R45" i="96"/>
  <c r="R42" i="96"/>
  <c r="R72" i="96"/>
  <c r="R56" i="96"/>
  <c r="R37" i="96"/>
  <c r="R32" i="96"/>
  <c r="R46" i="96"/>
  <c r="R40" i="96"/>
  <c r="X12" i="96"/>
  <c r="Z12" i="96" s="1"/>
  <c r="R75" i="96"/>
  <c r="R52" i="96"/>
  <c r="R43" i="96"/>
  <c r="R57" i="96"/>
  <c r="R28" i="96"/>
  <c r="R84" i="96"/>
  <c r="R44" i="96"/>
  <c r="R73" i="96"/>
  <c r="R38" i="96"/>
  <c r="R47" i="96"/>
  <c r="R22" i="96"/>
  <c r="R41" i="96"/>
  <c r="F23" i="98"/>
  <c r="X22" i="80"/>
  <c r="Z22" i="80" s="1"/>
  <c r="P76" i="80"/>
  <c r="F69" i="76"/>
  <c r="F68" i="76"/>
  <c r="F57" i="76"/>
  <c r="F56" i="76"/>
  <c r="F49" i="76"/>
  <c r="F45" i="76"/>
  <c r="F59" i="76"/>
  <c r="F58" i="76"/>
  <c r="F30" i="76"/>
  <c r="F26" i="76"/>
  <c r="F70" i="76"/>
  <c r="F77" i="76"/>
  <c r="F61" i="76"/>
  <c r="F60" i="76"/>
  <c r="F37" i="76"/>
  <c r="F33" i="76"/>
  <c r="F80" i="76"/>
  <c r="F63" i="76"/>
  <c r="F62" i="76"/>
  <c r="F81" i="76"/>
  <c r="F79" i="76"/>
  <c r="F38" i="76"/>
  <c r="F34" i="76"/>
  <c r="F73" i="76"/>
  <c r="F65" i="76"/>
  <c r="F64" i="76"/>
  <c r="F53" i="76"/>
  <c r="F52" i="76"/>
  <c r="F85" i="76"/>
  <c r="F67" i="76"/>
  <c r="F66" i="76"/>
  <c r="F55" i="76"/>
  <c r="F54" i="76"/>
  <c r="F39" i="76"/>
  <c r="F35" i="76"/>
  <c r="F40" i="76"/>
  <c r="F50" i="76"/>
  <c r="F48" i="76"/>
  <c r="F43" i="76"/>
  <c r="F36" i="76"/>
  <c r="F31" i="76"/>
  <c r="L12" i="76"/>
  <c r="N12" i="76" s="1"/>
  <c r="F32" i="76"/>
  <c r="F75" i="76"/>
  <c r="F46" i="76"/>
  <c r="F41" i="76"/>
  <c r="D28" i="76"/>
  <c r="F44" i="76"/>
  <c r="F71" i="76"/>
  <c r="F51" i="76"/>
  <c r="F42" i="76"/>
  <c r="F74" i="76"/>
  <c r="F72" i="76"/>
  <c r="F47" i="76"/>
  <c r="F76" i="76"/>
  <c r="Z25" i="73"/>
  <c r="T76" i="73"/>
  <c r="Z16" i="72"/>
  <c r="T22" i="72"/>
  <c r="F45" i="73"/>
  <c r="F41" i="73"/>
  <c r="F23" i="73"/>
  <c r="F66" i="73"/>
  <c r="F65" i="73"/>
  <c r="F54" i="73"/>
  <c r="F53" i="73"/>
  <c r="F46" i="73"/>
  <c r="F42" i="73"/>
  <c r="F78" i="73"/>
  <c r="F68" i="73"/>
  <c r="F67" i="73"/>
  <c r="F56" i="73"/>
  <c r="F55" i="73"/>
  <c r="F27" i="73"/>
  <c r="F25" i="73"/>
  <c r="F47" i="73"/>
  <c r="F43" i="73"/>
  <c r="F39" i="73"/>
  <c r="F38" i="73"/>
  <c r="F35" i="73"/>
  <c r="F31" i="73"/>
  <c r="F72" i="73"/>
  <c r="F33" i="73"/>
  <c r="F69" i="73"/>
  <c r="F63" i="73"/>
  <c r="F28" i="73"/>
  <c r="F49" i="73"/>
  <c r="F20" i="73"/>
  <c r="F60" i="73"/>
  <c r="F36" i="73"/>
  <c r="F34" i="73"/>
  <c r="F64" i="73"/>
  <c r="F44" i="73"/>
  <c r="F29" i="73"/>
  <c r="F74" i="73"/>
  <c r="F70" i="73"/>
  <c r="F50" i="73"/>
  <c r="F21" i="73"/>
  <c r="F61" i="73"/>
  <c r="F57" i="73"/>
  <c r="F58" i="73"/>
  <c r="F32" i="73"/>
  <c r="F30" i="73"/>
  <c r="F48" i="73"/>
  <c r="F40" i="73"/>
  <c r="F59" i="73"/>
  <c r="F51" i="73"/>
  <c r="F62" i="73"/>
  <c r="F52" i="73"/>
  <c r="F37" i="73"/>
  <c r="D25" i="73"/>
  <c r="F22" i="73"/>
  <c r="L12" i="73"/>
  <c r="N12" i="73" s="1"/>
  <c r="F71" i="73"/>
  <c r="N16" i="60"/>
  <c r="H58" i="60"/>
  <c r="L58" i="60" s="1"/>
  <c r="L16" i="57"/>
  <c r="D71" i="57"/>
  <c r="X16" i="59"/>
  <c r="P68" i="59"/>
  <c r="D62" i="60"/>
  <c r="T136" i="36"/>
  <c r="R120" i="42"/>
  <c r="R111" i="42"/>
  <c r="R110" i="42"/>
  <c r="R95" i="42"/>
  <c r="R94" i="42"/>
  <c r="R82" i="42"/>
  <c r="R75" i="42"/>
  <c r="R74" i="42"/>
  <c r="R59" i="42"/>
  <c r="R58" i="42"/>
  <c r="R121" i="42"/>
  <c r="R89" i="42"/>
  <c r="R66" i="42"/>
  <c r="R65" i="42"/>
  <c r="R122" i="42"/>
  <c r="R112" i="42"/>
  <c r="R104" i="42"/>
  <c r="R100" i="42"/>
  <c r="R96" i="42"/>
  <c r="R113" i="42"/>
  <c r="R106" i="42"/>
  <c r="R105" i="42"/>
  <c r="R101" i="42"/>
  <c r="R97" i="42"/>
  <c r="R85" i="42"/>
  <c r="R70" i="42"/>
  <c r="R69" i="42"/>
  <c r="R107" i="42"/>
  <c r="R91" i="42"/>
  <c r="R116" i="42"/>
  <c r="R109" i="42"/>
  <c r="R108" i="42"/>
  <c r="R93" i="42"/>
  <c r="R92" i="42"/>
  <c r="R88" i="42"/>
  <c r="R73" i="42"/>
  <c r="R72" i="42"/>
  <c r="R64" i="42"/>
  <c r="R55" i="42"/>
  <c r="R54" i="42"/>
  <c r="R50" i="42"/>
  <c r="R46" i="42"/>
  <c r="R71" i="42"/>
  <c r="R60" i="42"/>
  <c r="R41" i="42"/>
  <c r="R37" i="42"/>
  <c r="R114" i="42"/>
  <c r="R90" i="42"/>
  <c r="R78" i="42"/>
  <c r="R67" i="42"/>
  <c r="R61" i="42"/>
  <c r="R33" i="42"/>
  <c r="R28" i="42"/>
  <c r="R102" i="42"/>
  <c r="R86" i="42"/>
  <c r="R83" i="42"/>
  <c r="R68" i="42"/>
  <c r="R56" i="42"/>
  <c r="R51" i="42"/>
  <c r="R47" i="42"/>
  <c r="R32" i="42"/>
  <c r="R42" i="42"/>
  <c r="R38" i="42"/>
  <c r="R34" i="42"/>
  <c r="P30" i="42"/>
  <c r="R30" i="42" s="1"/>
  <c r="R98" i="42"/>
  <c r="R79" i="42"/>
  <c r="R57" i="42"/>
  <c r="R118" i="42"/>
  <c r="R115" i="42"/>
  <c r="R84" i="42"/>
  <c r="R81" i="42"/>
  <c r="R76" i="42"/>
  <c r="R62" i="42"/>
  <c r="R52" i="42"/>
  <c r="R48" i="42"/>
  <c r="R25" i="42"/>
  <c r="R49" i="42"/>
  <c r="R40" i="42"/>
  <c r="R99" i="42"/>
  <c r="R36" i="42"/>
  <c r="X12" i="42"/>
  <c r="Z12" i="42" s="1"/>
  <c r="R45" i="42"/>
  <c r="R126" i="42"/>
  <c r="R119" i="42"/>
  <c r="R87" i="42"/>
  <c r="R63" i="42"/>
  <c r="R43" i="42"/>
  <c r="R26" i="42"/>
  <c r="R103" i="42"/>
  <c r="R80" i="42"/>
  <c r="R39" i="42"/>
  <c r="R77" i="42"/>
  <c r="R27" i="42"/>
  <c r="R44" i="42"/>
  <c r="R53" i="42"/>
  <c r="R35" i="42"/>
  <c r="H94" i="33"/>
  <c r="N35" i="33"/>
  <c r="T223" i="15"/>
  <c r="X18" i="52"/>
  <c r="P27" i="52"/>
  <c r="H27" i="53"/>
  <c r="N18" i="53"/>
  <c r="D27" i="47"/>
  <c r="L18" i="47"/>
  <c r="T27" i="50"/>
  <c r="Z18" i="50"/>
  <c r="X18" i="50"/>
  <c r="P27" i="50"/>
  <c r="D27" i="52"/>
  <c r="L18" i="52"/>
  <c r="P27" i="53"/>
  <c r="X18" i="53"/>
  <c r="T27" i="43"/>
  <c r="Z18" i="43"/>
  <c r="L18" i="50"/>
  <c r="D27" i="50"/>
  <c r="H27" i="44"/>
  <c r="N18" i="44"/>
  <c r="T27" i="46"/>
  <c r="Z18" i="46"/>
  <c r="Z18" i="41"/>
  <c r="T27" i="41"/>
  <c r="T27" i="35"/>
  <c r="Z18" i="35"/>
  <c r="X18" i="17"/>
  <c r="P27" i="17"/>
  <c r="H27" i="22"/>
  <c r="N18" i="22"/>
  <c r="P27" i="16"/>
  <c r="X18" i="16"/>
  <c r="L18" i="16"/>
  <c r="D27" i="16"/>
  <c r="V23" i="102"/>
  <c r="P91" i="88"/>
  <c r="X22" i="88"/>
  <c r="Z22" i="88" s="1"/>
  <c r="R30" i="83"/>
  <c r="R17" i="83"/>
  <c r="R18" i="83"/>
  <c r="R20" i="83"/>
  <c r="R26" i="83"/>
  <c r="R24" i="83"/>
  <c r="X12" i="83"/>
  <c r="Z12" i="83" s="1"/>
  <c r="R19" i="83"/>
  <c r="P22" i="83"/>
  <c r="R22" i="83" s="1"/>
  <c r="N16" i="107"/>
  <c r="H22" i="107"/>
  <c r="N16" i="100"/>
  <c r="H52" i="100"/>
  <c r="P26" i="99"/>
  <c r="D71" i="94"/>
  <c r="L23" i="94"/>
  <c r="N23" i="94" s="1"/>
  <c r="T81" i="93"/>
  <c r="T71" i="94"/>
  <c r="Z23" i="94"/>
  <c r="R70" i="93"/>
  <c r="R66" i="93"/>
  <c r="R58" i="93"/>
  <c r="R57" i="93"/>
  <c r="R46" i="93"/>
  <c r="R45" i="93"/>
  <c r="R41" i="93"/>
  <c r="R37" i="93"/>
  <c r="R18" i="93"/>
  <c r="R32" i="93"/>
  <c r="R28" i="93"/>
  <c r="X12" i="93"/>
  <c r="Z12" i="93" s="1"/>
  <c r="R72" i="93"/>
  <c r="R71" i="93"/>
  <c r="R67" i="93"/>
  <c r="R60" i="93"/>
  <c r="R59" i="93"/>
  <c r="R48" i="93"/>
  <c r="R47" i="93"/>
  <c r="R19" i="93"/>
  <c r="R42" i="93"/>
  <c r="R38" i="93"/>
  <c r="R73" i="93"/>
  <c r="R62" i="93"/>
  <c r="R61" i="93"/>
  <c r="R50" i="93"/>
  <c r="R49" i="93"/>
  <c r="R33" i="93"/>
  <c r="R29" i="93"/>
  <c r="R75" i="93"/>
  <c r="R68" i="93"/>
  <c r="R63" i="93"/>
  <c r="R52" i="93"/>
  <c r="R51" i="93"/>
  <c r="R43" i="93"/>
  <c r="R39" i="93"/>
  <c r="R24" i="93"/>
  <c r="R35" i="93"/>
  <c r="R34" i="93"/>
  <c r="R30" i="93"/>
  <c r="R26" i="93"/>
  <c r="P22" i="93"/>
  <c r="R69" i="93"/>
  <c r="R20" i="93"/>
  <c r="R55" i="93"/>
  <c r="R27" i="93"/>
  <c r="R25" i="93"/>
  <c r="R64" i="93"/>
  <c r="R53" i="93"/>
  <c r="R31" i="93"/>
  <c r="R56" i="93"/>
  <c r="R44" i="93"/>
  <c r="R54" i="93"/>
  <c r="R40" i="93"/>
  <c r="R36" i="93"/>
  <c r="R79" i="93"/>
  <c r="R65" i="93"/>
  <c r="F91" i="88"/>
  <c r="F22" i="83"/>
  <c r="X41" i="85"/>
  <c r="Z41" i="85" s="1"/>
  <c r="P115" i="85"/>
  <c r="R22" i="80"/>
  <c r="D110" i="75"/>
  <c r="L46" i="75"/>
  <c r="N46" i="75" s="1"/>
  <c r="F53" i="74"/>
  <c r="F49" i="74"/>
  <c r="F48" i="74"/>
  <c r="F81" i="74"/>
  <c r="F67" i="74"/>
  <c r="F63" i="74"/>
  <c r="F59" i="74"/>
  <c r="D45" i="74"/>
  <c r="F45" i="74" s="1"/>
  <c r="F54" i="74"/>
  <c r="F50" i="74"/>
  <c r="F69" i="74"/>
  <c r="F68" i="74"/>
  <c r="F41" i="74"/>
  <c r="F37" i="74"/>
  <c r="F33" i="74"/>
  <c r="F32" i="74"/>
  <c r="F64" i="74"/>
  <c r="F60" i="74"/>
  <c r="L12" i="74"/>
  <c r="N12" i="74" s="1"/>
  <c r="F71" i="74"/>
  <c r="F70" i="74"/>
  <c r="F55" i="74"/>
  <c r="F51" i="74"/>
  <c r="F75" i="74"/>
  <c r="F74" i="74"/>
  <c r="F43" i="74"/>
  <c r="F39" i="74"/>
  <c r="F35" i="74"/>
  <c r="F36" i="74"/>
  <c r="F73" i="74"/>
  <c r="F34" i="74"/>
  <c r="F62" i="74"/>
  <c r="F42" i="74"/>
  <c r="F57" i="74"/>
  <c r="F77" i="74"/>
  <c r="F72" i="74"/>
  <c r="F65" i="74"/>
  <c r="F40" i="74"/>
  <c r="F47" i="74"/>
  <c r="F66" i="74"/>
  <c r="F58" i="74"/>
  <c r="F52" i="74"/>
  <c r="F38" i="74"/>
  <c r="F56" i="74"/>
  <c r="F61" i="74"/>
  <c r="L16" i="72"/>
  <c r="D22" i="72"/>
  <c r="F22" i="70"/>
  <c r="F90" i="77"/>
  <c r="X16" i="60"/>
  <c r="X16" i="68"/>
  <c r="P58" i="68"/>
  <c r="F61" i="48"/>
  <c r="F60" i="48"/>
  <c r="F52" i="48"/>
  <c r="F51" i="48"/>
  <c r="F40" i="48"/>
  <c r="F36" i="48"/>
  <c r="F32" i="48"/>
  <c r="F62" i="48"/>
  <c r="F54" i="48"/>
  <c r="F53" i="48"/>
  <c r="F42" i="48"/>
  <c r="F41" i="48"/>
  <c r="F64" i="48"/>
  <c r="F63" i="48"/>
  <c r="F56" i="48"/>
  <c r="F55" i="48"/>
  <c r="F44" i="48"/>
  <c r="F43" i="48"/>
  <c r="F28" i="48"/>
  <c r="F24" i="48"/>
  <c r="F67" i="48"/>
  <c r="F58" i="48"/>
  <c r="F57" i="48"/>
  <c r="F46" i="48"/>
  <c r="F45" i="48"/>
  <c r="F38" i="48"/>
  <c r="F34" i="48"/>
  <c r="F47" i="48"/>
  <c r="F39" i="48"/>
  <c r="F37" i="48"/>
  <c r="F30" i="48"/>
  <c r="F50" i="48"/>
  <c r="F35" i="48"/>
  <c r="L12" i="48"/>
  <c r="N12" i="48" s="1"/>
  <c r="F22" i="48"/>
  <c r="F29" i="48"/>
  <c r="F49" i="48"/>
  <c r="F23" i="48"/>
  <c r="D17" i="48"/>
  <c r="F66" i="48"/>
  <c r="F21" i="48"/>
  <c r="F27" i="48"/>
  <c r="F15" i="48"/>
  <c r="F71" i="48"/>
  <c r="F25" i="48"/>
  <c r="F19" i="48"/>
  <c r="F48" i="48"/>
  <c r="F59" i="48"/>
  <c r="F26" i="48"/>
  <c r="F20" i="48"/>
  <c r="F17" i="48"/>
  <c r="F33" i="48"/>
  <c r="F31" i="48"/>
  <c r="F98" i="45"/>
  <c r="H109" i="24"/>
  <c r="J59" i="24"/>
  <c r="R89" i="24"/>
  <c r="R88" i="24"/>
  <c r="R80" i="24"/>
  <c r="R76" i="24"/>
  <c r="R61" i="24"/>
  <c r="R100" i="24"/>
  <c r="R99" i="24"/>
  <c r="R72" i="24"/>
  <c r="R71" i="24"/>
  <c r="R67" i="24"/>
  <c r="R63" i="24"/>
  <c r="P59" i="24"/>
  <c r="R91" i="24"/>
  <c r="R90" i="24"/>
  <c r="R54" i="24"/>
  <c r="R50" i="24"/>
  <c r="R46" i="24"/>
  <c r="X12" i="24"/>
  <c r="Z12" i="24" s="1"/>
  <c r="R104" i="24"/>
  <c r="R103" i="24"/>
  <c r="R55" i="24"/>
  <c r="R51" i="24"/>
  <c r="R47" i="24"/>
  <c r="R95" i="24"/>
  <c r="R94" i="24"/>
  <c r="R83" i="24"/>
  <c r="R82" i="24"/>
  <c r="R78" i="24"/>
  <c r="R74" i="24"/>
  <c r="R43" i="24"/>
  <c r="R105" i="24"/>
  <c r="R69" i="24"/>
  <c r="R65" i="24"/>
  <c r="R77" i="24"/>
  <c r="R56" i="24"/>
  <c r="R44" i="24"/>
  <c r="R107" i="24"/>
  <c r="R96" i="24"/>
  <c r="R85" i="24"/>
  <c r="R70" i="24"/>
  <c r="R49" i="24"/>
  <c r="R111" i="24"/>
  <c r="R101" i="24"/>
  <c r="R64" i="24"/>
  <c r="R52" i="24"/>
  <c r="R97" i="24"/>
  <c r="R62" i="24"/>
  <c r="R57" i="24"/>
  <c r="R45" i="24"/>
  <c r="R87" i="24"/>
  <c r="R84" i="24"/>
  <c r="R81" i="24"/>
  <c r="R98" i="24"/>
  <c r="R93" i="24"/>
  <c r="R79" i="24"/>
  <c r="R102" i="24"/>
  <c r="R92" i="24"/>
  <c r="R68" i="24"/>
  <c r="R86" i="24"/>
  <c r="R53" i="24"/>
  <c r="R73" i="24"/>
  <c r="R75" i="24"/>
  <c r="R66" i="24"/>
  <c r="R48" i="24"/>
  <c r="F126" i="36"/>
  <c r="H101" i="9"/>
  <c r="N97" i="9"/>
  <c r="D27" i="49"/>
  <c r="L18" i="49"/>
  <c r="X18" i="43"/>
  <c r="P27" i="43"/>
  <c r="T27" i="38"/>
  <c r="Z18" i="38"/>
  <c r="H27" i="19"/>
  <c r="N18" i="19"/>
  <c r="H27" i="4"/>
  <c r="N18" i="4"/>
  <c r="X18" i="13"/>
  <c r="P27" i="13"/>
  <c r="D27" i="8"/>
  <c r="L18" i="8"/>
  <c r="L18" i="14"/>
  <c r="D27" i="14"/>
  <c r="L20" i="108"/>
  <c r="D82" i="108"/>
  <c r="D78" i="58"/>
  <c r="L74" i="58"/>
  <c r="D56" i="105"/>
  <c r="L18" i="105"/>
  <c r="D93" i="96"/>
  <c r="L22" i="96"/>
  <c r="N22" i="96" s="1"/>
  <c r="F113" i="85"/>
  <c r="F104" i="85"/>
  <c r="F103" i="85"/>
  <c r="F92" i="85"/>
  <c r="F84" i="85"/>
  <c r="F83" i="85"/>
  <c r="F72" i="85"/>
  <c r="F71" i="85"/>
  <c r="F43" i="85"/>
  <c r="F36" i="85"/>
  <c r="F32" i="85"/>
  <c r="F28" i="85"/>
  <c r="F27" i="85"/>
  <c r="F86" i="85"/>
  <c r="F85" i="85"/>
  <c r="F74" i="85"/>
  <c r="F73" i="85"/>
  <c r="F50" i="85"/>
  <c r="F46" i="85"/>
  <c r="L12" i="85"/>
  <c r="N12" i="85" s="1"/>
  <c r="F105" i="85"/>
  <c r="F93" i="85"/>
  <c r="F65" i="85"/>
  <c r="F64" i="85"/>
  <c r="F37" i="85"/>
  <c r="F33" i="85"/>
  <c r="F29" i="85"/>
  <c r="F100" i="85"/>
  <c r="F88" i="85"/>
  <c r="F87" i="85"/>
  <c r="F76" i="85"/>
  <c r="F75" i="85"/>
  <c r="F60" i="85"/>
  <c r="F56" i="85"/>
  <c r="F107" i="85"/>
  <c r="F106" i="85"/>
  <c r="F95" i="85"/>
  <c r="F94" i="85"/>
  <c r="F67" i="85"/>
  <c r="F66" i="85"/>
  <c r="F51" i="85"/>
  <c r="F47" i="85"/>
  <c r="F78" i="85"/>
  <c r="F77" i="85"/>
  <c r="F109" i="85"/>
  <c r="F108" i="85"/>
  <c r="F101" i="85"/>
  <c r="F89" i="85"/>
  <c r="F61" i="85"/>
  <c r="F57" i="85"/>
  <c r="F96" i="85"/>
  <c r="F80" i="85"/>
  <c r="F79" i="85"/>
  <c r="F68" i="85"/>
  <c r="F52" i="85"/>
  <c r="F48" i="85"/>
  <c r="F111" i="85"/>
  <c r="F110" i="85"/>
  <c r="F91" i="85"/>
  <c r="F90" i="85"/>
  <c r="F39" i="85"/>
  <c r="F35" i="85"/>
  <c r="F31" i="85"/>
  <c r="F30" i="85"/>
  <c r="F70" i="85"/>
  <c r="F102" i="85"/>
  <c r="F54" i="85"/>
  <c r="F81" i="85"/>
  <c r="F62" i="85"/>
  <c r="F58" i="85"/>
  <c r="F44" i="85"/>
  <c r="F117" i="85"/>
  <c r="F97" i="85"/>
  <c r="D41" i="85"/>
  <c r="F41" i="85" s="1"/>
  <c r="F99" i="85"/>
  <c r="F38" i="85"/>
  <c r="F69" i="85"/>
  <c r="F55" i="85"/>
  <c r="F59" i="85"/>
  <c r="F63" i="85"/>
  <c r="F82" i="85"/>
  <c r="F45" i="85"/>
  <c r="F34" i="85"/>
  <c r="F49" i="85"/>
  <c r="F98" i="85"/>
  <c r="F53" i="85"/>
  <c r="V22" i="70"/>
  <c r="H80" i="73"/>
  <c r="P76" i="48"/>
  <c r="X73" i="48"/>
  <c r="P56" i="105"/>
  <c r="X18" i="105"/>
  <c r="T63" i="105"/>
  <c r="Z16" i="99"/>
  <c r="T22" i="99"/>
  <c r="X22" i="99" s="1"/>
  <c r="R61" i="101"/>
  <c r="R52" i="101"/>
  <c r="R51" i="101"/>
  <c r="R53" i="101"/>
  <c r="R54" i="101"/>
  <c r="R44" i="101"/>
  <c r="R43" i="101"/>
  <c r="R38" i="101"/>
  <c r="R34" i="101"/>
  <c r="R15" i="101"/>
  <c r="R46" i="101"/>
  <c r="R45" i="101"/>
  <c r="R29" i="101"/>
  <c r="R25" i="101"/>
  <c r="R16" i="101"/>
  <c r="R56" i="101"/>
  <c r="R48" i="101"/>
  <c r="R47" i="101"/>
  <c r="R39" i="101"/>
  <c r="R35" i="101"/>
  <c r="R22" i="101"/>
  <c r="R17" i="101"/>
  <c r="R57" i="101"/>
  <c r="R49" i="101"/>
  <c r="R40" i="101"/>
  <c r="R36" i="101"/>
  <c r="R32" i="101"/>
  <c r="R21" i="101"/>
  <c r="R19" i="101"/>
  <c r="R27" i="101"/>
  <c r="R23" i="101"/>
  <c r="P19" i="101"/>
  <c r="R50" i="101"/>
  <c r="R42" i="101"/>
  <c r="R41" i="101"/>
  <c r="R37" i="101"/>
  <c r="R33" i="101"/>
  <c r="R31" i="101"/>
  <c r="R24" i="101"/>
  <c r="X12" i="101"/>
  <c r="R26" i="101"/>
  <c r="R30" i="101"/>
  <c r="R28" i="101"/>
  <c r="D29" i="99"/>
  <c r="L26" i="99"/>
  <c r="R23" i="94"/>
  <c r="R57" i="79"/>
  <c r="R56" i="79"/>
  <c r="R46" i="79"/>
  <c r="R45" i="79"/>
  <c r="R63" i="79"/>
  <c r="R43" i="79"/>
  <c r="R44" i="79"/>
  <c r="R41" i="79"/>
  <c r="R37" i="79"/>
  <c r="R19" i="79"/>
  <c r="R38" i="79"/>
  <c r="X12" i="79"/>
  <c r="R50" i="79"/>
  <c r="R42" i="79"/>
  <c r="R33" i="79"/>
  <c r="R29" i="79"/>
  <c r="R51" i="79"/>
  <c r="R20" i="79"/>
  <c r="R39" i="79"/>
  <c r="R58" i="79"/>
  <c r="R35" i="79"/>
  <c r="R34" i="79"/>
  <c r="R30" i="79"/>
  <c r="R52" i="79"/>
  <c r="R26" i="79"/>
  <c r="R21" i="79"/>
  <c r="R59" i="79"/>
  <c r="R53" i="79"/>
  <c r="R48" i="79"/>
  <c r="R31" i="79"/>
  <c r="R27" i="79"/>
  <c r="P23" i="79"/>
  <c r="R49" i="79"/>
  <c r="R47" i="79"/>
  <c r="R36" i="79"/>
  <c r="R25" i="79"/>
  <c r="R54" i="79"/>
  <c r="R17" i="79"/>
  <c r="R32" i="79"/>
  <c r="R28" i="79"/>
  <c r="R40" i="79"/>
  <c r="R18" i="79"/>
  <c r="L23" i="79"/>
  <c r="D61" i="79"/>
  <c r="P26" i="72"/>
  <c r="X22" i="72"/>
  <c r="X46" i="77"/>
  <c r="Z46" i="77" s="1"/>
  <c r="P95" i="77"/>
  <c r="T58" i="68"/>
  <c r="Z16" i="68"/>
  <c r="T106" i="64"/>
  <c r="L16" i="55"/>
  <c r="D31" i="55"/>
  <c r="P78" i="58"/>
  <c r="X74" i="58"/>
  <c r="Z74" i="58" s="1"/>
  <c r="P62" i="60"/>
  <c r="X58" i="60"/>
  <c r="V46" i="51"/>
  <c r="T95" i="51"/>
  <c r="V30" i="42"/>
  <c r="R93" i="45"/>
  <c r="R85" i="45"/>
  <c r="R81" i="45"/>
  <c r="R96" i="45"/>
  <c r="R88" i="45"/>
  <c r="R87" i="45"/>
  <c r="R83" i="45"/>
  <c r="R79" i="45"/>
  <c r="R50" i="45"/>
  <c r="R49" i="45"/>
  <c r="R26" i="45"/>
  <c r="R21" i="45"/>
  <c r="R82" i="45"/>
  <c r="R61" i="45"/>
  <c r="R60" i="45"/>
  <c r="R44" i="45"/>
  <c r="R40" i="45"/>
  <c r="R25" i="45"/>
  <c r="R76" i="45"/>
  <c r="R71" i="45"/>
  <c r="R51" i="45"/>
  <c r="R35" i="45"/>
  <c r="R31" i="45"/>
  <c r="R27" i="45"/>
  <c r="P23" i="45"/>
  <c r="R73" i="45"/>
  <c r="R72" i="45"/>
  <c r="R65" i="45"/>
  <c r="R64" i="45"/>
  <c r="R53" i="45"/>
  <c r="R52" i="45"/>
  <c r="R37" i="45"/>
  <c r="R36" i="45"/>
  <c r="R32" i="45"/>
  <c r="R28" i="45"/>
  <c r="X12" i="45"/>
  <c r="Z12" i="45" s="1"/>
  <c r="R78" i="45"/>
  <c r="R74" i="45"/>
  <c r="R67" i="45"/>
  <c r="R66" i="45"/>
  <c r="R55" i="45"/>
  <c r="R54" i="45"/>
  <c r="R46" i="45"/>
  <c r="R42" i="45"/>
  <c r="R38" i="45"/>
  <c r="R48" i="45"/>
  <c r="R47" i="45"/>
  <c r="R43" i="45"/>
  <c r="R39" i="45"/>
  <c r="R90" i="45"/>
  <c r="R84" i="45"/>
  <c r="R75" i="45"/>
  <c r="R70" i="45"/>
  <c r="R59" i="45"/>
  <c r="R58" i="45"/>
  <c r="R77" i="45"/>
  <c r="R56" i="45"/>
  <c r="R69" i="45"/>
  <c r="R33" i="45"/>
  <c r="R91" i="45"/>
  <c r="R57" i="45"/>
  <c r="R19" i="45"/>
  <c r="R100" i="45"/>
  <c r="R89" i="45"/>
  <c r="R62" i="45"/>
  <c r="R34" i="45"/>
  <c r="R29" i="45"/>
  <c r="R94" i="45"/>
  <c r="R92" i="45"/>
  <c r="R80" i="45"/>
  <c r="R41" i="45"/>
  <c r="R63" i="45"/>
  <c r="R86" i="45"/>
  <c r="R18" i="45"/>
  <c r="R30" i="45"/>
  <c r="R45" i="45"/>
  <c r="R20" i="45"/>
  <c r="R68" i="45"/>
  <c r="T141" i="30"/>
  <c r="T110" i="21"/>
  <c r="H223" i="15"/>
  <c r="L59" i="24"/>
  <c r="N59" i="24" s="1"/>
  <c r="D109" i="24"/>
  <c r="R233" i="12"/>
  <c r="R223" i="12"/>
  <c r="R215" i="12"/>
  <c r="R211" i="12"/>
  <c r="R195" i="12"/>
  <c r="R168" i="12"/>
  <c r="R167" i="12"/>
  <c r="R147" i="12"/>
  <c r="R143" i="12"/>
  <c r="R128" i="12"/>
  <c r="R126" i="12"/>
  <c r="R234" i="12"/>
  <c r="R206" i="12"/>
  <c r="R190" i="12"/>
  <c r="R179" i="12"/>
  <c r="R178" i="12"/>
  <c r="R154" i="12"/>
  <c r="R138" i="12"/>
  <c r="R134" i="12"/>
  <c r="R130" i="12"/>
  <c r="P126" i="12"/>
  <c r="R201" i="12"/>
  <c r="R170" i="12"/>
  <c r="R169" i="12"/>
  <c r="R162" i="12"/>
  <c r="R161" i="12"/>
  <c r="R121" i="12"/>
  <c r="R117" i="12"/>
  <c r="R113" i="12"/>
  <c r="R109" i="12"/>
  <c r="R105" i="12"/>
  <c r="R101" i="12"/>
  <c r="R97" i="12"/>
  <c r="R93" i="12"/>
  <c r="R89" i="12"/>
  <c r="R224" i="12"/>
  <c r="R217" i="12"/>
  <c r="R216" i="12"/>
  <c r="R212" i="12"/>
  <c r="R196" i="12"/>
  <c r="R181" i="12"/>
  <c r="R180" i="12"/>
  <c r="R148" i="12"/>
  <c r="R144" i="12"/>
  <c r="R85" i="12"/>
  <c r="R208" i="12"/>
  <c r="R207" i="12"/>
  <c r="R191" i="12"/>
  <c r="R172" i="12"/>
  <c r="R171" i="12"/>
  <c r="R163" i="12"/>
  <c r="R156" i="12"/>
  <c r="R155" i="12"/>
  <c r="R140" i="12"/>
  <c r="R139" i="12"/>
  <c r="R135" i="12"/>
  <c r="R131" i="12"/>
  <c r="R238" i="12"/>
  <c r="R218" i="12"/>
  <c r="R202" i="12"/>
  <c r="R183" i="12"/>
  <c r="R182" i="12"/>
  <c r="R122" i="12"/>
  <c r="R118" i="12"/>
  <c r="R114" i="12"/>
  <c r="R110" i="12"/>
  <c r="R106" i="12"/>
  <c r="R102" i="12"/>
  <c r="R98" i="12"/>
  <c r="R94" i="12"/>
  <c r="R90" i="12"/>
  <c r="R86" i="12"/>
  <c r="X12" i="12"/>
  <c r="Z12" i="12" s="1"/>
  <c r="R226" i="12"/>
  <c r="R225" i="12"/>
  <c r="R213" i="12"/>
  <c r="R209" i="12"/>
  <c r="R198" i="12"/>
  <c r="R197" i="12"/>
  <c r="R173" i="12"/>
  <c r="R158" i="12"/>
  <c r="R157" i="12"/>
  <c r="R149" i="12"/>
  <c r="R145" i="12"/>
  <c r="R141" i="12"/>
  <c r="R193" i="12"/>
  <c r="R192" i="12"/>
  <c r="R185" i="12"/>
  <c r="R184" i="12"/>
  <c r="R165" i="12"/>
  <c r="R164" i="12"/>
  <c r="R136" i="12"/>
  <c r="R132" i="12"/>
  <c r="R227" i="12"/>
  <c r="R220" i="12"/>
  <c r="R219" i="12"/>
  <c r="R203" i="12"/>
  <c r="R199" i="12"/>
  <c r="R159" i="12"/>
  <c r="R123" i="12"/>
  <c r="R119" i="12"/>
  <c r="R115" i="12"/>
  <c r="R111" i="12"/>
  <c r="R107" i="12"/>
  <c r="R103" i="12"/>
  <c r="R99" i="12"/>
  <c r="R95" i="12"/>
  <c r="R91" i="12"/>
  <c r="R87" i="12"/>
  <c r="R230" i="12"/>
  <c r="R229" i="12"/>
  <c r="R214" i="12"/>
  <c r="R210" i="12"/>
  <c r="R194" i="12"/>
  <c r="R187" i="12"/>
  <c r="R186" i="12"/>
  <c r="R175" i="12"/>
  <c r="R174" i="12"/>
  <c r="R166" i="12"/>
  <c r="R151" i="12"/>
  <c r="R150" i="12"/>
  <c r="R146" i="12"/>
  <c r="R142" i="12"/>
  <c r="R137" i="12"/>
  <c r="R96" i="12"/>
  <c r="R177" i="12"/>
  <c r="R153" i="12"/>
  <c r="R100" i="12"/>
  <c r="R189" i="12"/>
  <c r="R176" i="12"/>
  <c r="R232" i="12"/>
  <c r="R222" i="12"/>
  <c r="R200" i="12"/>
  <c r="R160" i="12"/>
  <c r="R104" i="12"/>
  <c r="R205" i="12"/>
  <c r="R108" i="12"/>
  <c r="R221" i="12"/>
  <c r="R133" i="12"/>
  <c r="R129" i="12"/>
  <c r="R112" i="12"/>
  <c r="R116" i="12"/>
  <c r="R188" i="12"/>
  <c r="R120" i="12"/>
  <c r="R231" i="12"/>
  <c r="R124" i="12"/>
  <c r="R152" i="12"/>
  <c r="R204" i="12"/>
  <c r="R88" i="12"/>
  <c r="R92" i="12"/>
  <c r="T27" i="111"/>
  <c r="Z18" i="111"/>
  <c r="N18" i="112"/>
  <c r="H27" i="112"/>
  <c r="H27" i="49"/>
  <c r="N18" i="49"/>
  <c r="H27" i="37"/>
  <c r="N18" i="37"/>
  <c r="L18" i="37"/>
  <c r="D27" i="37"/>
  <c r="X18" i="47"/>
  <c r="P27" i="47"/>
  <c r="X18" i="31"/>
  <c r="P27" i="31"/>
  <c r="N18" i="23"/>
  <c r="H27" i="23"/>
  <c r="N18" i="38"/>
  <c r="H27" i="38"/>
  <c r="T27" i="23"/>
  <c r="Z18" i="23"/>
  <c r="X18" i="5"/>
  <c r="P27" i="5"/>
  <c r="H27" i="5"/>
  <c r="N18" i="5"/>
  <c r="T27" i="7"/>
  <c r="Z18" i="7"/>
  <c r="L18" i="4"/>
  <c r="D27" i="4"/>
  <c r="T84" i="93" l="1"/>
  <c r="V81" i="93"/>
  <c r="H63" i="105"/>
  <c r="T81" i="102"/>
  <c r="Z77" i="102"/>
  <c r="V77" i="102"/>
  <c r="Z27" i="53"/>
  <c r="T31" i="53"/>
  <c r="L22" i="54"/>
  <c r="D26" i="54"/>
  <c r="T92" i="84"/>
  <c r="V88" i="84"/>
  <c r="T65" i="103"/>
  <c r="H90" i="98"/>
  <c r="J86" i="98"/>
  <c r="H136" i="36"/>
  <c r="J132" i="36"/>
  <c r="N106" i="64"/>
  <c r="H109" i="64"/>
  <c r="P77" i="89"/>
  <c r="X73" i="89"/>
  <c r="T86" i="108"/>
  <c r="T31" i="25"/>
  <c r="Z27" i="25"/>
  <c r="D31" i="35"/>
  <c r="L27" i="35"/>
  <c r="T26" i="6"/>
  <c r="Z22" i="6"/>
  <c r="T31" i="49"/>
  <c r="Z27" i="49"/>
  <c r="T97" i="96"/>
  <c r="V93" i="96"/>
  <c r="Z27" i="31"/>
  <c r="T31" i="31"/>
  <c r="H31" i="47"/>
  <c r="N27" i="47"/>
  <c r="D26" i="6"/>
  <c r="L22" i="6"/>
  <c r="D95" i="51"/>
  <c r="L46" i="51"/>
  <c r="N46" i="51" s="1"/>
  <c r="T95" i="88"/>
  <c r="V91" i="88"/>
  <c r="H78" i="56"/>
  <c r="X27" i="44"/>
  <c r="P31" i="44"/>
  <c r="H87" i="76"/>
  <c r="J83" i="76"/>
  <c r="X27" i="38"/>
  <c r="P31" i="38"/>
  <c r="N27" i="111"/>
  <c r="H31" i="111"/>
  <c r="Z27" i="7"/>
  <c r="T31" i="7"/>
  <c r="Z27" i="111"/>
  <c r="T31" i="111"/>
  <c r="T31" i="38"/>
  <c r="Z27" i="38"/>
  <c r="L17" i="48"/>
  <c r="N17" i="48" s="1"/>
  <c r="D69" i="48"/>
  <c r="Z27" i="35"/>
  <c r="T31" i="35"/>
  <c r="P31" i="53"/>
  <c r="X27" i="53"/>
  <c r="T26" i="72"/>
  <c r="Z22" i="72"/>
  <c r="H65" i="79"/>
  <c r="N61" i="79"/>
  <c r="X27" i="23"/>
  <c r="P31" i="23"/>
  <c r="N27" i="35"/>
  <c r="H31" i="35"/>
  <c r="H31" i="16"/>
  <c r="N27" i="16"/>
  <c r="N27" i="40"/>
  <c r="H31" i="40"/>
  <c r="L47" i="69"/>
  <c r="N47" i="69" s="1"/>
  <c r="D97" i="69"/>
  <c r="H101" i="69"/>
  <c r="J97" i="69"/>
  <c r="L22" i="80"/>
  <c r="N22" i="80" s="1"/>
  <c r="D76" i="80"/>
  <c r="P31" i="4"/>
  <c r="X27" i="4"/>
  <c r="D31" i="7"/>
  <c r="L27" i="7"/>
  <c r="L27" i="53"/>
  <c r="D31" i="53"/>
  <c r="L29" i="21"/>
  <c r="N29" i="21" s="1"/>
  <c r="D106" i="21"/>
  <c r="D76" i="81"/>
  <c r="L22" i="81"/>
  <c r="N22" i="81" s="1"/>
  <c r="T65" i="79"/>
  <c r="T119" i="85"/>
  <c r="V115" i="85"/>
  <c r="H86" i="108"/>
  <c r="N82" i="108"/>
  <c r="D31" i="44"/>
  <c r="L27" i="44"/>
  <c r="P107" i="27"/>
  <c r="X47" i="27"/>
  <c r="Z47" i="27" s="1"/>
  <c r="Z73" i="48"/>
  <c r="T76" i="48"/>
  <c r="V73" i="48"/>
  <c r="X22" i="107"/>
  <c r="P26" i="107"/>
  <c r="D31" i="34"/>
  <c r="L27" i="34"/>
  <c r="T283" i="3"/>
  <c r="V278" i="3"/>
  <c r="N27" i="14"/>
  <c r="H31" i="14"/>
  <c r="X102" i="64"/>
  <c r="Z102" i="64" s="1"/>
  <c r="P106" i="64"/>
  <c r="H94" i="104"/>
  <c r="J91" i="104"/>
  <c r="T101" i="9"/>
  <c r="H144" i="39"/>
  <c r="J141" i="39"/>
  <c r="H117" i="75"/>
  <c r="J114" i="75"/>
  <c r="T87" i="95"/>
  <c r="V84" i="95"/>
  <c r="L27" i="113"/>
  <c r="D31" i="113"/>
  <c r="X27" i="31"/>
  <c r="P31" i="31"/>
  <c r="P31" i="52"/>
  <c r="X27" i="52"/>
  <c r="H227" i="15"/>
  <c r="J223" i="15"/>
  <c r="D31" i="14"/>
  <c r="L27" i="14"/>
  <c r="X91" i="88"/>
  <c r="Z91" i="88" s="1"/>
  <c r="P95" i="88"/>
  <c r="R91" i="88"/>
  <c r="D31" i="11"/>
  <c r="L27" i="11"/>
  <c r="H31" i="13"/>
  <c r="N27" i="13"/>
  <c r="L31" i="55"/>
  <c r="D35" i="55"/>
  <c r="X26" i="72"/>
  <c r="P29" i="72"/>
  <c r="X59" i="24"/>
  <c r="Z59" i="24" s="1"/>
  <c r="P109" i="24"/>
  <c r="D75" i="94"/>
  <c r="L71" i="94"/>
  <c r="F71" i="94"/>
  <c r="D31" i="52"/>
  <c r="L27" i="52"/>
  <c r="T227" i="15"/>
  <c r="V223" i="15"/>
  <c r="P72" i="59"/>
  <c r="X68" i="59"/>
  <c r="Z68" i="59" s="1"/>
  <c r="T80" i="73"/>
  <c r="V76" i="73"/>
  <c r="T92" i="106"/>
  <c r="V88" i="106"/>
  <c r="D31" i="28"/>
  <c r="L27" i="28"/>
  <c r="H31" i="11"/>
  <c r="N27" i="11"/>
  <c r="T31" i="16"/>
  <c r="Z27" i="16"/>
  <c r="D31" i="112"/>
  <c r="L27" i="112"/>
  <c r="H74" i="70"/>
  <c r="J70" i="70"/>
  <c r="D31" i="13"/>
  <c r="L27" i="13"/>
  <c r="L27" i="25"/>
  <c r="D31" i="25"/>
  <c r="D31" i="43"/>
  <c r="L27" i="43"/>
  <c r="D75" i="56"/>
  <c r="L71" i="56"/>
  <c r="N71" i="56" s="1"/>
  <c r="D107" i="71"/>
  <c r="L47" i="71"/>
  <c r="N47" i="71" s="1"/>
  <c r="H97" i="96"/>
  <c r="J93" i="96"/>
  <c r="D141" i="39"/>
  <c r="L137" i="39"/>
  <c r="N137" i="39" s="1"/>
  <c r="F137" i="39"/>
  <c r="X46" i="109"/>
  <c r="P50" i="109"/>
  <c r="X27" i="35"/>
  <c r="P31" i="35"/>
  <c r="L126" i="12"/>
  <c r="N126" i="12" s="1"/>
  <c r="D236" i="12"/>
  <c r="D67" i="61"/>
  <c r="T83" i="80"/>
  <c r="V80" i="80"/>
  <c r="T91" i="104"/>
  <c r="V87" i="104"/>
  <c r="P26" i="6"/>
  <c r="X22" i="6"/>
  <c r="N27" i="26"/>
  <c r="H31" i="26"/>
  <c r="Z27" i="113"/>
  <c r="T31" i="113"/>
  <c r="H102" i="51"/>
  <c r="J99" i="51"/>
  <c r="X22" i="84"/>
  <c r="Z22" i="84" s="1"/>
  <c r="P88" i="84"/>
  <c r="X27" i="7"/>
  <c r="P31" i="7"/>
  <c r="T113" i="21"/>
  <c r="V110" i="21"/>
  <c r="L61" i="79"/>
  <c r="D65" i="79"/>
  <c r="F61" i="79"/>
  <c r="X76" i="48"/>
  <c r="R76" i="48"/>
  <c r="P29" i="99"/>
  <c r="L27" i="16"/>
  <c r="D31" i="16"/>
  <c r="P31" i="50"/>
  <c r="X27" i="50"/>
  <c r="X76" i="80"/>
  <c r="Z76" i="80" s="1"/>
  <c r="P80" i="80"/>
  <c r="R76" i="80"/>
  <c r="D31" i="10"/>
  <c r="L27" i="10"/>
  <c r="Z27" i="22"/>
  <c r="T31" i="22"/>
  <c r="X71" i="56"/>
  <c r="P75" i="56"/>
  <c r="X77" i="102"/>
  <c r="P81" i="102"/>
  <c r="R77" i="102"/>
  <c r="T31" i="19"/>
  <c r="Z27" i="19"/>
  <c r="D72" i="59"/>
  <c r="L68" i="59"/>
  <c r="T31" i="17"/>
  <c r="Z27" i="17"/>
  <c r="D31" i="38"/>
  <c r="L27" i="38"/>
  <c r="N74" i="58"/>
  <c r="H78" i="58"/>
  <c r="N27" i="8"/>
  <c r="H31" i="8"/>
  <c r="D98" i="88"/>
  <c r="L95" i="88"/>
  <c r="N95" i="88" s="1"/>
  <c r="F95" i="88"/>
  <c r="T93" i="98"/>
  <c r="V90" i="98"/>
  <c r="Z27" i="13"/>
  <c r="T31" i="13"/>
  <c r="Z27" i="28"/>
  <c r="T31" i="28"/>
  <c r="T111" i="71"/>
  <c r="V107" i="71"/>
  <c r="D136" i="36"/>
  <c r="L132" i="36"/>
  <c r="N132" i="36" s="1"/>
  <c r="F132" i="36"/>
  <c r="D31" i="32"/>
  <c r="L27" i="32"/>
  <c r="H81" i="93"/>
  <c r="J77" i="93"/>
  <c r="Z27" i="29"/>
  <c r="T31" i="29"/>
  <c r="T31" i="112"/>
  <c r="Z27" i="112"/>
  <c r="P77" i="93"/>
  <c r="X22" i="93"/>
  <c r="Z22" i="93" s="1"/>
  <c r="D83" i="76"/>
  <c r="L28" i="76"/>
  <c r="N28" i="76" s="1"/>
  <c r="L27" i="111"/>
  <c r="D31" i="111"/>
  <c r="N27" i="5"/>
  <c r="H31" i="5"/>
  <c r="H83" i="73"/>
  <c r="J80" i="73"/>
  <c r="D97" i="96"/>
  <c r="L93" i="96"/>
  <c r="N93" i="96" s="1"/>
  <c r="F93" i="96"/>
  <c r="D31" i="8"/>
  <c r="L27" i="8"/>
  <c r="D31" i="49"/>
  <c r="L27" i="49"/>
  <c r="L22" i="72"/>
  <c r="D26" i="72"/>
  <c r="R22" i="93"/>
  <c r="Z27" i="46"/>
  <c r="T31" i="46"/>
  <c r="N94" i="33"/>
  <c r="H98" i="33"/>
  <c r="J94" i="33"/>
  <c r="D75" i="57"/>
  <c r="L71" i="57"/>
  <c r="N71" i="57" s="1"/>
  <c r="D56" i="100"/>
  <c r="L52" i="100"/>
  <c r="N52" i="100" s="1"/>
  <c r="N27" i="34"/>
  <c r="H31" i="34"/>
  <c r="D251" i="18"/>
  <c r="L247" i="18"/>
  <c r="F247" i="18"/>
  <c r="H31" i="10"/>
  <c r="N27" i="10"/>
  <c r="D98" i="33"/>
  <c r="L94" i="33"/>
  <c r="F94" i="33"/>
  <c r="D32" i="86"/>
  <c r="L28" i="86"/>
  <c r="N28" i="86" s="1"/>
  <c r="F28" i="86"/>
  <c r="P84" i="95"/>
  <c r="X80" i="95"/>
  <c r="Z80" i="95" s="1"/>
  <c r="R80" i="95"/>
  <c r="P31" i="26"/>
  <c r="X27" i="26"/>
  <c r="D141" i="30"/>
  <c r="L137" i="30"/>
  <c r="F137" i="30"/>
  <c r="P106" i="21"/>
  <c r="X29" i="21"/>
  <c r="Z29" i="21" s="1"/>
  <c r="F47" i="71"/>
  <c r="H99" i="77"/>
  <c r="J95" i="77"/>
  <c r="L86" i="92"/>
  <c r="N86" i="92" s="1"/>
  <c r="D90" i="92"/>
  <c r="P31" i="41"/>
  <c r="X27" i="41"/>
  <c r="T74" i="70"/>
  <c r="V70" i="70"/>
  <c r="P31" i="20"/>
  <c r="X27" i="20"/>
  <c r="X27" i="49"/>
  <c r="P31" i="49"/>
  <c r="H113" i="21"/>
  <c r="J110" i="21"/>
  <c r="L70" i="70"/>
  <c r="N70" i="70" s="1"/>
  <c r="D74" i="70"/>
  <c r="F70" i="70"/>
  <c r="L86" i="98"/>
  <c r="N86" i="98" s="1"/>
  <c r="D90" i="98"/>
  <c r="F86" i="98"/>
  <c r="L27" i="5"/>
  <c r="D31" i="5"/>
  <c r="X27" i="37"/>
  <c r="P31" i="37"/>
  <c r="F46" i="51"/>
  <c r="T83" i="81"/>
  <c r="V80" i="81"/>
  <c r="N27" i="113"/>
  <c r="H31" i="113"/>
  <c r="Z71" i="56"/>
  <c r="T75" i="56"/>
  <c r="X27" i="34"/>
  <c r="P31" i="34"/>
  <c r="L102" i="45"/>
  <c r="N102" i="45" s="1"/>
  <c r="D105" i="45"/>
  <c r="F102" i="45"/>
  <c r="X86" i="98"/>
  <c r="Z86" i="98" s="1"/>
  <c r="P90" i="98"/>
  <c r="R86" i="98"/>
  <c r="P81" i="58"/>
  <c r="X81" i="58" s="1"/>
  <c r="Z81" i="58" s="1"/>
  <c r="X78" i="58"/>
  <c r="Z78" i="58" s="1"/>
  <c r="T75" i="57"/>
  <c r="Z71" i="57"/>
  <c r="D31" i="22"/>
  <c r="L27" i="22"/>
  <c r="N27" i="41"/>
  <c r="H31" i="41"/>
  <c r="T32" i="83"/>
  <c r="V28" i="83"/>
  <c r="D274" i="3"/>
  <c r="L155" i="3"/>
  <c r="N155" i="3" s="1"/>
  <c r="P31" i="5"/>
  <c r="X27" i="5"/>
  <c r="T109" i="64"/>
  <c r="P61" i="79"/>
  <c r="X23" i="79"/>
  <c r="X27" i="13"/>
  <c r="P31" i="13"/>
  <c r="P62" i="68"/>
  <c r="X58" i="68"/>
  <c r="H56" i="100"/>
  <c r="L25" i="73"/>
  <c r="N25" i="73" s="1"/>
  <c r="D76" i="73"/>
  <c r="F28" i="76"/>
  <c r="P26" i="54"/>
  <c r="X22" i="54"/>
  <c r="N22" i="6"/>
  <c r="H26" i="6"/>
  <c r="L27" i="19"/>
  <c r="D31" i="19"/>
  <c r="T62" i="60"/>
  <c r="Z58" i="60"/>
  <c r="P91" i="104"/>
  <c r="X87" i="104"/>
  <c r="Z87" i="104" s="1"/>
  <c r="R87" i="104"/>
  <c r="L27" i="23"/>
  <c r="D31" i="23"/>
  <c r="T64" i="61"/>
  <c r="Z60" i="61"/>
  <c r="P31" i="112"/>
  <c r="X27" i="112"/>
  <c r="H31" i="32"/>
  <c r="N27" i="32"/>
  <c r="N27" i="46"/>
  <c r="H31" i="46"/>
  <c r="X46" i="51"/>
  <c r="Z46" i="51" s="1"/>
  <c r="P95" i="51"/>
  <c r="H75" i="57"/>
  <c r="J35" i="86"/>
  <c r="N71" i="94"/>
  <c r="H75" i="94"/>
  <c r="J71" i="94"/>
  <c r="Z27" i="14"/>
  <c r="T31" i="14"/>
  <c r="L120" i="15"/>
  <c r="N120" i="15" s="1"/>
  <c r="D223" i="15"/>
  <c r="P114" i="75"/>
  <c r="X110" i="75"/>
  <c r="Z110" i="75" s="1"/>
  <c r="R110" i="75"/>
  <c r="T102" i="45"/>
  <c r="V98" i="45"/>
  <c r="H114" i="71"/>
  <c r="J111" i="71"/>
  <c r="L28" i="83"/>
  <c r="N28" i="83" s="1"/>
  <c r="D32" i="83"/>
  <c r="F28" i="83"/>
  <c r="L46" i="109"/>
  <c r="N46" i="109" s="1"/>
  <c r="D50" i="109"/>
  <c r="N247" i="18"/>
  <c r="H251" i="18"/>
  <c r="J247" i="18"/>
  <c r="H35" i="55"/>
  <c r="N31" i="55"/>
  <c r="J28" i="83"/>
  <c r="H32" i="83"/>
  <c r="Z27" i="11"/>
  <c r="T31" i="11"/>
  <c r="H90" i="92"/>
  <c r="H278" i="3"/>
  <c r="J274" i="3"/>
  <c r="P97" i="69"/>
  <c r="X47" i="69"/>
  <c r="Z47" i="69" s="1"/>
  <c r="L27" i="37"/>
  <c r="D31" i="37"/>
  <c r="T144" i="30"/>
  <c r="V141" i="30"/>
  <c r="R23" i="79"/>
  <c r="Z27" i="23"/>
  <c r="T31" i="23"/>
  <c r="H31" i="37"/>
  <c r="N27" i="37"/>
  <c r="T99" i="51"/>
  <c r="V95" i="51"/>
  <c r="D60" i="105"/>
  <c r="L56" i="105"/>
  <c r="N56" i="105" s="1"/>
  <c r="H104" i="9"/>
  <c r="P31" i="16"/>
  <c r="X27" i="16"/>
  <c r="H31" i="44"/>
  <c r="N27" i="44"/>
  <c r="Z27" i="50"/>
  <c r="T31" i="50"/>
  <c r="P93" i="96"/>
  <c r="X22" i="96"/>
  <c r="Z22" i="96" s="1"/>
  <c r="P31" i="19"/>
  <c r="X27" i="19"/>
  <c r="N27" i="20"/>
  <c r="H31" i="20"/>
  <c r="Z27" i="5"/>
  <c r="T31" i="5"/>
  <c r="T141" i="39"/>
  <c r="V137" i="39"/>
  <c r="H29" i="99"/>
  <c r="N29" i="99" s="1"/>
  <c r="N26" i="99"/>
  <c r="T114" i="75"/>
  <c r="V110" i="75"/>
  <c r="P75" i="94"/>
  <c r="X71" i="94"/>
  <c r="R71" i="94"/>
  <c r="H95" i="106"/>
  <c r="J92" i="106"/>
  <c r="L27" i="20"/>
  <c r="D31" i="20"/>
  <c r="D31" i="31"/>
  <c r="L27" i="31"/>
  <c r="X27" i="111"/>
  <c r="P31" i="111"/>
  <c r="P137" i="30"/>
  <c r="X53" i="30"/>
  <c r="Z53" i="30" s="1"/>
  <c r="L61" i="103"/>
  <c r="D65" i="103"/>
  <c r="P93" i="92"/>
  <c r="T83" i="74"/>
  <c r="V79" i="74"/>
  <c r="D124" i="42"/>
  <c r="L30" i="42"/>
  <c r="N30" i="42" s="1"/>
  <c r="L27" i="29"/>
  <c r="D31" i="29"/>
  <c r="P70" i="70"/>
  <c r="X22" i="70"/>
  <c r="Z22" i="70" s="1"/>
  <c r="Z28" i="86"/>
  <c r="T32" i="86"/>
  <c r="V28" i="86"/>
  <c r="L27" i="41"/>
  <c r="D31" i="41"/>
  <c r="X31" i="36"/>
  <c r="Z31" i="36" s="1"/>
  <c r="P132" i="36"/>
  <c r="H76" i="48"/>
  <c r="J73" i="48"/>
  <c r="P73" i="110"/>
  <c r="X69" i="110"/>
  <c r="R69" i="110"/>
  <c r="X56" i="105"/>
  <c r="Z56" i="105" s="1"/>
  <c r="P60" i="105"/>
  <c r="N27" i="17"/>
  <c r="H31" i="17"/>
  <c r="H64" i="61"/>
  <c r="N60" i="61"/>
  <c r="D62" i="68"/>
  <c r="L58" i="68"/>
  <c r="N58" i="68" s="1"/>
  <c r="Z27" i="32"/>
  <c r="T31" i="32"/>
  <c r="L41" i="85"/>
  <c r="N41" i="85" s="1"/>
  <c r="D115" i="85"/>
  <c r="H113" i="24"/>
  <c r="N109" i="24"/>
  <c r="J109" i="24"/>
  <c r="H26" i="107"/>
  <c r="N22" i="107"/>
  <c r="D31" i="50"/>
  <c r="L27" i="50"/>
  <c r="L59" i="101"/>
  <c r="N59" i="101" s="1"/>
  <c r="D63" i="101"/>
  <c r="F59" i="101"/>
  <c r="P75" i="57"/>
  <c r="X71" i="57"/>
  <c r="D31" i="17"/>
  <c r="L27" i="17"/>
  <c r="X27" i="32"/>
  <c r="P31" i="32"/>
  <c r="N27" i="7"/>
  <c r="H31" i="7"/>
  <c r="H80" i="80"/>
  <c r="J76" i="80"/>
  <c r="H31" i="31"/>
  <c r="N27" i="31"/>
  <c r="Z27" i="47"/>
  <c r="T31" i="47"/>
  <c r="T243" i="12"/>
  <c r="V240" i="12"/>
  <c r="T87" i="76"/>
  <c r="V83" i="76"/>
  <c r="D81" i="102"/>
  <c r="L77" i="102"/>
  <c r="N77" i="102" s="1"/>
  <c r="F77" i="102"/>
  <c r="J105" i="45"/>
  <c r="Z27" i="37"/>
  <c r="T31" i="37"/>
  <c r="P278" i="3"/>
  <c r="X274" i="3"/>
  <c r="Z274" i="3" s="1"/>
  <c r="R274" i="3"/>
  <c r="X45" i="74"/>
  <c r="Z45" i="74" s="1"/>
  <c r="P79" i="74"/>
  <c r="P92" i="106"/>
  <c r="X88" i="106"/>
  <c r="Z88" i="106" s="1"/>
  <c r="R88" i="106"/>
  <c r="T98" i="33"/>
  <c r="V94" i="33"/>
  <c r="T31" i="4"/>
  <c r="Z27" i="4"/>
  <c r="L27" i="46"/>
  <c r="D31" i="46"/>
  <c r="T72" i="59"/>
  <c r="H31" i="50"/>
  <c r="N27" i="50"/>
  <c r="D77" i="93"/>
  <c r="L22" i="93"/>
  <c r="N22" i="93" s="1"/>
  <c r="H240" i="12"/>
  <c r="J236" i="12"/>
  <c r="P56" i="100"/>
  <c r="X52" i="100"/>
  <c r="Z52" i="100" s="1"/>
  <c r="Z27" i="26"/>
  <c r="T31" i="26"/>
  <c r="L47" i="27"/>
  <c r="N47" i="27" s="1"/>
  <c r="D107" i="27"/>
  <c r="P236" i="12"/>
  <c r="X126" i="12"/>
  <c r="Z126" i="12" s="1"/>
  <c r="P98" i="45"/>
  <c r="X23" i="45"/>
  <c r="Z23" i="45" s="1"/>
  <c r="X27" i="43"/>
  <c r="P31" i="43"/>
  <c r="D65" i="60"/>
  <c r="Z22" i="107"/>
  <c r="T26" i="107"/>
  <c r="Z27" i="10"/>
  <c r="T31" i="10"/>
  <c r="H31" i="38"/>
  <c r="N27" i="38"/>
  <c r="R23" i="45"/>
  <c r="Z22" i="99"/>
  <c r="T26" i="99"/>
  <c r="X26" i="99" s="1"/>
  <c r="D81" i="58"/>
  <c r="L78" i="58"/>
  <c r="N27" i="4"/>
  <c r="H31" i="4"/>
  <c r="L110" i="75"/>
  <c r="N110" i="75" s="1"/>
  <c r="D114" i="75"/>
  <c r="F110" i="75"/>
  <c r="T75" i="94"/>
  <c r="Z71" i="94"/>
  <c r="V71" i="94"/>
  <c r="N27" i="22"/>
  <c r="H31" i="22"/>
  <c r="L27" i="47"/>
  <c r="D31" i="47"/>
  <c r="T63" i="101"/>
  <c r="J84" i="102"/>
  <c r="T251" i="18"/>
  <c r="V247" i="18"/>
  <c r="N27" i="28"/>
  <c r="H31" i="28"/>
  <c r="P223" i="15"/>
  <c r="X120" i="15"/>
  <c r="Z120" i="15" s="1"/>
  <c r="N22" i="54"/>
  <c r="H26" i="54"/>
  <c r="D84" i="95"/>
  <c r="L80" i="95"/>
  <c r="N80" i="95" s="1"/>
  <c r="F80" i="95"/>
  <c r="P137" i="39"/>
  <c r="X36" i="39"/>
  <c r="Z36" i="39" s="1"/>
  <c r="D31" i="26"/>
  <c r="L27" i="26"/>
  <c r="H131" i="42"/>
  <c r="J128" i="42"/>
  <c r="L88" i="84"/>
  <c r="N88" i="84" s="1"/>
  <c r="D92" i="84"/>
  <c r="F88" i="84"/>
  <c r="H92" i="84"/>
  <c r="J88" i="84"/>
  <c r="P65" i="103"/>
  <c r="X61" i="103"/>
  <c r="Z61" i="103" s="1"/>
  <c r="X27" i="11"/>
  <c r="P31" i="11"/>
  <c r="X27" i="29"/>
  <c r="P31" i="29"/>
  <c r="P64" i="61"/>
  <c r="X60" i="61"/>
  <c r="X28" i="86"/>
  <c r="P32" i="86"/>
  <c r="R28" i="86"/>
  <c r="X27" i="28"/>
  <c r="P31" i="28"/>
  <c r="P31" i="113"/>
  <c r="X27" i="113"/>
  <c r="H119" i="85"/>
  <c r="J115" i="85"/>
  <c r="X27" i="8"/>
  <c r="P31" i="8"/>
  <c r="H76" i="110"/>
  <c r="J73" i="110"/>
  <c r="N27" i="52"/>
  <c r="H31" i="52"/>
  <c r="F126" i="12"/>
  <c r="N73" i="89"/>
  <c r="H77" i="89"/>
  <c r="L73" i="89"/>
  <c r="P31" i="40"/>
  <c r="X27" i="40"/>
  <c r="N68" i="59"/>
  <c r="H72" i="59"/>
  <c r="R47" i="69"/>
  <c r="P80" i="73"/>
  <c r="X76" i="73"/>
  <c r="Z76" i="73" s="1"/>
  <c r="R76" i="73"/>
  <c r="Z27" i="52"/>
  <c r="T31" i="52"/>
  <c r="D79" i="74"/>
  <c r="L45" i="74"/>
  <c r="N45" i="74" s="1"/>
  <c r="X22" i="83"/>
  <c r="Z22" i="83" s="1"/>
  <c r="P28" i="83"/>
  <c r="N58" i="60"/>
  <c r="H62" i="60"/>
  <c r="L62" i="60" s="1"/>
  <c r="X27" i="47"/>
  <c r="P31" i="47"/>
  <c r="H66" i="101"/>
  <c r="L17" i="110"/>
  <c r="N17" i="110" s="1"/>
  <c r="D69" i="110"/>
  <c r="N27" i="23"/>
  <c r="H31" i="23"/>
  <c r="X62" i="60"/>
  <c r="P65" i="60"/>
  <c r="R59" i="24"/>
  <c r="P31" i="17"/>
  <c r="X27" i="17"/>
  <c r="Z27" i="40"/>
  <c r="T31" i="40"/>
  <c r="H111" i="27"/>
  <c r="J107" i="27"/>
  <c r="T73" i="110"/>
  <c r="Z69" i="110"/>
  <c r="V69" i="110"/>
  <c r="Z27" i="44"/>
  <c r="T31" i="44"/>
  <c r="N137" i="30"/>
  <c r="H141" i="30"/>
  <c r="J137" i="30"/>
  <c r="T35" i="55"/>
  <c r="H83" i="81"/>
  <c r="J80" i="81"/>
  <c r="D104" i="9"/>
  <c r="L101" i="9"/>
  <c r="N101" i="9" s="1"/>
  <c r="T128" i="42"/>
  <c r="V124" i="42"/>
  <c r="T50" i="109"/>
  <c r="Z46" i="109"/>
  <c r="N27" i="29"/>
  <c r="H31" i="29"/>
  <c r="X31" i="55"/>
  <c r="Z31" i="55" s="1"/>
  <c r="P35" i="55"/>
  <c r="N61" i="103"/>
  <c r="H65" i="103"/>
  <c r="X27" i="22"/>
  <c r="P31" i="22"/>
  <c r="H87" i="95"/>
  <c r="J84" i="95"/>
  <c r="X47" i="71"/>
  <c r="Z47" i="71" s="1"/>
  <c r="P107" i="71"/>
  <c r="X97" i="9"/>
  <c r="Z97" i="9" s="1"/>
  <c r="P101" i="9"/>
  <c r="H65" i="68"/>
  <c r="R22" i="84"/>
  <c r="D26" i="107"/>
  <c r="L22" i="107"/>
  <c r="H31" i="25"/>
  <c r="N27" i="25"/>
  <c r="T26" i="54"/>
  <c r="Z22" i="54"/>
  <c r="X95" i="77"/>
  <c r="Z95" i="77" s="1"/>
  <c r="P99" i="77"/>
  <c r="R95" i="77"/>
  <c r="L82" i="108"/>
  <c r="D86" i="108"/>
  <c r="F82" i="108"/>
  <c r="Z27" i="41"/>
  <c r="T31" i="41"/>
  <c r="X30" i="42"/>
  <c r="Z30" i="42" s="1"/>
  <c r="P124" i="42"/>
  <c r="H31" i="43"/>
  <c r="N27" i="43"/>
  <c r="P80" i="81"/>
  <c r="X76" i="81"/>
  <c r="Z76" i="81" s="1"/>
  <c r="R76" i="81"/>
  <c r="H31" i="49"/>
  <c r="N27" i="49"/>
  <c r="L27" i="4"/>
  <c r="D31" i="4"/>
  <c r="N27" i="112"/>
  <c r="H31" i="112"/>
  <c r="D113" i="24"/>
  <c r="L109" i="24"/>
  <c r="F109" i="24"/>
  <c r="T62" i="68"/>
  <c r="Z58" i="68"/>
  <c r="P59" i="101"/>
  <c r="X19" i="101"/>
  <c r="N27" i="19"/>
  <c r="H31" i="19"/>
  <c r="X115" i="85"/>
  <c r="Z115" i="85" s="1"/>
  <c r="P119" i="85"/>
  <c r="R115" i="85"/>
  <c r="T31" i="43"/>
  <c r="Z27" i="43"/>
  <c r="N27" i="53"/>
  <c r="H31" i="53"/>
  <c r="T139" i="36"/>
  <c r="V136" i="36"/>
  <c r="P83" i="76"/>
  <c r="X28" i="76"/>
  <c r="Z28" i="76" s="1"/>
  <c r="D88" i="106"/>
  <c r="L23" i="106"/>
  <c r="N23" i="106" s="1"/>
  <c r="Z27" i="20"/>
  <c r="T31" i="20"/>
  <c r="Z27" i="8"/>
  <c r="T31" i="8"/>
  <c r="X27" i="46"/>
  <c r="P31" i="46"/>
  <c r="T77" i="89"/>
  <c r="Z73" i="89"/>
  <c r="L27" i="40"/>
  <c r="D31" i="40"/>
  <c r="P94" i="33"/>
  <c r="X35" i="33"/>
  <c r="Z35" i="33" s="1"/>
  <c r="D87" i="104"/>
  <c r="L23" i="104"/>
  <c r="N23" i="104" s="1"/>
  <c r="L106" i="64"/>
  <c r="D109" i="64"/>
  <c r="L109" i="64" s="1"/>
  <c r="X27" i="14"/>
  <c r="P31" i="14"/>
  <c r="P31" i="25"/>
  <c r="X27" i="25"/>
  <c r="R46" i="51"/>
  <c r="T101" i="69"/>
  <c r="V97" i="69"/>
  <c r="T90" i="92"/>
  <c r="X90" i="92" s="1"/>
  <c r="Z86" i="92"/>
  <c r="X82" i="108"/>
  <c r="Z82" i="108" s="1"/>
  <c r="P86" i="108"/>
  <c r="R82" i="108"/>
  <c r="F155" i="3"/>
  <c r="Z27" i="34"/>
  <c r="T31" i="34"/>
  <c r="D99" i="77"/>
  <c r="L95" i="77"/>
  <c r="N95" i="77" s="1"/>
  <c r="F95" i="77"/>
  <c r="H98" i="88"/>
  <c r="J95" i="88"/>
  <c r="X27" i="10"/>
  <c r="P31" i="10"/>
  <c r="T111" i="27"/>
  <c r="V107" i="27"/>
  <c r="X142" i="18"/>
  <c r="Z142" i="18" s="1"/>
  <c r="P247" i="18"/>
  <c r="T65" i="68" l="1"/>
  <c r="Z31" i="52"/>
  <c r="T36" i="52"/>
  <c r="Z36" i="52" s="1"/>
  <c r="P227" i="15"/>
  <c r="X223" i="15"/>
  <c r="Z223" i="15" s="1"/>
  <c r="R223" i="15"/>
  <c r="N31" i="22"/>
  <c r="H36" i="22"/>
  <c r="N36" i="22" s="1"/>
  <c r="L31" i="46"/>
  <c r="D36" i="46"/>
  <c r="H29" i="107"/>
  <c r="N29" i="107" s="1"/>
  <c r="N26" i="107"/>
  <c r="H67" i="61"/>
  <c r="X75" i="94"/>
  <c r="P78" i="94"/>
  <c r="R75" i="94"/>
  <c r="H93" i="92"/>
  <c r="D53" i="109"/>
  <c r="L53" i="109" s="1"/>
  <c r="N53" i="109" s="1"/>
  <c r="L50" i="109"/>
  <c r="N50" i="109" s="1"/>
  <c r="H78" i="57"/>
  <c r="X61" i="79"/>
  <c r="Z61" i="79" s="1"/>
  <c r="P65" i="79"/>
  <c r="R61" i="79"/>
  <c r="X31" i="34"/>
  <c r="P36" i="34"/>
  <c r="V74" i="70"/>
  <c r="T77" i="70"/>
  <c r="X106" i="21"/>
  <c r="Z106" i="21" s="1"/>
  <c r="P110" i="21"/>
  <c r="R106" i="21"/>
  <c r="D36" i="32"/>
  <c r="L31" i="32"/>
  <c r="X81" i="102"/>
  <c r="P84" i="102"/>
  <c r="R81" i="102"/>
  <c r="P36" i="50"/>
  <c r="X31" i="50"/>
  <c r="T36" i="113"/>
  <c r="Z36" i="113" s="1"/>
  <c r="Z31" i="113"/>
  <c r="L67" i="61"/>
  <c r="L141" i="39"/>
  <c r="N141" i="39" s="1"/>
  <c r="D144" i="39"/>
  <c r="F141" i="39"/>
  <c r="D36" i="43"/>
  <c r="L31" i="43"/>
  <c r="P113" i="24"/>
  <c r="X109" i="24"/>
  <c r="Z109" i="24" s="1"/>
  <c r="R109" i="24"/>
  <c r="L31" i="113"/>
  <c r="D36" i="113"/>
  <c r="Z101" i="9"/>
  <c r="T104" i="9"/>
  <c r="L97" i="69"/>
  <c r="N97" i="69" s="1"/>
  <c r="D101" i="69"/>
  <c r="F97" i="69"/>
  <c r="H90" i="76"/>
  <c r="J87" i="76"/>
  <c r="T36" i="49"/>
  <c r="Z36" i="49" s="1"/>
  <c r="Z31" i="49"/>
  <c r="L26" i="54"/>
  <c r="D31" i="54"/>
  <c r="L31" i="54" s="1"/>
  <c r="X83" i="76"/>
  <c r="Z83" i="76" s="1"/>
  <c r="P87" i="76"/>
  <c r="R83" i="76"/>
  <c r="X99" i="77"/>
  <c r="Z99" i="77" s="1"/>
  <c r="P102" i="77"/>
  <c r="R99" i="77"/>
  <c r="T131" i="42"/>
  <c r="V128" i="42"/>
  <c r="Z31" i="44"/>
  <c r="T36" i="44"/>
  <c r="Z36" i="44" s="1"/>
  <c r="P36" i="113"/>
  <c r="X31" i="113"/>
  <c r="D36" i="26"/>
  <c r="L31" i="26"/>
  <c r="N31" i="28"/>
  <c r="H36" i="28"/>
  <c r="N36" i="28" s="1"/>
  <c r="X92" i="106"/>
  <c r="P95" i="106"/>
  <c r="R92" i="106"/>
  <c r="H36" i="31"/>
  <c r="N36" i="31" s="1"/>
  <c r="N31" i="31"/>
  <c r="P78" i="57"/>
  <c r="X75" i="57"/>
  <c r="N31" i="17"/>
  <c r="H36" i="17"/>
  <c r="N36" i="17" s="1"/>
  <c r="L31" i="41"/>
  <c r="D36" i="41"/>
  <c r="T86" i="74"/>
  <c r="V83" i="74"/>
  <c r="P117" i="75"/>
  <c r="X114" i="75"/>
  <c r="Z114" i="75" s="1"/>
  <c r="R114" i="75"/>
  <c r="P99" i="51"/>
  <c r="X95" i="51"/>
  <c r="Z95" i="51" s="1"/>
  <c r="R95" i="51"/>
  <c r="D36" i="22"/>
  <c r="L31" i="22"/>
  <c r="L31" i="5"/>
  <c r="D36" i="5"/>
  <c r="L75" i="57"/>
  <c r="N75" i="57" s="1"/>
  <c r="D78" i="57"/>
  <c r="D36" i="8"/>
  <c r="L31" i="8"/>
  <c r="D87" i="76"/>
  <c r="L83" i="76"/>
  <c r="N83" i="76" s="1"/>
  <c r="F83" i="76"/>
  <c r="L31" i="16"/>
  <c r="D36" i="16"/>
  <c r="L64" i="61"/>
  <c r="N64" i="61" s="1"/>
  <c r="D36" i="25"/>
  <c r="L31" i="25"/>
  <c r="T36" i="16"/>
  <c r="Z36" i="16" s="1"/>
  <c r="Z31" i="16"/>
  <c r="P75" i="59"/>
  <c r="X72" i="59"/>
  <c r="X95" i="88"/>
  <c r="P98" i="88"/>
  <c r="R95" i="88"/>
  <c r="H89" i="108"/>
  <c r="Z26" i="72"/>
  <c r="T29" i="72"/>
  <c r="Z29" i="72" s="1"/>
  <c r="T36" i="38"/>
  <c r="Z36" i="38" s="1"/>
  <c r="Z31" i="38"/>
  <c r="L95" i="51"/>
  <c r="N95" i="51" s="1"/>
  <c r="D99" i="51"/>
  <c r="F95" i="51"/>
  <c r="V139" i="36"/>
  <c r="X31" i="43"/>
  <c r="P36" i="43"/>
  <c r="T36" i="4"/>
  <c r="Z36" i="4" s="1"/>
  <c r="Z31" i="4"/>
  <c r="D84" i="102"/>
  <c r="L81" i="102"/>
  <c r="N81" i="102" s="1"/>
  <c r="F81" i="102"/>
  <c r="L63" i="101"/>
  <c r="N63" i="101" s="1"/>
  <c r="D66" i="101"/>
  <c r="F63" i="101"/>
  <c r="H116" i="24"/>
  <c r="J113" i="24"/>
  <c r="X60" i="105"/>
  <c r="Z60" i="105" s="1"/>
  <c r="P63" i="105"/>
  <c r="X63" i="105" s="1"/>
  <c r="Z63" i="105" s="1"/>
  <c r="V144" i="30"/>
  <c r="D35" i="83"/>
  <c r="L32" i="83"/>
  <c r="F32" i="83"/>
  <c r="N31" i="46"/>
  <c r="H36" i="46"/>
  <c r="N36" i="46" s="1"/>
  <c r="X91" i="104"/>
  <c r="P94" i="104"/>
  <c r="R91" i="104"/>
  <c r="L76" i="73"/>
  <c r="N76" i="73" s="1"/>
  <c r="D80" i="73"/>
  <c r="F76" i="73"/>
  <c r="Z75" i="57"/>
  <c r="T78" i="57"/>
  <c r="Z75" i="56"/>
  <c r="T78" i="56"/>
  <c r="J113" i="21"/>
  <c r="D144" i="30"/>
  <c r="L141" i="30"/>
  <c r="N141" i="30" s="1"/>
  <c r="F141" i="30"/>
  <c r="H101" i="33"/>
  <c r="J98" i="33"/>
  <c r="X77" i="93"/>
  <c r="Z77" i="93" s="1"/>
  <c r="P81" i="93"/>
  <c r="R77" i="93"/>
  <c r="D139" i="36"/>
  <c r="L136" i="36"/>
  <c r="F136" i="36"/>
  <c r="V93" i="98"/>
  <c r="X31" i="7"/>
  <c r="P36" i="7"/>
  <c r="H36" i="11"/>
  <c r="N36" i="11" s="1"/>
  <c r="N31" i="11"/>
  <c r="X26" i="107"/>
  <c r="P29" i="107"/>
  <c r="T122" i="85"/>
  <c r="V119" i="85"/>
  <c r="P36" i="53"/>
  <c r="X31" i="53"/>
  <c r="P36" i="44"/>
  <c r="X31" i="44"/>
  <c r="D31" i="6"/>
  <c r="L26" i="6"/>
  <c r="H139" i="36"/>
  <c r="N136" i="36"/>
  <c r="J136" i="36"/>
  <c r="N31" i="52"/>
  <c r="H36" i="52"/>
  <c r="N36" i="52" s="1"/>
  <c r="X56" i="100"/>
  <c r="Z56" i="100" s="1"/>
  <c r="P59" i="100"/>
  <c r="X59" i="100" s="1"/>
  <c r="Z59" i="100" s="1"/>
  <c r="D36" i="31"/>
  <c r="L31" i="31"/>
  <c r="Z31" i="53"/>
  <c r="T36" i="53"/>
  <c r="Z36" i="53" s="1"/>
  <c r="X31" i="14"/>
  <c r="P36" i="14"/>
  <c r="H36" i="43"/>
  <c r="N36" i="43" s="1"/>
  <c r="N31" i="43"/>
  <c r="L104" i="9"/>
  <c r="N104" i="9" s="1"/>
  <c r="P36" i="17"/>
  <c r="X31" i="17"/>
  <c r="X31" i="47"/>
  <c r="P36" i="47"/>
  <c r="P83" i="73"/>
  <c r="X80" i="73"/>
  <c r="R80" i="73"/>
  <c r="T254" i="18"/>
  <c r="V251" i="18"/>
  <c r="Z75" i="94"/>
  <c r="T78" i="94"/>
  <c r="V75" i="94"/>
  <c r="H243" i="12"/>
  <c r="J240" i="12"/>
  <c r="H83" i="80"/>
  <c r="J80" i="80"/>
  <c r="D119" i="85"/>
  <c r="L115" i="85"/>
  <c r="N115" i="85" s="1"/>
  <c r="F115" i="85"/>
  <c r="Z32" i="86"/>
  <c r="T35" i="86"/>
  <c r="V32" i="86"/>
  <c r="X93" i="96"/>
  <c r="Z93" i="96" s="1"/>
  <c r="P97" i="96"/>
  <c r="R93" i="96"/>
  <c r="N32" i="83"/>
  <c r="H35" i="83"/>
  <c r="J32" i="83"/>
  <c r="Z31" i="14"/>
  <c r="T36" i="14"/>
  <c r="Z36" i="14" s="1"/>
  <c r="P36" i="5"/>
  <c r="X31" i="5"/>
  <c r="X31" i="49"/>
  <c r="P36" i="49"/>
  <c r="H36" i="10"/>
  <c r="N36" i="10" s="1"/>
  <c r="N31" i="10"/>
  <c r="L97" i="96"/>
  <c r="D100" i="96"/>
  <c r="F97" i="96"/>
  <c r="T36" i="17"/>
  <c r="Z36" i="17" s="1"/>
  <c r="Z31" i="17"/>
  <c r="Z31" i="22"/>
  <c r="T36" i="22"/>
  <c r="Z36" i="22" s="1"/>
  <c r="X31" i="35"/>
  <c r="P36" i="35"/>
  <c r="N97" i="96"/>
  <c r="H100" i="96"/>
  <c r="J97" i="96"/>
  <c r="D36" i="13"/>
  <c r="L31" i="13"/>
  <c r="T230" i="15"/>
  <c r="V227" i="15"/>
  <c r="X29" i="72"/>
  <c r="D36" i="14"/>
  <c r="L31" i="14"/>
  <c r="V87" i="95"/>
  <c r="X106" i="64"/>
  <c r="Z106" i="64" s="1"/>
  <c r="P109" i="64"/>
  <c r="X109" i="64" s="1"/>
  <c r="Z109" i="64" s="1"/>
  <c r="P36" i="4"/>
  <c r="X31" i="4"/>
  <c r="Z31" i="35"/>
  <c r="T36" i="35"/>
  <c r="Z36" i="35" s="1"/>
  <c r="Z31" i="7"/>
  <c r="T36" i="7"/>
  <c r="Z36" i="7" s="1"/>
  <c r="D36" i="35"/>
  <c r="L31" i="35"/>
  <c r="T104" i="69"/>
  <c r="V101" i="69"/>
  <c r="X35" i="55"/>
  <c r="P38" i="55"/>
  <c r="X38" i="55" s="1"/>
  <c r="X75" i="56"/>
  <c r="P78" i="56"/>
  <c r="X78" i="56" s="1"/>
  <c r="X31" i="10"/>
  <c r="P36" i="10"/>
  <c r="T31" i="54"/>
  <c r="Z26" i="54"/>
  <c r="J76" i="110"/>
  <c r="H95" i="84"/>
  <c r="N92" i="84"/>
  <c r="J92" i="84"/>
  <c r="D68" i="103"/>
  <c r="L65" i="103"/>
  <c r="L31" i="20"/>
  <c r="D36" i="20"/>
  <c r="Z31" i="50"/>
  <c r="T36" i="50"/>
  <c r="Z36" i="50" s="1"/>
  <c r="L31" i="37"/>
  <c r="D36" i="37"/>
  <c r="Z62" i="60"/>
  <c r="T65" i="60"/>
  <c r="H59" i="100"/>
  <c r="N31" i="113"/>
  <c r="H36" i="113"/>
  <c r="N36" i="113" s="1"/>
  <c r="D93" i="92"/>
  <c r="L93" i="92" s="1"/>
  <c r="L90" i="92"/>
  <c r="N90" i="92" s="1"/>
  <c r="P36" i="26"/>
  <c r="X31" i="26"/>
  <c r="Z31" i="46"/>
  <c r="T36" i="46"/>
  <c r="Z36" i="46" s="1"/>
  <c r="T36" i="112"/>
  <c r="Z36" i="112" s="1"/>
  <c r="Z31" i="112"/>
  <c r="P92" i="84"/>
  <c r="X88" i="84"/>
  <c r="Z88" i="84" s="1"/>
  <c r="R88" i="84"/>
  <c r="X26" i="6"/>
  <c r="P31" i="6"/>
  <c r="X31" i="6" s="1"/>
  <c r="D36" i="28"/>
  <c r="L31" i="28"/>
  <c r="H36" i="16"/>
  <c r="N36" i="16" s="1"/>
  <c r="N31" i="16"/>
  <c r="H36" i="47"/>
  <c r="N36" i="47" s="1"/>
  <c r="N31" i="47"/>
  <c r="N90" i="98"/>
  <c r="H93" i="98"/>
  <c r="J90" i="98"/>
  <c r="L69" i="110"/>
  <c r="N69" i="110" s="1"/>
  <c r="D73" i="110"/>
  <c r="F69" i="110"/>
  <c r="X101" i="9"/>
  <c r="P104" i="9"/>
  <c r="X104" i="9" s="1"/>
  <c r="T117" i="75"/>
  <c r="V114" i="75"/>
  <c r="D101" i="33"/>
  <c r="L98" i="33"/>
  <c r="N98" i="33" s="1"/>
  <c r="F98" i="33"/>
  <c r="Z26" i="6"/>
  <c r="T31" i="6"/>
  <c r="T114" i="27"/>
  <c r="V111" i="27"/>
  <c r="T80" i="89"/>
  <c r="X31" i="46"/>
  <c r="P36" i="46"/>
  <c r="N31" i="53"/>
  <c r="H36" i="53"/>
  <c r="N36" i="53" s="1"/>
  <c r="D116" i="24"/>
  <c r="L113" i="24"/>
  <c r="N113" i="24" s="1"/>
  <c r="F113" i="24"/>
  <c r="T76" i="110"/>
  <c r="V73" i="110"/>
  <c r="X32" i="86"/>
  <c r="P35" i="86"/>
  <c r="R32" i="86"/>
  <c r="H36" i="25"/>
  <c r="N36" i="25" s="1"/>
  <c r="N31" i="25"/>
  <c r="J83" i="81"/>
  <c r="N62" i="60"/>
  <c r="H65" i="60"/>
  <c r="T90" i="76"/>
  <c r="V87" i="76"/>
  <c r="L29" i="99"/>
  <c r="J114" i="71"/>
  <c r="H36" i="32"/>
  <c r="N36" i="32" s="1"/>
  <c r="N31" i="32"/>
  <c r="L31" i="19"/>
  <c r="D36" i="19"/>
  <c r="D278" i="3"/>
  <c r="L274" i="3"/>
  <c r="N274" i="3" s="1"/>
  <c r="F274" i="3"/>
  <c r="D93" i="98"/>
  <c r="L90" i="98"/>
  <c r="F90" i="98"/>
  <c r="Z31" i="29"/>
  <c r="T36" i="29"/>
  <c r="Z36" i="29" s="1"/>
  <c r="T114" i="71"/>
  <c r="V111" i="71"/>
  <c r="L98" i="88"/>
  <c r="F98" i="88"/>
  <c r="X50" i="109"/>
  <c r="P53" i="109"/>
  <c r="X53" i="109" s="1"/>
  <c r="D36" i="52"/>
  <c r="L31" i="52"/>
  <c r="L35" i="55"/>
  <c r="N35" i="55" s="1"/>
  <c r="D38" i="55"/>
  <c r="J117" i="75"/>
  <c r="N31" i="14"/>
  <c r="H36" i="14"/>
  <c r="N36" i="14" s="1"/>
  <c r="Z76" i="48"/>
  <c r="V76" i="48"/>
  <c r="T68" i="79"/>
  <c r="N31" i="35"/>
  <c r="H36" i="35"/>
  <c r="N36" i="35" s="1"/>
  <c r="N31" i="111"/>
  <c r="H36" i="111"/>
  <c r="N36" i="111" s="1"/>
  <c r="Z31" i="31"/>
  <c r="T36" i="31"/>
  <c r="Z36" i="31" s="1"/>
  <c r="T36" i="25"/>
  <c r="Z36" i="25" s="1"/>
  <c r="Z31" i="25"/>
  <c r="Z81" i="102"/>
  <c r="T84" i="102"/>
  <c r="V81" i="102"/>
  <c r="Z31" i="11"/>
  <c r="T36" i="11"/>
  <c r="Z36" i="11" s="1"/>
  <c r="P36" i="41"/>
  <c r="X31" i="41"/>
  <c r="D36" i="38"/>
  <c r="L31" i="38"/>
  <c r="J94" i="104"/>
  <c r="P36" i="25"/>
  <c r="X31" i="25"/>
  <c r="N31" i="19"/>
  <c r="H36" i="19"/>
  <c r="N36" i="19" s="1"/>
  <c r="X107" i="71"/>
  <c r="Z107" i="71" s="1"/>
  <c r="P111" i="71"/>
  <c r="R107" i="71"/>
  <c r="X124" i="42"/>
  <c r="Z124" i="42" s="1"/>
  <c r="P128" i="42"/>
  <c r="R124" i="42"/>
  <c r="X137" i="39"/>
  <c r="Z137" i="39" s="1"/>
  <c r="P141" i="39"/>
  <c r="R137" i="39"/>
  <c r="X86" i="108"/>
  <c r="Z86" i="108" s="1"/>
  <c r="P89" i="108"/>
  <c r="R86" i="108"/>
  <c r="Z31" i="8"/>
  <c r="T36" i="8"/>
  <c r="Z36" i="8" s="1"/>
  <c r="N31" i="112"/>
  <c r="H36" i="112"/>
  <c r="N36" i="112" s="1"/>
  <c r="N31" i="29"/>
  <c r="H36" i="29"/>
  <c r="N36" i="29" s="1"/>
  <c r="H75" i="59"/>
  <c r="L114" i="75"/>
  <c r="N114" i="75" s="1"/>
  <c r="D117" i="75"/>
  <c r="F114" i="75"/>
  <c r="X98" i="45"/>
  <c r="Z98" i="45" s="1"/>
  <c r="P102" i="45"/>
  <c r="R98" i="45"/>
  <c r="N31" i="7"/>
  <c r="H36" i="7"/>
  <c r="N36" i="7" s="1"/>
  <c r="Z31" i="41"/>
  <c r="T36" i="41"/>
  <c r="Z36" i="41" s="1"/>
  <c r="J87" i="95"/>
  <c r="H114" i="27"/>
  <c r="J111" i="27"/>
  <c r="X31" i="8"/>
  <c r="P36" i="8"/>
  <c r="L92" i="84"/>
  <c r="D95" i="84"/>
  <c r="F92" i="84"/>
  <c r="D81" i="93"/>
  <c r="L77" i="93"/>
  <c r="N77" i="93" s="1"/>
  <c r="F77" i="93"/>
  <c r="Z31" i="32"/>
  <c r="T36" i="32"/>
  <c r="Z36" i="32" s="1"/>
  <c r="X73" i="110"/>
  <c r="Z73" i="110" s="1"/>
  <c r="P76" i="110"/>
  <c r="R73" i="110"/>
  <c r="P74" i="70"/>
  <c r="X70" i="70"/>
  <c r="Z70" i="70" s="1"/>
  <c r="R70" i="70"/>
  <c r="T144" i="39"/>
  <c r="V141" i="39"/>
  <c r="H78" i="94"/>
  <c r="J75" i="94"/>
  <c r="P93" i="98"/>
  <c r="X90" i="98"/>
  <c r="Z90" i="98" s="1"/>
  <c r="R90" i="98"/>
  <c r="P36" i="20"/>
  <c r="X31" i="20"/>
  <c r="L251" i="18"/>
  <c r="N251" i="18" s="1"/>
  <c r="D254" i="18"/>
  <c r="F251" i="18"/>
  <c r="J83" i="73"/>
  <c r="Z31" i="28"/>
  <c r="T36" i="28"/>
  <c r="Z36" i="28" s="1"/>
  <c r="N31" i="8"/>
  <c r="H36" i="8"/>
  <c r="N36" i="8" s="1"/>
  <c r="D36" i="10"/>
  <c r="L31" i="10"/>
  <c r="H230" i="15"/>
  <c r="J227" i="15"/>
  <c r="L76" i="80"/>
  <c r="N76" i="80" s="1"/>
  <c r="D80" i="80"/>
  <c r="F76" i="80"/>
  <c r="T68" i="103"/>
  <c r="X80" i="81"/>
  <c r="Z80" i="81" s="1"/>
  <c r="P83" i="81"/>
  <c r="R80" i="81"/>
  <c r="X31" i="28"/>
  <c r="P36" i="28"/>
  <c r="P83" i="74"/>
  <c r="X79" i="74"/>
  <c r="Z79" i="74" s="1"/>
  <c r="R79" i="74"/>
  <c r="P36" i="19"/>
  <c r="X31" i="19"/>
  <c r="D240" i="12"/>
  <c r="L236" i="12"/>
  <c r="N236" i="12" s="1"/>
  <c r="F236" i="12"/>
  <c r="D36" i="7"/>
  <c r="L31" i="7"/>
  <c r="Z31" i="20"/>
  <c r="T36" i="20"/>
  <c r="Z36" i="20" s="1"/>
  <c r="T36" i="43"/>
  <c r="Z36" i="43" s="1"/>
  <c r="Z31" i="43"/>
  <c r="L31" i="4"/>
  <c r="D36" i="4"/>
  <c r="L26" i="107"/>
  <c r="D29" i="107"/>
  <c r="Z35" i="55"/>
  <c r="T38" i="55"/>
  <c r="X65" i="60"/>
  <c r="P32" i="83"/>
  <c r="X28" i="83"/>
  <c r="Z28" i="83" s="1"/>
  <c r="R28" i="83"/>
  <c r="P67" i="61"/>
  <c r="X64" i="61"/>
  <c r="L84" i="95"/>
  <c r="N84" i="95" s="1"/>
  <c r="D87" i="95"/>
  <c r="F84" i="95"/>
  <c r="N31" i="38"/>
  <c r="H36" i="38"/>
  <c r="N36" i="38" s="1"/>
  <c r="P240" i="12"/>
  <c r="X236" i="12"/>
  <c r="Z236" i="12" s="1"/>
  <c r="R236" i="12"/>
  <c r="P283" i="3"/>
  <c r="X278" i="3"/>
  <c r="Z278" i="3" s="1"/>
  <c r="R278" i="3"/>
  <c r="V243" i="12"/>
  <c r="X31" i="32"/>
  <c r="P36" i="32"/>
  <c r="L31" i="29"/>
  <c r="D36" i="29"/>
  <c r="J95" i="106"/>
  <c r="H36" i="44"/>
  <c r="N36" i="44" s="1"/>
  <c r="N31" i="44"/>
  <c r="T102" i="51"/>
  <c r="V99" i="51"/>
  <c r="P101" i="69"/>
  <c r="X97" i="69"/>
  <c r="Z97" i="69" s="1"/>
  <c r="R97" i="69"/>
  <c r="H38" i="55"/>
  <c r="P36" i="112"/>
  <c r="X31" i="112"/>
  <c r="N26" i="6"/>
  <c r="H31" i="6"/>
  <c r="P65" i="68"/>
  <c r="X65" i="68" s="1"/>
  <c r="X62" i="68"/>
  <c r="Z62" i="68" s="1"/>
  <c r="V83" i="81"/>
  <c r="P87" i="95"/>
  <c r="X84" i="95"/>
  <c r="Z84" i="95" s="1"/>
  <c r="R84" i="95"/>
  <c r="N31" i="34"/>
  <c r="H36" i="34"/>
  <c r="N36" i="34" s="1"/>
  <c r="L26" i="72"/>
  <c r="D29" i="72"/>
  <c r="L29" i="72" s="1"/>
  <c r="N31" i="5"/>
  <c r="H36" i="5"/>
  <c r="N36" i="5" s="1"/>
  <c r="D75" i="59"/>
  <c r="L75" i="59" s="1"/>
  <c r="L72" i="59"/>
  <c r="N72" i="59" s="1"/>
  <c r="T94" i="104"/>
  <c r="Z91" i="104"/>
  <c r="V91" i="104"/>
  <c r="L107" i="71"/>
  <c r="N107" i="71" s="1"/>
  <c r="D111" i="71"/>
  <c r="F107" i="71"/>
  <c r="H77" i="70"/>
  <c r="J74" i="70"/>
  <c r="T95" i="106"/>
  <c r="Z92" i="106"/>
  <c r="V92" i="106"/>
  <c r="D80" i="81"/>
  <c r="L76" i="81"/>
  <c r="N76" i="81" s="1"/>
  <c r="F76" i="81"/>
  <c r="X31" i="23"/>
  <c r="P36" i="23"/>
  <c r="X31" i="38"/>
  <c r="P36" i="38"/>
  <c r="Z95" i="88"/>
  <c r="T98" i="88"/>
  <c r="V95" i="88"/>
  <c r="T89" i="108"/>
  <c r="X119" i="85"/>
  <c r="Z119" i="85" s="1"/>
  <c r="P122" i="85"/>
  <c r="R119" i="85"/>
  <c r="L65" i="60"/>
  <c r="Z31" i="111"/>
  <c r="T36" i="111"/>
  <c r="Z36" i="111" s="1"/>
  <c r="L87" i="104"/>
  <c r="N87" i="104" s="1"/>
  <c r="D91" i="104"/>
  <c r="F87" i="104"/>
  <c r="X31" i="22"/>
  <c r="P36" i="22"/>
  <c r="T53" i="109"/>
  <c r="Z50" i="109"/>
  <c r="T36" i="40"/>
  <c r="Z36" i="40" s="1"/>
  <c r="Z31" i="40"/>
  <c r="P36" i="40"/>
  <c r="X31" i="40"/>
  <c r="X31" i="29"/>
  <c r="P36" i="29"/>
  <c r="N26" i="54"/>
  <c r="H31" i="54"/>
  <c r="T66" i="101"/>
  <c r="Z31" i="10"/>
  <c r="T36" i="10"/>
  <c r="Z36" i="10" s="1"/>
  <c r="L107" i="27"/>
  <c r="N107" i="27" s="1"/>
  <c r="D111" i="27"/>
  <c r="F107" i="27"/>
  <c r="H36" i="50"/>
  <c r="N36" i="50" s="1"/>
  <c r="N31" i="50"/>
  <c r="Z31" i="37"/>
  <c r="T36" i="37"/>
  <c r="Z36" i="37" s="1"/>
  <c r="Z31" i="5"/>
  <c r="T36" i="5"/>
  <c r="Z36" i="5" s="1"/>
  <c r="T105" i="45"/>
  <c r="V102" i="45"/>
  <c r="X31" i="13"/>
  <c r="P36" i="13"/>
  <c r="T35" i="83"/>
  <c r="V32" i="83"/>
  <c r="N99" i="77"/>
  <c r="H102" i="77"/>
  <c r="J99" i="77"/>
  <c r="Z31" i="13"/>
  <c r="T36" i="13"/>
  <c r="Z36" i="13" s="1"/>
  <c r="N78" i="58"/>
  <c r="H81" i="58"/>
  <c r="L81" i="58" s="1"/>
  <c r="X80" i="80"/>
  <c r="Z80" i="80" s="1"/>
  <c r="P83" i="80"/>
  <c r="R80" i="80"/>
  <c r="D78" i="94"/>
  <c r="L75" i="94"/>
  <c r="N75" i="94" s="1"/>
  <c r="F75" i="94"/>
  <c r="H36" i="13"/>
  <c r="N36" i="13" s="1"/>
  <c r="N31" i="13"/>
  <c r="P36" i="52"/>
  <c r="X31" i="52"/>
  <c r="J144" i="39"/>
  <c r="P111" i="27"/>
  <c r="X107" i="27"/>
  <c r="Z107" i="27" s="1"/>
  <c r="R107" i="27"/>
  <c r="D110" i="21"/>
  <c r="L106" i="21"/>
  <c r="N106" i="21" s="1"/>
  <c r="F106" i="21"/>
  <c r="T100" i="96"/>
  <c r="V97" i="96"/>
  <c r="L31" i="40"/>
  <c r="D36" i="40"/>
  <c r="Z26" i="99"/>
  <c r="T29" i="99"/>
  <c r="Z29" i="99" s="1"/>
  <c r="L60" i="105"/>
  <c r="N60" i="105" s="1"/>
  <c r="D63" i="105"/>
  <c r="L63" i="105" s="1"/>
  <c r="N63" i="105" s="1"/>
  <c r="N31" i="26"/>
  <c r="H36" i="26"/>
  <c r="N36" i="26" s="1"/>
  <c r="D36" i="34"/>
  <c r="L31" i="34"/>
  <c r="N98" i="88"/>
  <c r="J98" i="88"/>
  <c r="P63" i="101"/>
  <c r="X59" i="101"/>
  <c r="Z59" i="101" s="1"/>
  <c r="R59" i="101"/>
  <c r="N31" i="23"/>
  <c r="H36" i="23"/>
  <c r="N36" i="23" s="1"/>
  <c r="L31" i="47"/>
  <c r="D36" i="47"/>
  <c r="N31" i="4"/>
  <c r="H36" i="4"/>
  <c r="N36" i="4" s="1"/>
  <c r="Z72" i="59"/>
  <c r="T75" i="59"/>
  <c r="T101" i="33"/>
  <c r="V98" i="33"/>
  <c r="Z31" i="47"/>
  <c r="T36" i="47"/>
  <c r="Z36" i="47" s="1"/>
  <c r="D36" i="50"/>
  <c r="L31" i="50"/>
  <c r="D65" i="68"/>
  <c r="L65" i="68" s="1"/>
  <c r="N65" i="68" s="1"/>
  <c r="L62" i="68"/>
  <c r="N62" i="68" s="1"/>
  <c r="J76" i="48"/>
  <c r="P141" i="30"/>
  <c r="X137" i="30"/>
  <c r="Z137" i="30" s="1"/>
  <c r="R137" i="30"/>
  <c r="P36" i="16"/>
  <c r="X31" i="16"/>
  <c r="H36" i="37"/>
  <c r="N36" i="37" s="1"/>
  <c r="N31" i="37"/>
  <c r="H254" i="18"/>
  <c r="J251" i="18"/>
  <c r="T67" i="61"/>
  <c r="Z64" i="61"/>
  <c r="N31" i="41"/>
  <c r="H36" i="41"/>
  <c r="N36" i="41" s="1"/>
  <c r="L105" i="45"/>
  <c r="N105" i="45" s="1"/>
  <c r="F105" i="45"/>
  <c r="L31" i="111"/>
  <c r="D36" i="111"/>
  <c r="H84" i="93"/>
  <c r="J81" i="93"/>
  <c r="T36" i="19"/>
  <c r="Z36" i="19" s="1"/>
  <c r="Z31" i="19"/>
  <c r="D68" i="79"/>
  <c r="L65" i="79"/>
  <c r="F65" i="79"/>
  <c r="J102" i="51"/>
  <c r="L75" i="56"/>
  <c r="N75" i="56" s="1"/>
  <c r="D78" i="56"/>
  <c r="L78" i="56" s="1"/>
  <c r="N78" i="56" s="1"/>
  <c r="Z80" i="73"/>
  <c r="T83" i="73"/>
  <c r="V80" i="73"/>
  <c r="X31" i="31"/>
  <c r="P36" i="31"/>
  <c r="L69" i="48"/>
  <c r="N69" i="48" s="1"/>
  <c r="D73" i="48"/>
  <c r="F69" i="48"/>
  <c r="X77" i="89"/>
  <c r="Z77" i="89" s="1"/>
  <c r="P80" i="89"/>
  <c r="X80" i="89" s="1"/>
  <c r="T95" i="84"/>
  <c r="V92" i="84"/>
  <c r="V84" i="93"/>
  <c r="Z31" i="34"/>
  <c r="T36" i="34"/>
  <c r="Z36" i="34" s="1"/>
  <c r="X65" i="103"/>
  <c r="Z65" i="103" s="1"/>
  <c r="P68" i="103"/>
  <c r="D227" i="15"/>
  <c r="L223" i="15"/>
  <c r="N223" i="15" s="1"/>
  <c r="F223" i="15"/>
  <c r="V113" i="21"/>
  <c r="N31" i="40"/>
  <c r="H36" i="40"/>
  <c r="N36" i="40" s="1"/>
  <c r="T93" i="92"/>
  <c r="X93" i="92" s="1"/>
  <c r="Z90" i="92"/>
  <c r="D89" i="108"/>
  <c r="L86" i="108"/>
  <c r="N86" i="108" s="1"/>
  <c r="F86" i="108"/>
  <c r="X247" i="18"/>
  <c r="Z247" i="18" s="1"/>
  <c r="P251" i="18"/>
  <c r="R247" i="18"/>
  <c r="D102" i="77"/>
  <c r="L99" i="77"/>
  <c r="F99" i="77"/>
  <c r="P98" i="33"/>
  <c r="X94" i="33"/>
  <c r="Z94" i="33" s="1"/>
  <c r="R94" i="33"/>
  <c r="L88" i="106"/>
  <c r="N88" i="106" s="1"/>
  <c r="D92" i="106"/>
  <c r="F88" i="106"/>
  <c r="H36" i="49"/>
  <c r="N36" i="49" s="1"/>
  <c r="N31" i="49"/>
  <c r="N65" i="103"/>
  <c r="H68" i="103"/>
  <c r="J141" i="30"/>
  <c r="H144" i="30"/>
  <c r="D83" i="74"/>
  <c r="L79" i="74"/>
  <c r="N79" i="74" s="1"/>
  <c r="F79" i="74"/>
  <c r="N77" i="89"/>
  <c r="H80" i="89"/>
  <c r="L77" i="89"/>
  <c r="H122" i="85"/>
  <c r="J119" i="85"/>
  <c r="X31" i="11"/>
  <c r="P36" i="11"/>
  <c r="J131" i="42"/>
  <c r="Z26" i="107"/>
  <c r="T29" i="107"/>
  <c r="Z29" i="107" s="1"/>
  <c r="T36" i="26"/>
  <c r="Z36" i="26" s="1"/>
  <c r="Z31" i="26"/>
  <c r="D36" i="17"/>
  <c r="L31" i="17"/>
  <c r="X132" i="36"/>
  <c r="Z132" i="36" s="1"/>
  <c r="P136" i="36"/>
  <c r="R132" i="36"/>
  <c r="D128" i="42"/>
  <c r="L124" i="42"/>
  <c r="N124" i="42" s="1"/>
  <c r="F124" i="42"/>
  <c r="X31" i="111"/>
  <c r="P36" i="111"/>
  <c r="N31" i="20"/>
  <c r="H36" i="20"/>
  <c r="N36" i="20" s="1"/>
  <c r="Z31" i="23"/>
  <c r="T36" i="23"/>
  <c r="Z36" i="23" s="1"/>
  <c r="H283" i="3"/>
  <c r="J278" i="3"/>
  <c r="L31" i="23"/>
  <c r="D36" i="23"/>
  <c r="X26" i="54"/>
  <c r="P31" i="54"/>
  <c r="X31" i="54" s="1"/>
  <c r="X31" i="37"/>
  <c r="P36" i="37"/>
  <c r="L74" i="70"/>
  <c r="N74" i="70" s="1"/>
  <c r="D77" i="70"/>
  <c r="F74" i="70"/>
  <c r="D35" i="86"/>
  <c r="L32" i="86"/>
  <c r="N32" i="86" s="1"/>
  <c r="F32" i="86"/>
  <c r="D59" i="100"/>
  <c r="L59" i="100" s="1"/>
  <c r="L56" i="100"/>
  <c r="N56" i="100" s="1"/>
  <c r="D36" i="49"/>
  <c r="L31" i="49"/>
  <c r="V83" i="80"/>
  <c r="D36" i="112"/>
  <c r="L31" i="112"/>
  <c r="D36" i="11"/>
  <c r="L31" i="11"/>
  <c r="V283" i="3"/>
  <c r="D36" i="44"/>
  <c r="L31" i="44"/>
  <c r="L31" i="53"/>
  <c r="D36" i="53"/>
  <c r="H104" i="69"/>
  <c r="J101" i="69"/>
  <c r="H68" i="79"/>
  <c r="N65" i="79"/>
  <c r="N109" i="64"/>
  <c r="X36" i="25" l="1"/>
  <c r="X36" i="112"/>
  <c r="X36" i="37"/>
  <c r="X36" i="22"/>
  <c r="L36" i="31"/>
  <c r="L36" i="22"/>
  <c r="L36" i="52"/>
  <c r="X36" i="4"/>
  <c r="L36" i="44"/>
  <c r="L36" i="10"/>
  <c r="L36" i="11"/>
  <c r="L36" i="17"/>
  <c r="X36" i="13"/>
  <c r="X36" i="28"/>
  <c r="L36" i="46"/>
  <c r="L36" i="23"/>
  <c r="L36" i="111"/>
  <c r="X36" i="41"/>
  <c r="L36" i="113"/>
  <c r="X36" i="5"/>
  <c r="L36" i="5"/>
  <c r="X36" i="52"/>
  <c r="L36" i="38"/>
  <c r="L36" i="16"/>
  <c r="L36" i="34"/>
  <c r="L36" i="7"/>
  <c r="L36" i="37"/>
  <c r="L36" i="112"/>
  <c r="X36" i="32"/>
  <c r="X36" i="111"/>
  <c r="X36" i="31"/>
  <c r="L36" i="50"/>
  <c r="X36" i="46"/>
  <c r="X36" i="47"/>
  <c r="X36" i="50"/>
  <c r="L36" i="53"/>
  <c r="L36" i="28"/>
  <c r="X36" i="53"/>
  <c r="X110" i="21"/>
  <c r="Z110" i="21" s="1"/>
  <c r="P113" i="21"/>
  <c r="R110" i="21"/>
  <c r="L77" i="70"/>
  <c r="F77" i="70"/>
  <c r="V95" i="84"/>
  <c r="Z83" i="73"/>
  <c r="V83" i="73"/>
  <c r="J84" i="93"/>
  <c r="Z53" i="109"/>
  <c r="D83" i="81"/>
  <c r="L80" i="81"/>
  <c r="N80" i="81" s="1"/>
  <c r="F80" i="81"/>
  <c r="V94" i="104"/>
  <c r="L36" i="29"/>
  <c r="Z38" i="55"/>
  <c r="N75" i="59"/>
  <c r="P144" i="39"/>
  <c r="X141" i="39"/>
  <c r="Z141" i="39" s="1"/>
  <c r="R141" i="39"/>
  <c r="X35" i="86"/>
  <c r="R35" i="86"/>
  <c r="Z80" i="89"/>
  <c r="J95" i="84"/>
  <c r="L144" i="30"/>
  <c r="F144" i="30"/>
  <c r="L36" i="25"/>
  <c r="X95" i="106"/>
  <c r="Z95" i="106" s="1"/>
  <c r="R95" i="106"/>
  <c r="V230" i="15"/>
  <c r="V105" i="45"/>
  <c r="X83" i="81"/>
  <c r="Z83" i="81" s="1"/>
  <c r="R83" i="81"/>
  <c r="N80" i="89"/>
  <c r="L80" i="89"/>
  <c r="L102" i="77"/>
  <c r="F102" i="77"/>
  <c r="X87" i="95"/>
  <c r="Z87" i="95" s="1"/>
  <c r="R87" i="95"/>
  <c r="X36" i="20"/>
  <c r="L81" i="93"/>
  <c r="N81" i="93" s="1"/>
  <c r="D84" i="93"/>
  <c r="F81" i="93"/>
  <c r="V84" i="102"/>
  <c r="X36" i="26"/>
  <c r="L36" i="13"/>
  <c r="L100" i="96"/>
  <c r="N100" i="96" s="1"/>
  <c r="F100" i="96"/>
  <c r="X36" i="17"/>
  <c r="V122" i="85"/>
  <c r="X94" i="104"/>
  <c r="Z94" i="104" s="1"/>
  <c r="R94" i="104"/>
  <c r="V86" i="74"/>
  <c r="V77" i="70"/>
  <c r="N93" i="92"/>
  <c r="P101" i="33"/>
  <c r="X98" i="33"/>
  <c r="Z98" i="33" s="1"/>
  <c r="R98" i="33"/>
  <c r="L254" i="18"/>
  <c r="F254" i="18"/>
  <c r="D113" i="21"/>
  <c r="L110" i="21"/>
  <c r="N110" i="21" s="1"/>
  <c r="F110" i="21"/>
  <c r="L29" i="107"/>
  <c r="D243" i="12"/>
  <c r="L240" i="12"/>
  <c r="N240" i="12" s="1"/>
  <c r="F240" i="12"/>
  <c r="Z68" i="103"/>
  <c r="L36" i="20"/>
  <c r="J35" i="83"/>
  <c r="D122" i="85"/>
  <c r="L119" i="85"/>
  <c r="N119" i="85" s="1"/>
  <c r="F119" i="85"/>
  <c r="V78" i="94"/>
  <c r="X36" i="43"/>
  <c r="V131" i="42"/>
  <c r="N254" i="18"/>
  <c r="J254" i="18"/>
  <c r="Z117" i="75"/>
  <c r="V117" i="75"/>
  <c r="X117" i="75"/>
  <c r="R117" i="75"/>
  <c r="N102" i="77"/>
  <c r="J102" i="77"/>
  <c r="N31" i="54"/>
  <c r="V95" i="106"/>
  <c r="X74" i="70"/>
  <c r="Z74" i="70" s="1"/>
  <c r="P77" i="70"/>
  <c r="R74" i="70"/>
  <c r="L95" i="84"/>
  <c r="N95" i="84" s="1"/>
  <c r="F95" i="84"/>
  <c r="L93" i="98"/>
  <c r="F93" i="98"/>
  <c r="V90" i="76"/>
  <c r="Z76" i="110"/>
  <c r="V76" i="110"/>
  <c r="V114" i="27"/>
  <c r="J100" i="96"/>
  <c r="X29" i="107"/>
  <c r="L139" i="36"/>
  <c r="F139" i="36"/>
  <c r="N89" i="108"/>
  <c r="L36" i="41"/>
  <c r="P116" i="24"/>
  <c r="X113" i="24"/>
  <c r="Z113" i="24" s="1"/>
  <c r="R113" i="24"/>
  <c r="X84" i="102"/>
  <c r="Z84" i="102" s="1"/>
  <c r="R84" i="102"/>
  <c r="J122" i="85"/>
  <c r="X122" i="85"/>
  <c r="Z122" i="85" s="1"/>
  <c r="R122" i="85"/>
  <c r="J230" i="15"/>
  <c r="P254" i="18"/>
  <c r="X251" i="18"/>
  <c r="Z251" i="18" s="1"/>
  <c r="R251" i="18"/>
  <c r="D230" i="15"/>
  <c r="L227" i="15"/>
  <c r="N227" i="15" s="1"/>
  <c r="F227" i="15"/>
  <c r="L78" i="94"/>
  <c r="F78" i="94"/>
  <c r="L91" i="104"/>
  <c r="N91" i="104" s="1"/>
  <c r="D94" i="104"/>
  <c r="F91" i="104"/>
  <c r="X101" i="69"/>
  <c r="Z101" i="69" s="1"/>
  <c r="P104" i="69"/>
  <c r="R101" i="69"/>
  <c r="L87" i="95"/>
  <c r="N87" i="95" s="1"/>
  <c r="F87" i="95"/>
  <c r="L36" i="4"/>
  <c r="X36" i="19"/>
  <c r="X93" i="98"/>
  <c r="Z93" i="98" s="1"/>
  <c r="R93" i="98"/>
  <c r="D76" i="110"/>
  <c r="L73" i="110"/>
  <c r="N73" i="110" s="1"/>
  <c r="F73" i="110"/>
  <c r="V104" i="69"/>
  <c r="N116" i="24"/>
  <c r="J116" i="24"/>
  <c r="X36" i="34"/>
  <c r="X36" i="16"/>
  <c r="Z98" i="88"/>
  <c r="V98" i="88"/>
  <c r="L36" i="49"/>
  <c r="L83" i="74"/>
  <c r="N83" i="74" s="1"/>
  <c r="D86" i="74"/>
  <c r="F83" i="74"/>
  <c r="X68" i="103"/>
  <c r="V101" i="33"/>
  <c r="L36" i="40"/>
  <c r="X111" i="27"/>
  <c r="Z111" i="27" s="1"/>
  <c r="P114" i="27"/>
  <c r="R111" i="27"/>
  <c r="X36" i="29"/>
  <c r="N77" i="70"/>
  <c r="J77" i="70"/>
  <c r="X76" i="110"/>
  <c r="R76" i="110"/>
  <c r="X36" i="8"/>
  <c r="P131" i="42"/>
  <c r="X128" i="42"/>
  <c r="Z128" i="42" s="1"/>
  <c r="R128" i="42"/>
  <c r="N65" i="60"/>
  <c r="Z31" i="6"/>
  <c r="L68" i="103"/>
  <c r="N68" i="103" s="1"/>
  <c r="X36" i="35"/>
  <c r="X36" i="49"/>
  <c r="J83" i="80"/>
  <c r="V254" i="18"/>
  <c r="X36" i="14"/>
  <c r="N139" i="36"/>
  <c r="J139" i="36"/>
  <c r="X81" i="93"/>
  <c r="Z81" i="93" s="1"/>
  <c r="P84" i="93"/>
  <c r="R81" i="93"/>
  <c r="Z78" i="56"/>
  <c r="X98" i="88"/>
  <c r="R98" i="88"/>
  <c r="X102" i="77"/>
  <c r="Z102" i="77" s="1"/>
  <c r="R102" i="77"/>
  <c r="J90" i="76"/>
  <c r="L36" i="43"/>
  <c r="X78" i="94"/>
  <c r="Z78" i="94" s="1"/>
  <c r="R78" i="94"/>
  <c r="X227" i="15"/>
  <c r="Z227" i="15" s="1"/>
  <c r="P230" i="15"/>
  <c r="R227" i="15"/>
  <c r="L35" i="86"/>
  <c r="N35" i="86" s="1"/>
  <c r="F35" i="86"/>
  <c r="P35" i="83"/>
  <c r="X32" i="83"/>
  <c r="Z32" i="83" s="1"/>
  <c r="R32" i="83"/>
  <c r="Z35" i="86"/>
  <c r="V35" i="86"/>
  <c r="J104" i="69"/>
  <c r="L36" i="47"/>
  <c r="X240" i="12"/>
  <c r="Z240" i="12" s="1"/>
  <c r="P243" i="12"/>
  <c r="R240" i="12"/>
  <c r="L92" i="106"/>
  <c r="N92" i="106" s="1"/>
  <c r="D95" i="106"/>
  <c r="F92" i="106"/>
  <c r="P66" i="101"/>
  <c r="X63" i="101"/>
  <c r="Z63" i="101" s="1"/>
  <c r="R63" i="101"/>
  <c r="X36" i="38"/>
  <c r="V102" i="51"/>
  <c r="L80" i="80"/>
  <c r="N80" i="80" s="1"/>
  <c r="D83" i="80"/>
  <c r="F80" i="80"/>
  <c r="N78" i="94"/>
  <c r="J78" i="94"/>
  <c r="L278" i="3"/>
  <c r="N278" i="3" s="1"/>
  <c r="D283" i="3"/>
  <c r="F278" i="3"/>
  <c r="N59" i="100"/>
  <c r="Z31" i="54"/>
  <c r="D90" i="76"/>
  <c r="L87" i="76"/>
  <c r="N87" i="76" s="1"/>
  <c r="F87" i="76"/>
  <c r="L36" i="26"/>
  <c r="L80" i="73"/>
  <c r="N80" i="73" s="1"/>
  <c r="D83" i="73"/>
  <c r="F80" i="73"/>
  <c r="L84" i="102"/>
  <c r="N84" i="102" s="1"/>
  <c r="F84" i="102"/>
  <c r="D131" i="42"/>
  <c r="L128" i="42"/>
  <c r="N128" i="42" s="1"/>
  <c r="F128" i="42"/>
  <c r="X36" i="11"/>
  <c r="L89" i="108"/>
  <c r="F89" i="108"/>
  <c r="D76" i="48"/>
  <c r="L73" i="48"/>
  <c r="N73" i="48" s="1"/>
  <c r="F73" i="48"/>
  <c r="X141" i="30"/>
  <c r="Z141" i="30" s="1"/>
  <c r="P144" i="30"/>
  <c r="R141" i="30"/>
  <c r="V35" i="83"/>
  <c r="X67" i="61"/>
  <c r="Z67" i="61" s="1"/>
  <c r="P86" i="74"/>
  <c r="X83" i="74"/>
  <c r="Z83" i="74" s="1"/>
  <c r="R83" i="74"/>
  <c r="X102" i="45"/>
  <c r="Z102" i="45" s="1"/>
  <c r="P105" i="45"/>
  <c r="R102" i="45"/>
  <c r="L36" i="19"/>
  <c r="L116" i="24"/>
  <c r="F116" i="24"/>
  <c r="N93" i="98"/>
  <c r="J93" i="98"/>
  <c r="P95" i="84"/>
  <c r="X92" i="84"/>
  <c r="Z92" i="84" s="1"/>
  <c r="R92" i="84"/>
  <c r="X36" i="10"/>
  <c r="L36" i="35"/>
  <c r="L36" i="14"/>
  <c r="X29" i="99"/>
  <c r="X97" i="96"/>
  <c r="Z97" i="96" s="1"/>
  <c r="P100" i="96"/>
  <c r="R97" i="96"/>
  <c r="L31" i="6"/>
  <c r="Z78" i="57"/>
  <c r="L35" i="83"/>
  <c r="N35" i="83" s="1"/>
  <c r="F35" i="83"/>
  <c r="L66" i="101"/>
  <c r="N66" i="101" s="1"/>
  <c r="F66" i="101"/>
  <c r="D104" i="69"/>
  <c r="L101" i="69"/>
  <c r="N101" i="69" s="1"/>
  <c r="F101" i="69"/>
  <c r="L144" i="39"/>
  <c r="N144" i="39" s="1"/>
  <c r="F144" i="39"/>
  <c r="X65" i="79"/>
  <c r="Z65" i="79" s="1"/>
  <c r="P68" i="79"/>
  <c r="R65" i="79"/>
  <c r="N67" i="61"/>
  <c r="L117" i="75"/>
  <c r="N117" i="75" s="1"/>
  <c r="F117" i="75"/>
  <c r="L68" i="79"/>
  <c r="F68" i="79"/>
  <c r="V100" i="96"/>
  <c r="X83" i="80"/>
  <c r="Z83" i="80" s="1"/>
  <c r="R83" i="80"/>
  <c r="L111" i="27"/>
  <c r="N111" i="27" s="1"/>
  <c r="D114" i="27"/>
  <c r="F111" i="27"/>
  <c r="X36" i="40"/>
  <c r="X36" i="23"/>
  <c r="D114" i="71"/>
  <c r="L111" i="71"/>
  <c r="N111" i="71" s="1"/>
  <c r="F111" i="71"/>
  <c r="N31" i="6"/>
  <c r="X283" i="3"/>
  <c r="Z283" i="3" s="1"/>
  <c r="R283" i="3"/>
  <c r="J114" i="27"/>
  <c r="X111" i="71"/>
  <c r="Z111" i="71" s="1"/>
  <c r="P114" i="71"/>
  <c r="R111" i="71"/>
  <c r="L38" i="55"/>
  <c r="N38" i="55" s="1"/>
  <c r="Z65" i="60"/>
  <c r="N101" i="33"/>
  <c r="J101" i="33"/>
  <c r="L99" i="51"/>
  <c r="N99" i="51" s="1"/>
  <c r="D102" i="51"/>
  <c r="F99" i="51"/>
  <c r="X75" i="59"/>
  <c r="Z75" i="59" s="1"/>
  <c r="L36" i="8"/>
  <c r="P102" i="51"/>
  <c r="X99" i="51"/>
  <c r="Z99" i="51" s="1"/>
  <c r="R99" i="51"/>
  <c r="X78" i="57"/>
  <c r="X36" i="113"/>
  <c r="N81" i="58"/>
  <c r="N68" i="79"/>
  <c r="J283" i="3"/>
  <c r="X136" i="36"/>
  <c r="Z136" i="36" s="1"/>
  <c r="P139" i="36"/>
  <c r="R136" i="36"/>
  <c r="N144" i="30"/>
  <c r="J144" i="30"/>
  <c r="Z93" i="92"/>
  <c r="V144" i="39"/>
  <c r="X89" i="108"/>
  <c r="Z89" i="108" s="1"/>
  <c r="R89" i="108"/>
  <c r="V114" i="71"/>
  <c r="L101" i="33"/>
  <c r="F101" i="33"/>
  <c r="J243" i="12"/>
  <c r="X83" i="73"/>
  <c r="R83" i="73"/>
  <c r="X36" i="44"/>
  <c r="X36" i="7"/>
  <c r="L78" i="57"/>
  <c r="N78" i="57" s="1"/>
  <c r="X87" i="76"/>
  <c r="Z87" i="76" s="1"/>
  <c r="P90" i="76"/>
  <c r="R87" i="76"/>
  <c r="Z104" i="9"/>
  <c r="L36" i="32"/>
  <c r="Z65" i="68"/>
  <c r="X139" i="36" l="1"/>
  <c r="Z139" i="36" s="1"/>
  <c r="R139" i="36"/>
  <c r="L131" i="42"/>
  <c r="N131" i="42" s="1"/>
  <c r="F131" i="42"/>
  <c r="X100" i="96"/>
  <c r="Z100" i="96" s="1"/>
  <c r="R100" i="96"/>
  <c r="L283" i="3"/>
  <c r="N283" i="3" s="1"/>
  <c r="F283" i="3"/>
  <c r="X66" i="101"/>
  <c r="Z66" i="101" s="1"/>
  <c r="R66" i="101"/>
  <c r="X114" i="27"/>
  <c r="Z114" i="27" s="1"/>
  <c r="R114" i="27"/>
  <c r="X90" i="76"/>
  <c r="Z90" i="76" s="1"/>
  <c r="R90" i="76"/>
  <c r="L102" i="51"/>
  <c r="N102" i="51" s="1"/>
  <c r="F102" i="51"/>
  <c r="X144" i="30"/>
  <c r="Z144" i="30" s="1"/>
  <c r="R144" i="30"/>
  <c r="L230" i="15"/>
  <c r="N230" i="15" s="1"/>
  <c r="F230" i="15"/>
  <c r="L243" i="12"/>
  <c r="N243" i="12" s="1"/>
  <c r="F243" i="12"/>
  <c r="X101" i="33"/>
  <c r="Z101" i="33" s="1"/>
  <c r="R101" i="33"/>
  <c r="X105" i="45"/>
  <c r="Z105" i="45" s="1"/>
  <c r="R105" i="45"/>
  <c r="X35" i="83"/>
  <c r="Z35" i="83" s="1"/>
  <c r="R35" i="83"/>
  <c r="X116" i="24"/>
  <c r="Z116" i="24" s="1"/>
  <c r="R116" i="24"/>
  <c r="X144" i="39"/>
  <c r="Z144" i="39" s="1"/>
  <c r="R144" i="39"/>
  <c r="L104" i="69"/>
  <c r="N104" i="69" s="1"/>
  <c r="F104" i="69"/>
  <c r="X131" i="42"/>
  <c r="Z131" i="42" s="1"/>
  <c r="R131" i="42"/>
  <c r="X104" i="69"/>
  <c r="Z104" i="69" s="1"/>
  <c r="R104" i="69"/>
  <c r="X254" i="18"/>
  <c r="Z254" i="18" s="1"/>
  <c r="R254" i="18"/>
  <c r="L95" i="106"/>
  <c r="N95" i="106" s="1"/>
  <c r="F95" i="106"/>
  <c r="L83" i="80"/>
  <c r="N83" i="80" s="1"/>
  <c r="F83" i="80"/>
  <c r="L76" i="48"/>
  <c r="N76" i="48" s="1"/>
  <c r="F76" i="48"/>
  <c r="L83" i="73"/>
  <c r="N83" i="73" s="1"/>
  <c r="F83" i="73"/>
  <c r="L114" i="71"/>
  <c r="N114" i="71" s="1"/>
  <c r="F114" i="71"/>
  <c r="X243" i="12"/>
  <c r="Z243" i="12" s="1"/>
  <c r="R243" i="12"/>
  <c r="L122" i="85"/>
  <c r="N122" i="85" s="1"/>
  <c r="F122" i="85"/>
  <c r="X86" i="74"/>
  <c r="Z86" i="74" s="1"/>
  <c r="R86" i="74"/>
  <c r="X230" i="15"/>
  <c r="Z230" i="15" s="1"/>
  <c r="R230" i="15"/>
  <c r="L86" i="74"/>
  <c r="N86" i="74" s="1"/>
  <c r="F86" i="74"/>
  <c r="L94" i="104"/>
  <c r="N94" i="104" s="1"/>
  <c r="F94" i="104"/>
  <c r="X114" i="71"/>
  <c r="Z114" i="71" s="1"/>
  <c r="R114" i="71"/>
  <c r="X95" i="84"/>
  <c r="Z95" i="84" s="1"/>
  <c r="R95" i="84"/>
  <c r="L90" i="76"/>
  <c r="N90" i="76" s="1"/>
  <c r="F90" i="76"/>
  <c r="L76" i="110"/>
  <c r="N76" i="110" s="1"/>
  <c r="F76" i="110"/>
  <c r="L113" i="21"/>
  <c r="N113" i="21" s="1"/>
  <c r="F113" i="21"/>
  <c r="L114" i="27"/>
  <c r="N114" i="27" s="1"/>
  <c r="F114" i="27"/>
  <c r="X68" i="79"/>
  <c r="Z68" i="79" s="1"/>
  <c r="R68" i="79"/>
  <c r="X84" i="93"/>
  <c r="Z84" i="93" s="1"/>
  <c r="R84" i="93"/>
  <c r="X77" i="70"/>
  <c r="Z77" i="70" s="1"/>
  <c r="R77" i="70"/>
  <c r="L84" i="93"/>
  <c r="N84" i="93" s="1"/>
  <c r="F84" i="93"/>
  <c r="X113" i="21"/>
  <c r="Z113" i="21" s="1"/>
  <c r="R113" i="21"/>
  <c r="X102" i="51"/>
  <c r="Z102" i="51" s="1"/>
  <c r="R102" i="51"/>
  <c r="L83" i="81"/>
  <c r="N83" i="81" s="1"/>
  <c r="F83" i="81"/>
</calcChain>
</file>

<file path=xl/sharedStrings.xml><?xml version="1.0" encoding="utf-8"?>
<sst xmlns="http://schemas.openxmlformats.org/spreadsheetml/2006/main" count="2974" uniqueCount="315">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</sst>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1" fillId="0" borderId="0" xfId="3" applyNumberFormat="1" applyFont="1" applyFill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0" fillId="0" borderId="0" xfId="0" applyNumberFormat="1" applyFill="1"/>
    <xf numFmtId="167" fontId="0" fillId="0" borderId="0" xfId="3" applyNumberFormat="1" applyFont="1" applyAlignment="1">
      <alignment horizontal="centerContinuous"/>
    </xf>
    <xf numFmtId="167" fontId="0" fillId="0" borderId="0" xfId="3" applyNumberFormat="1" applyFont="1"/>
    <xf numFmtId="0" fontId="2" fillId="2" borderId="1" xfId="0" applyNumberFormat="1" applyFont="1" applyFill="1" applyBorder="1" applyAlignment="1">
      <alignment horizontal="center"/>
    </xf>
    <xf numFmtId="49" fontId="1" fillId="0" borderId="0" xfId="0" applyNumberFormat="1" applyFont="1" applyFill="1"/>
    <xf numFmtId="49" fontId="2" fillId="0" borderId="0" xfId="0" applyNumberFormat="1" applyFont="1" applyFill="1"/>
    <xf numFmtId="0" fontId="3" fillId="0" borderId="0" xfId="0" applyFont="1"/>
    <xf numFmtId="165" fontId="0" fillId="0" borderId="0" xfId="0" applyNumberFormat="1"/>
    <xf numFmtId="164" fontId="2" fillId="0" borderId="0" xfId="1" applyNumberFormat="1" applyFont="1" applyFill="1" applyAlignment="1">
      <alignment horizontal="centerContinuous"/>
    </xf>
    <xf numFmtId="0" fontId="4" fillId="0" borderId="0" xfId="0" applyFont="1" applyAlignment="1">
      <alignment horizontal="left"/>
    </xf>
    <xf numFmtId="0" fontId="0" fillId="0" borderId="0" xfId="0" applyBorder="1"/>
    <xf numFmtId="0" fontId="5" fillId="0" borderId="0" xfId="0" applyFont="1" applyFill="1"/>
    <xf numFmtId="0" fontId="2" fillId="0" borderId="0" xfId="0" applyFont="1" applyFill="1" applyBorder="1"/>
    <xf numFmtId="0" fontId="0" fillId="0" borderId="0" xfId="0" applyFill="1" applyAlignment="1">
      <alignment horizontal="centerContinuous"/>
    </xf>
    <xf numFmtId="166" fontId="4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306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306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7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304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304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305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305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88"/>
  <sheetViews>
    <sheetView tabSelected="1" zoomScale="80" workbookViewId="0">
      <pane xSplit="3" ySplit="10" topLeftCell="D107" activePane="bottomRight" state="frozen"/>
      <selection pane="topRight" activeCell="D1" sqref="D1"/>
      <selection pane="bottomLeft" activeCell="A11" sqref="A11"/>
      <selection pane="bottomRight" activeCell="D213" sqref="D213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297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1506911.3799999997</v>
      </c>
      <c r="E12" s="4"/>
      <c r="F12" s="12"/>
      <c r="G12" s="4"/>
      <c r="H12" s="4">
        <f>SUM(OSRRefH13x_0)</f>
        <v>1640834.6158099999</v>
      </c>
      <c r="I12" s="4"/>
      <c r="J12" s="12"/>
      <c r="K12" s="4"/>
      <c r="L12" s="4">
        <f t="shared" ref="L12:L105" si="0">+D12-H12</f>
        <v>-133923.23581000022</v>
      </c>
      <c r="M12" s="4"/>
      <c r="N12" s="12">
        <f t="shared" ref="N12:N105" si="1">IF(H12=0,0,L12/H12)</f>
        <v>-8.1618972759109454E-2</v>
      </c>
      <c r="O12" s="10"/>
      <c r="P12" s="4">
        <f>SUM(OSRRefP13x_0)</f>
        <v>1506911.3799999997</v>
      </c>
      <c r="Q12" s="4"/>
      <c r="R12" s="12"/>
      <c r="S12" s="4"/>
      <c r="T12" s="4">
        <f>SUM(OSRRefT13x_0)</f>
        <v>1640834.6158099999</v>
      </c>
      <c r="U12" s="4"/>
      <c r="V12" s="12"/>
      <c r="W12" s="4"/>
      <c r="X12" s="4">
        <f t="shared" ref="X12:X105" si="2">+P12-T12</f>
        <v>-133923.23581000022</v>
      </c>
      <c r="Y12" s="4"/>
      <c r="Z12" s="12">
        <f t="shared" ref="Z12:Z105" si="3">IF(T12=0,0,X12/T12)</f>
        <v>-8.1618972759109454E-2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791345.61580999999</v>
      </c>
      <c r="I13" s="2"/>
      <c r="J13" s="22"/>
      <c r="K13" s="2"/>
      <c r="L13" s="2">
        <f t="shared" si="0"/>
        <v>-791345.61580999999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791345.61580999999</v>
      </c>
      <c r="U13" s="2"/>
      <c r="V13" s="22"/>
      <c r="W13" s="2"/>
      <c r="X13" s="2">
        <f t="shared" si="2"/>
        <v>-791345.61580999999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--36312.25</f>
        <v>36312.25</v>
      </c>
      <c r="E14" s="2"/>
      <c r="F14" s="22"/>
      <c r="G14" s="2"/>
      <c r="H14" s="2"/>
      <c r="I14" s="2"/>
      <c r="J14" s="22"/>
      <c r="K14" s="2"/>
      <c r="L14" s="2">
        <f t="shared" si="0"/>
        <v>36312.25</v>
      </c>
      <c r="M14" s="2"/>
      <c r="N14" s="22">
        <f t="shared" si="1"/>
        <v>0</v>
      </c>
      <c r="O14" s="11"/>
      <c r="P14" s="2">
        <f>--36312.25</f>
        <v>36312.25</v>
      </c>
      <c r="Q14" s="2"/>
      <c r="R14" s="22"/>
      <c r="S14" s="2"/>
      <c r="T14" s="2"/>
      <c r="U14" s="2"/>
      <c r="V14" s="22"/>
      <c r="W14" s="2"/>
      <c r="X14" s="2">
        <f t="shared" si="2"/>
        <v>36312.25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--21794.81</f>
        <v>21794.81</v>
      </c>
      <c r="E15" s="2"/>
      <c r="F15" s="22"/>
      <c r="G15" s="2"/>
      <c r="H15" s="2"/>
      <c r="I15" s="2"/>
      <c r="J15" s="22"/>
      <c r="K15" s="2"/>
      <c r="L15" s="2">
        <f t="shared" si="0"/>
        <v>21794.81</v>
      </c>
      <c r="M15" s="2"/>
      <c r="N15" s="22">
        <f t="shared" si="1"/>
        <v>0</v>
      </c>
      <c r="O15" s="11"/>
      <c r="P15" s="2">
        <f>--21794.81</f>
        <v>21794.81</v>
      </c>
      <c r="Q15" s="2"/>
      <c r="R15" s="22"/>
      <c r="S15" s="2"/>
      <c r="T15" s="2"/>
      <c r="U15" s="2"/>
      <c r="V15" s="22"/>
      <c r="W15" s="2"/>
      <c r="X15" s="2">
        <f t="shared" si="2"/>
        <v>21794.81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--433.98</f>
        <v>433.98</v>
      </c>
      <c r="E16" s="2"/>
      <c r="F16" s="22"/>
      <c r="G16" s="2"/>
      <c r="H16" s="2"/>
      <c r="I16" s="2"/>
      <c r="J16" s="22"/>
      <c r="K16" s="2"/>
      <c r="L16" s="2">
        <f t="shared" si="0"/>
        <v>433.98</v>
      </c>
      <c r="M16" s="2"/>
      <c r="N16" s="22">
        <f t="shared" si="1"/>
        <v>0</v>
      </c>
      <c r="O16" s="11"/>
      <c r="P16" s="2">
        <f>--433.98</f>
        <v>433.98</v>
      </c>
      <c r="Q16" s="2"/>
      <c r="R16" s="22"/>
      <c r="S16" s="2"/>
      <c r="T16" s="2"/>
      <c r="U16" s="2"/>
      <c r="V16" s="22"/>
      <c r="W16" s="2"/>
      <c r="X16" s="2">
        <f t="shared" si="2"/>
        <v>433.98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--133.35</f>
        <v>133.35</v>
      </c>
      <c r="E17" s="2"/>
      <c r="F17" s="22"/>
      <c r="G17" s="2"/>
      <c r="H17" s="2"/>
      <c r="I17" s="2"/>
      <c r="J17" s="22"/>
      <c r="K17" s="2"/>
      <c r="L17" s="2">
        <f t="shared" si="0"/>
        <v>133.35</v>
      </c>
      <c r="M17" s="2"/>
      <c r="N17" s="22">
        <f t="shared" si="1"/>
        <v>0</v>
      </c>
      <c r="O17" s="11"/>
      <c r="P17" s="2">
        <f>--133.35</f>
        <v>133.35</v>
      </c>
      <c r="Q17" s="2"/>
      <c r="R17" s="22"/>
      <c r="S17" s="2"/>
      <c r="T17" s="2"/>
      <c r="U17" s="2"/>
      <c r="V17" s="22"/>
      <c r="W17" s="2"/>
      <c r="X17" s="2">
        <f t="shared" si="2"/>
        <v>133.35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--39.95</f>
        <v>39.950000000000003</v>
      </c>
      <c r="E18" s="2"/>
      <c r="F18" s="22"/>
      <c r="G18" s="2"/>
      <c r="H18" s="2"/>
      <c r="I18" s="2"/>
      <c r="J18" s="22"/>
      <c r="K18" s="2"/>
      <c r="L18" s="2">
        <f t="shared" si="0"/>
        <v>39.950000000000003</v>
      </c>
      <c r="M18" s="2"/>
      <c r="N18" s="22">
        <f t="shared" si="1"/>
        <v>0</v>
      </c>
      <c r="O18" s="11"/>
      <c r="P18" s="2">
        <f>--39.95</f>
        <v>39.950000000000003</v>
      </c>
      <c r="Q18" s="2"/>
      <c r="R18" s="22"/>
      <c r="S18" s="2"/>
      <c r="T18" s="2"/>
      <c r="U18" s="2"/>
      <c r="V18" s="22"/>
      <c r="W18" s="2"/>
      <c r="X18" s="2">
        <f t="shared" si="2"/>
        <v>39.950000000000003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--250.65</f>
        <v>250.65</v>
      </c>
      <c r="E19" s="2"/>
      <c r="F19" s="22"/>
      <c r="G19" s="2"/>
      <c r="H19" s="2"/>
      <c r="I19" s="2"/>
      <c r="J19" s="22"/>
      <c r="K19" s="2"/>
      <c r="L19" s="2">
        <f t="shared" si="0"/>
        <v>250.65</v>
      </c>
      <c r="M19" s="2"/>
      <c r="N19" s="22">
        <f t="shared" si="1"/>
        <v>0</v>
      </c>
      <c r="O19" s="11"/>
      <c r="P19" s="2">
        <f>--250.65</f>
        <v>250.65</v>
      </c>
      <c r="Q19" s="2"/>
      <c r="R19" s="22"/>
      <c r="S19" s="2"/>
      <c r="T19" s="2"/>
      <c r="U19" s="2"/>
      <c r="V19" s="22"/>
      <c r="W19" s="2"/>
      <c r="X19" s="2">
        <f t="shared" si="2"/>
        <v>250.65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--4.47</f>
        <v>4.47</v>
      </c>
      <c r="E20" s="2"/>
      <c r="F20" s="22"/>
      <c r="G20" s="2"/>
      <c r="H20" s="2"/>
      <c r="I20" s="2"/>
      <c r="J20" s="22"/>
      <c r="K20" s="2"/>
      <c r="L20" s="2">
        <f t="shared" si="0"/>
        <v>4.47</v>
      </c>
      <c r="M20" s="2"/>
      <c r="N20" s="22">
        <f t="shared" si="1"/>
        <v>0</v>
      </c>
      <c r="O20" s="11"/>
      <c r="P20" s="2">
        <f>--4.47</f>
        <v>4.47</v>
      </c>
      <c r="Q20" s="2"/>
      <c r="R20" s="22"/>
      <c r="S20" s="2"/>
      <c r="T20" s="2"/>
      <c r="U20" s="2"/>
      <c r="V20" s="22"/>
      <c r="W20" s="2"/>
      <c r="X20" s="2">
        <f t="shared" si="2"/>
        <v>4.47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"4018", " - ", "TAXABLE SALES-STUDY GUIDES")</f>
        <v xml:space="preserve">          4018 - TAXABLE SALES-STUDY GUIDES</v>
      </c>
      <c r="C21" s="11"/>
      <c r="D21" s="2">
        <f>--179.29</f>
        <v>179.29</v>
      </c>
      <c r="E21" s="2"/>
      <c r="F21" s="22"/>
      <c r="G21" s="2"/>
      <c r="H21" s="2"/>
      <c r="I21" s="2"/>
      <c r="J21" s="22"/>
      <c r="K21" s="2"/>
      <c r="L21" s="2">
        <f t="shared" si="0"/>
        <v>179.29</v>
      </c>
      <c r="M21" s="2"/>
      <c r="N21" s="22">
        <f t="shared" si="1"/>
        <v>0</v>
      </c>
      <c r="O21" s="11"/>
      <c r="P21" s="2">
        <f>--179.29</f>
        <v>179.29</v>
      </c>
      <c r="Q21" s="2"/>
      <c r="R21" s="22"/>
      <c r="S21" s="2"/>
      <c r="T21" s="2"/>
      <c r="U21" s="2"/>
      <c r="V21" s="22"/>
      <c r="W21" s="2"/>
      <c r="X21" s="2">
        <f t="shared" si="2"/>
        <v>179.29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"4025", " - ", "TAXABLE SALES-TEST FORMS")</f>
        <v xml:space="preserve">          4025 - TAXABLE SALES-TEST FORMS</v>
      </c>
      <c r="C22" s="11"/>
      <c r="D22" s="2">
        <f>--392.29</f>
        <v>392.29</v>
      </c>
      <c r="E22" s="2"/>
      <c r="F22" s="22"/>
      <c r="G22" s="2"/>
      <c r="H22" s="2"/>
      <c r="I22" s="2"/>
      <c r="J22" s="22"/>
      <c r="K22" s="2"/>
      <c r="L22" s="2">
        <f t="shared" si="0"/>
        <v>392.29</v>
      </c>
      <c r="M22" s="2"/>
      <c r="N22" s="22">
        <f t="shared" si="1"/>
        <v>0</v>
      </c>
      <c r="O22" s="11"/>
      <c r="P22" s="2">
        <f>--392.29</f>
        <v>392.29</v>
      </c>
      <c r="Q22" s="2"/>
      <c r="R22" s="22"/>
      <c r="S22" s="2"/>
      <c r="T22" s="2"/>
      <c r="U22" s="2"/>
      <c r="V22" s="22"/>
      <c r="W22" s="2"/>
      <c r="X22" s="2">
        <f t="shared" si="2"/>
        <v>392.29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--1935.51</f>
        <v>1935.51</v>
      </c>
      <c r="E23" s="2"/>
      <c r="F23" s="22"/>
      <c r="G23" s="2"/>
      <c r="H23" s="2"/>
      <c r="I23" s="2"/>
      <c r="J23" s="22"/>
      <c r="K23" s="2"/>
      <c r="L23" s="2">
        <f t="shared" si="0"/>
        <v>1935.51</v>
      </c>
      <c r="M23" s="2"/>
      <c r="N23" s="22">
        <f t="shared" si="1"/>
        <v>0</v>
      </c>
      <c r="O23" s="11"/>
      <c r="P23" s="2">
        <f>--1935.51</f>
        <v>1935.51</v>
      </c>
      <c r="Q23" s="2"/>
      <c r="R23" s="22"/>
      <c r="S23" s="2"/>
      <c r="T23" s="2"/>
      <c r="U23" s="2"/>
      <c r="V23" s="22"/>
      <c r="W23" s="2"/>
      <c r="X23" s="2">
        <f t="shared" si="2"/>
        <v>1935.51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--13150</f>
        <v>13150</v>
      </c>
      <c r="E24" s="2"/>
      <c r="F24" s="22"/>
      <c r="G24" s="2"/>
      <c r="H24" s="2"/>
      <c r="I24" s="2"/>
      <c r="J24" s="22"/>
      <c r="K24" s="2"/>
      <c r="L24" s="2">
        <f t="shared" si="0"/>
        <v>13150</v>
      </c>
      <c r="M24" s="2"/>
      <c r="N24" s="22">
        <f t="shared" si="1"/>
        <v>0</v>
      </c>
      <c r="O24" s="11"/>
      <c r="P24" s="2">
        <f>--13150</f>
        <v>13150</v>
      </c>
      <c r="Q24" s="2"/>
      <c r="R24" s="22"/>
      <c r="S24" s="2"/>
      <c r="T24" s="2"/>
      <c r="U24" s="2"/>
      <c r="V24" s="22"/>
      <c r="W24" s="2"/>
      <c r="X24" s="2">
        <f t="shared" si="2"/>
        <v>13150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"4028", " - ", "TAXABLE SALES-ART/TECH")</f>
        <v xml:space="preserve">          4028 - TAXABLE SALES-ART/TECH</v>
      </c>
      <c r="C25" s="11"/>
      <c r="D25" s="2">
        <f>--2284.16</f>
        <v>2284.16</v>
      </c>
      <c r="E25" s="2"/>
      <c r="F25" s="22"/>
      <c r="G25" s="2"/>
      <c r="H25" s="2"/>
      <c r="I25" s="2"/>
      <c r="J25" s="22"/>
      <c r="K25" s="2"/>
      <c r="L25" s="2">
        <f t="shared" si="0"/>
        <v>2284.16</v>
      </c>
      <c r="M25" s="2"/>
      <c r="N25" s="22">
        <f t="shared" si="1"/>
        <v>0</v>
      </c>
      <c r="O25" s="11"/>
      <c r="P25" s="2">
        <f>--2284.16</f>
        <v>2284.16</v>
      </c>
      <c r="Q25" s="2"/>
      <c r="R25" s="22"/>
      <c r="S25" s="2"/>
      <c r="T25" s="2"/>
      <c r="U25" s="2"/>
      <c r="V25" s="22"/>
      <c r="W25" s="2"/>
      <c r="X25" s="2">
        <f t="shared" si="2"/>
        <v>2284.16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"4031", " - ", "TAXABLE SALES-FOOD")</f>
        <v xml:space="preserve">          4031 - TAXABLE SALES-FOOD</v>
      </c>
      <c r="C26" s="11"/>
      <c r="D26" s="2">
        <f>--1.52</f>
        <v>1.52</v>
      </c>
      <c r="E26" s="2"/>
      <c r="F26" s="22"/>
      <c r="G26" s="2"/>
      <c r="H26" s="2"/>
      <c r="I26" s="2"/>
      <c r="J26" s="22"/>
      <c r="K26" s="2"/>
      <c r="L26" s="2">
        <f t="shared" si="0"/>
        <v>1.52</v>
      </c>
      <c r="M26" s="2"/>
      <c r="N26" s="22">
        <f t="shared" si="1"/>
        <v>0</v>
      </c>
      <c r="O26" s="11"/>
      <c r="P26" s="2">
        <f>--1.52</f>
        <v>1.52</v>
      </c>
      <c r="Q26" s="2"/>
      <c r="R26" s="22"/>
      <c r="S26" s="2"/>
      <c r="T26" s="2"/>
      <c r="U26" s="2"/>
      <c r="V26" s="22"/>
      <c r="W26" s="2"/>
      <c r="X26" s="2">
        <f t="shared" si="2"/>
        <v>1.52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"4032", " - ", "TAXABLE SALES-JUICE")</f>
        <v xml:space="preserve">          4032 - TAXABLE SALES-JUICE</v>
      </c>
      <c r="C27" s="11"/>
      <c r="D27" s="2">
        <f>--6881.73</f>
        <v>6881.73</v>
      </c>
      <c r="E27" s="2"/>
      <c r="F27" s="22"/>
      <c r="G27" s="2"/>
      <c r="H27" s="2"/>
      <c r="I27" s="2"/>
      <c r="J27" s="22"/>
      <c r="K27" s="2"/>
      <c r="L27" s="2">
        <f t="shared" si="0"/>
        <v>6881.73</v>
      </c>
      <c r="M27" s="2"/>
      <c r="N27" s="22">
        <f t="shared" si="1"/>
        <v>0</v>
      </c>
      <c r="O27" s="11"/>
      <c r="P27" s="2">
        <f>--6881.73</f>
        <v>6881.73</v>
      </c>
      <c r="Q27" s="2"/>
      <c r="R27" s="22"/>
      <c r="S27" s="2"/>
      <c r="T27" s="2"/>
      <c r="U27" s="2"/>
      <c r="V27" s="22"/>
      <c r="W27" s="2"/>
      <c r="X27" s="2">
        <f t="shared" si="2"/>
        <v>6881.73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"4033", " - ", "TAXABLE SALES-CANDY")</f>
        <v xml:space="preserve">          4033 - TAXABLE SALES-CANDY</v>
      </c>
      <c r="C28" s="11"/>
      <c r="D28" s="2">
        <f>--3.17</f>
        <v>3.17</v>
      </c>
      <c r="E28" s="2"/>
      <c r="F28" s="22"/>
      <c r="G28" s="2"/>
      <c r="H28" s="2"/>
      <c r="I28" s="2"/>
      <c r="J28" s="22"/>
      <c r="K28" s="2"/>
      <c r="L28" s="2">
        <f t="shared" si="0"/>
        <v>3.17</v>
      </c>
      <c r="M28" s="2"/>
      <c r="N28" s="22">
        <f t="shared" si="1"/>
        <v>0</v>
      </c>
      <c r="O28" s="11"/>
      <c r="P28" s="2">
        <f>--3.17</f>
        <v>3.17</v>
      </c>
      <c r="Q28" s="2"/>
      <c r="R28" s="22"/>
      <c r="S28" s="2"/>
      <c r="T28" s="2"/>
      <c r="U28" s="2"/>
      <c r="V28" s="22"/>
      <c r="W28" s="2"/>
      <c r="X28" s="2">
        <f t="shared" si="2"/>
        <v>3.17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"4034", " - ", "TAXABLE SALES-SODA")</f>
        <v xml:space="preserve">          4034 - TAXABLE SALES-SODA</v>
      </c>
      <c r="C29" s="11"/>
      <c r="D29" s="2">
        <f>--323.49</f>
        <v>323.49</v>
      </c>
      <c r="E29" s="2"/>
      <c r="F29" s="22"/>
      <c r="G29" s="2"/>
      <c r="H29" s="2"/>
      <c r="I29" s="2"/>
      <c r="J29" s="22"/>
      <c r="K29" s="2"/>
      <c r="L29" s="2">
        <f t="shared" si="0"/>
        <v>323.49</v>
      </c>
      <c r="M29" s="2"/>
      <c r="N29" s="22">
        <f t="shared" si="1"/>
        <v>0</v>
      </c>
      <c r="O29" s="11"/>
      <c r="P29" s="2">
        <f>--323.49</f>
        <v>323.49</v>
      </c>
      <c r="Q29" s="2"/>
      <c r="R29" s="22"/>
      <c r="S29" s="2"/>
      <c r="T29" s="2"/>
      <c r="U29" s="2"/>
      <c r="V29" s="22"/>
      <c r="W29" s="2"/>
      <c r="X29" s="2">
        <f t="shared" si="2"/>
        <v>323.49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--5.97</f>
        <v>5.97</v>
      </c>
      <c r="E30" s="2"/>
      <c r="F30" s="22"/>
      <c r="G30" s="2"/>
      <c r="H30" s="2"/>
      <c r="I30" s="2"/>
      <c r="J30" s="22"/>
      <c r="K30" s="2"/>
      <c r="L30" s="2">
        <f t="shared" si="0"/>
        <v>5.97</v>
      </c>
      <c r="M30" s="2"/>
      <c r="N30" s="22">
        <f t="shared" si="1"/>
        <v>0</v>
      </c>
      <c r="O30" s="11"/>
      <c r="P30" s="2">
        <f>--5.97</f>
        <v>5.97</v>
      </c>
      <c r="Q30" s="2"/>
      <c r="R30" s="22"/>
      <c r="S30" s="2"/>
      <c r="T30" s="2"/>
      <c r="U30" s="2"/>
      <c r="V30" s="22"/>
      <c r="W30" s="2"/>
      <c r="X30" s="2">
        <f t="shared" si="2"/>
        <v>5.97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"4037", " - ", "TAXABLE SALES-WATER")</f>
        <v xml:space="preserve">          4037 - TAXABLE SALES-WATER</v>
      </c>
      <c r="C31" s="11"/>
      <c r="D31" s="2">
        <f>--5.29</f>
        <v>5.29</v>
      </c>
      <c r="E31" s="2"/>
      <c r="F31" s="22"/>
      <c r="G31" s="2"/>
      <c r="H31" s="2"/>
      <c r="I31" s="2"/>
      <c r="J31" s="22"/>
      <c r="K31" s="2"/>
      <c r="L31" s="2">
        <f t="shared" si="0"/>
        <v>5.29</v>
      </c>
      <c r="M31" s="2"/>
      <c r="N31" s="22">
        <f t="shared" si="1"/>
        <v>0</v>
      </c>
      <c r="O31" s="11"/>
      <c r="P31" s="2">
        <f>--5.29</f>
        <v>5.29</v>
      </c>
      <c r="Q31" s="2"/>
      <c r="R31" s="22"/>
      <c r="S31" s="2"/>
      <c r="T31" s="2"/>
      <c r="U31" s="2"/>
      <c r="V31" s="22"/>
      <c r="W31" s="2"/>
      <c r="X31" s="2">
        <f t="shared" si="2"/>
        <v>5.29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"4040", " - ", "TAXABLE SALES-LOGO CLOTHING")</f>
        <v xml:space="preserve">          4040 - TAXABLE SALES-LOGO CLOTHING</v>
      </c>
      <c r="C32" s="11"/>
      <c r="D32" s="2">
        <f>--170312.02</f>
        <v>170312.02</v>
      </c>
      <c r="E32" s="2"/>
      <c r="F32" s="22"/>
      <c r="G32" s="2"/>
      <c r="H32" s="2"/>
      <c r="I32" s="2"/>
      <c r="J32" s="22"/>
      <c r="K32" s="2"/>
      <c r="L32" s="2">
        <f t="shared" si="0"/>
        <v>170312.02</v>
      </c>
      <c r="M32" s="2"/>
      <c r="N32" s="22">
        <f t="shared" si="1"/>
        <v>0</v>
      </c>
      <c r="O32" s="11"/>
      <c r="P32" s="2">
        <f>--170312.02</f>
        <v>170312.02</v>
      </c>
      <c r="Q32" s="2"/>
      <c r="R32" s="22"/>
      <c r="S32" s="2"/>
      <c r="T32" s="2"/>
      <c r="U32" s="2"/>
      <c r="V32" s="22"/>
      <c r="W32" s="2"/>
      <c r="X32" s="2">
        <f t="shared" si="2"/>
        <v>170312.02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"4041", " - ", "TAXABLE SALES-LOGO GIFTS")</f>
        <v xml:space="preserve">          4041 - TAXABLE SALES-LOGO GIFTS</v>
      </c>
      <c r="C33" s="11"/>
      <c r="D33" s="2">
        <f>--31041.59</f>
        <v>31041.59</v>
      </c>
      <c r="E33" s="2"/>
      <c r="F33" s="22"/>
      <c r="G33" s="2"/>
      <c r="H33" s="2"/>
      <c r="I33" s="2"/>
      <c r="J33" s="22"/>
      <c r="K33" s="2"/>
      <c r="L33" s="2">
        <f t="shared" si="0"/>
        <v>31041.59</v>
      </c>
      <c r="M33" s="2"/>
      <c r="N33" s="22">
        <f t="shared" si="1"/>
        <v>0</v>
      </c>
      <c r="O33" s="11"/>
      <c r="P33" s="2">
        <f>--31041.59</f>
        <v>31041.59</v>
      </c>
      <c r="Q33" s="2"/>
      <c r="R33" s="22"/>
      <c r="S33" s="2"/>
      <c r="T33" s="2"/>
      <c r="U33" s="2"/>
      <c r="V33" s="22"/>
      <c r="W33" s="2"/>
      <c r="X33" s="2">
        <f t="shared" si="2"/>
        <v>31041.59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--15593.05</f>
        <v>15593.05</v>
      </c>
      <c r="E34" s="2"/>
      <c r="F34" s="22"/>
      <c r="G34" s="2"/>
      <c r="H34" s="2"/>
      <c r="I34" s="2"/>
      <c r="J34" s="22"/>
      <c r="K34" s="2"/>
      <c r="L34" s="2">
        <f t="shared" si="0"/>
        <v>15593.05</v>
      </c>
      <c r="M34" s="2"/>
      <c r="N34" s="22">
        <f t="shared" si="1"/>
        <v>0</v>
      </c>
      <c r="O34" s="11"/>
      <c r="P34" s="2">
        <f>--15593.05</f>
        <v>15593.05</v>
      </c>
      <c r="Q34" s="2"/>
      <c r="R34" s="22"/>
      <c r="S34" s="2"/>
      <c r="T34" s="2"/>
      <c r="U34" s="2"/>
      <c r="V34" s="22"/>
      <c r="W34" s="2"/>
      <c r="X34" s="2">
        <f t="shared" si="2"/>
        <v>15593.05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"4043", " - ", "TAXABLE SALES-CARDS")</f>
        <v xml:space="preserve">          4043 - TAXABLE SALES-CARDS</v>
      </c>
      <c r="C35" s="11"/>
      <c r="D35" s="2">
        <f>--56.4</f>
        <v>56.4</v>
      </c>
      <c r="E35" s="2"/>
      <c r="F35" s="22"/>
      <c r="G35" s="2"/>
      <c r="H35" s="2"/>
      <c r="I35" s="2"/>
      <c r="J35" s="22"/>
      <c r="K35" s="2"/>
      <c r="L35" s="2">
        <f t="shared" si="0"/>
        <v>56.4</v>
      </c>
      <c r="M35" s="2"/>
      <c r="N35" s="22">
        <f t="shared" si="1"/>
        <v>0</v>
      </c>
      <c r="O35" s="11"/>
      <c r="P35" s="2">
        <f>--56.4</f>
        <v>56.4</v>
      </c>
      <c r="Q35" s="2"/>
      <c r="R35" s="22"/>
      <c r="S35" s="2"/>
      <c r="T35" s="2"/>
      <c r="U35" s="2"/>
      <c r="V35" s="22"/>
      <c r="W35" s="2"/>
      <c r="X35" s="2">
        <f t="shared" si="2"/>
        <v>56.4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"4044", " - ", "TAXABLE SALES-ACCESSORIES")</f>
        <v xml:space="preserve">          4044 - TAXABLE SALES-ACCESSORIES</v>
      </c>
      <c r="C36" s="11"/>
      <c r="D36" s="2">
        <f>--2342.65</f>
        <v>2342.65</v>
      </c>
      <c r="E36" s="2"/>
      <c r="F36" s="22"/>
      <c r="G36" s="2"/>
      <c r="H36" s="2"/>
      <c r="I36" s="2"/>
      <c r="J36" s="22"/>
      <c r="K36" s="2"/>
      <c r="L36" s="2">
        <f t="shared" si="0"/>
        <v>2342.65</v>
      </c>
      <c r="M36" s="2"/>
      <c r="N36" s="22">
        <f t="shared" si="1"/>
        <v>0</v>
      </c>
      <c r="O36" s="11"/>
      <c r="P36" s="2">
        <f>--2342.65</f>
        <v>2342.65</v>
      </c>
      <c r="Q36" s="2"/>
      <c r="R36" s="22"/>
      <c r="S36" s="2"/>
      <c r="T36" s="2"/>
      <c r="U36" s="2"/>
      <c r="V36" s="22"/>
      <c r="W36" s="2"/>
      <c r="X36" s="2">
        <f t="shared" si="2"/>
        <v>2342.65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--19420.72</f>
        <v>19420.72</v>
      </c>
      <c r="E37" s="2"/>
      <c r="F37" s="22"/>
      <c r="G37" s="2"/>
      <c r="H37" s="2"/>
      <c r="I37" s="2"/>
      <c r="J37" s="22"/>
      <c r="K37" s="2"/>
      <c r="L37" s="2">
        <f t="shared" si="0"/>
        <v>19420.72</v>
      </c>
      <c r="M37" s="2"/>
      <c r="N37" s="22">
        <f t="shared" si="1"/>
        <v>0</v>
      </c>
      <c r="O37" s="11"/>
      <c r="P37" s="2">
        <f>--19420.72</f>
        <v>19420.72</v>
      </c>
      <c r="Q37" s="2"/>
      <c r="R37" s="22"/>
      <c r="S37" s="2"/>
      <c r="T37" s="2"/>
      <c r="U37" s="2"/>
      <c r="V37" s="22"/>
      <c r="W37" s="2"/>
      <c r="X37" s="2">
        <f t="shared" si="2"/>
        <v>19420.72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"4047", " - ", "TAXABLE SALES-MISC")</f>
        <v xml:space="preserve">          4047 - TAXABLE SALES-MISC</v>
      </c>
      <c r="C38" s="11"/>
      <c r="D38" s="2">
        <f>--40</f>
        <v>40</v>
      </c>
      <c r="E38" s="2"/>
      <c r="F38" s="22"/>
      <c r="G38" s="2"/>
      <c r="H38" s="2"/>
      <c r="I38" s="2"/>
      <c r="J38" s="22"/>
      <c r="K38" s="2"/>
      <c r="L38" s="2">
        <f t="shared" si="0"/>
        <v>40</v>
      </c>
      <c r="M38" s="2"/>
      <c r="N38" s="22">
        <f t="shared" si="1"/>
        <v>0</v>
      </c>
      <c r="O38" s="11"/>
      <c r="P38" s="2">
        <f>--40</f>
        <v>40</v>
      </c>
      <c r="Q38" s="2"/>
      <c r="R38" s="22"/>
      <c r="S38" s="2"/>
      <c r="T38" s="2"/>
      <c r="U38" s="2"/>
      <c r="V38" s="22"/>
      <c r="W38" s="2"/>
      <c r="X38" s="2">
        <f t="shared" si="2"/>
        <v>40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"4051", " - ", "TAXABLE SALES-FOOD")</f>
        <v xml:space="preserve">          4051 - TAXABLE SALES-FOOD</v>
      </c>
      <c r="C39" s="11"/>
      <c r="D39" s="2">
        <f>--22606.37</f>
        <v>22606.37</v>
      </c>
      <c r="E39" s="2"/>
      <c r="F39" s="22"/>
      <c r="G39" s="2"/>
      <c r="H39" s="2"/>
      <c r="I39" s="2"/>
      <c r="J39" s="22"/>
      <c r="K39" s="2"/>
      <c r="L39" s="2">
        <f t="shared" si="0"/>
        <v>22606.37</v>
      </c>
      <c r="M39" s="2"/>
      <c r="N39" s="22">
        <f t="shared" si="1"/>
        <v>0</v>
      </c>
      <c r="O39" s="11"/>
      <c r="P39" s="2">
        <f>--22606.37</f>
        <v>22606.37</v>
      </c>
      <c r="Q39" s="2"/>
      <c r="R39" s="22"/>
      <c r="S39" s="2"/>
      <c r="T39" s="2"/>
      <c r="U39" s="2"/>
      <c r="V39" s="22"/>
      <c r="W39" s="2"/>
      <c r="X39" s="2">
        <f t="shared" si="2"/>
        <v>22606.37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"4052", " - ", "TAXABLE SALES-FOOD")</f>
        <v xml:space="preserve">          4052 - TAXABLE SALES-FOOD</v>
      </c>
      <c r="C40" s="11"/>
      <c r="D40" s="2">
        <f>--43778.84</f>
        <v>43778.84</v>
      </c>
      <c r="E40" s="2"/>
      <c r="F40" s="22"/>
      <c r="G40" s="2"/>
      <c r="H40" s="2"/>
      <c r="I40" s="2"/>
      <c r="J40" s="22"/>
      <c r="K40" s="2"/>
      <c r="L40" s="2">
        <f t="shared" si="0"/>
        <v>43778.84</v>
      </c>
      <c r="M40" s="2"/>
      <c r="N40" s="22">
        <f t="shared" si="1"/>
        <v>0</v>
      </c>
      <c r="O40" s="11"/>
      <c r="P40" s="2">
        <f>--43778.84</f>
        <v>43778.84</v>
      </c>
      <c r="Q40" s="2"/>
      <c r="R40" s="22"/>
      <c r="S40" s="2"/>
      <c r="T40" s="2"/>
      <c r="U40" s="2"/>
      <c r="V40" s="22"/>
      <c r="W40" s="2"/>
      <c r="X40" s="2">
        <f t="shared" si="2"/>
        <v>43778.84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"4053", " - ", "TAXABLE SALES-FOOD")</f>
        <v xml:space="preserve">          4053 - TAXABLE SALES-FOOD</v>
      </c>
      <c r="C41" s="11"/>
      <c r="D41" s="2">
        <f>--26075.21</f>
        <v>26075.21</v>
      </c>
      <c r="E41" s="2"/>
      <c r="F41" s="22"/>
      <c r="G41" s="2"/>
      <c r="H41" s="2"/>
      <c r="I41" s="2"/>
      <c r="J41" s="22"/>
      <c r="K41" s="2"/>
      <c r="L41" s="2">
        <f t="shared" si="0"/>
        <v>26075.21</v>
      </c>
      <c r="M41" s="2"/>
      <c r="N41" s="22">
        <f t="shared" si="1"/>
        <v>0</v>
      </c>
      <c r="O41" s="11"/>
      <c r="P41" s="2">
        <f>--26075.21</f>
        <v>26075.21</v>
      </c>
      <c r="Q41" s="2"/>
      <c r="R41" s="22"/>
      <c r="S41" s="2"/>
      <c r="T41" s="2"/>
      <c r="U41" s="2"/>
      <c r="V41" s="22"/>
      <c r="W41" s="2"/>
      <c r="X41" s="2">
        <f t="shared" si="2"/>
        <v>26075.21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"4055", " - ", "TAXABLE SALES-FOOD")</f>
        <v xml:space="preserve">          4055 - TAXABLE SALES-FOOD</v>
      </c>
      <c r="C42" s="11"/>
      <c r="D42" s="2">
        <f>--14243.63</f>
        <v>14243.63</v>
      </c>
      <c r="E42" s="2"/>
      <c r="F42" s="22"/>
      <c r="G42" s="2"/>
      <c r="H42" s="2"/>
      <c r="I42" s="2"/>
      <c r="J42" s="22"/>
      <c r="K42" s="2"/>
      <c r="L42" s="2">
        <f t="shared" si="0"/>
        <v>14243.63</v>
      </c>
      <c r="M42" s="2"/>
      <c r="N42" s="22">
        <f t="shared" si="1"/>
        <v>0</v>
      </c>
      <c r="O42" s="11"/>
      <c r="P42" s="2">
        <f>--14243.63</f>
        <v>14243.63</v>
      </c>
      <c r="Q42" s="2"/>
      <c r="R42" s="22"/>
      <c r="S42" s="2"/>
      <c r="T42" s="2"/>
      <c r="U42" s="2"/>
      <c r="V42" s="22"/>
      <c r="W42" s="2"/>
      <c r="X42" s="2">
        <f t="shared" si="2"/>
        <v>14243.63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"4058", " - ", "TAXABLE SALES-FOOD")</f>
        <v xml:space="preserve">          4058 - TAXABLE SALES-FOOD</v>
      </c>
      <c r="C43" s="11"/>
      <c r="D43" s="2">
        <f>--8401.66</f>
        <v>8401.66</v>
      </c>
      <c r="E43" s="2"/>
      <c r="F43" s="22"/>
      <c r="G43" s="2"/>
      <c r="H43" s="2"/>
      <c r="I43" s="2"/>
      <c r="J43" s="22"/>
      <c r="K43" s="2"/>
      <c r="L43" s="2">
        <f t="shared" si="0"/>
        <v>8401.66</v>
      </c>
      <c r="M43" s="2"/>
      <c r="N43" s="22">
        <f t="shared" si="1"/>
        <v>0</v>
      </c>
      <c r="O43" s="11"/>
      <c r="P43" s="2">
        <f>--8401.66</f>
        <v>8401.66</v>
      </c>
      <c r="Q43" s="2"/>
      <c r="R43" s="22"/>
      <c r="S43" s="2"/>
      <c r="T43" s="2"/>
      <c r="U43" s="2"/>
      <c r="V43" s="22"/>
      <c r="W43" s="2"/>
      <c r="X43" s="2">
        <f t="shared" si="2"/>
        <v>8401.66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"4081", " - ", "TAXABLE SALES-ELECTRONICS")</f>
        <v xml:space="preserve">          4081 - TAXABLE SALES-ELECTRONICS</v>
      </c>
      <c r="C44" s="11"/>
      <c r="D44" s="2">
        <f>--20952.57</f>
        <v>20952.57</v>
      </c>
      <c r="E44" s="2"/>
      <c r="F44" s="22"/>
      <c r="G44" s="2"/>
      <c r="H44" s="2"/>
      <c r="I44" s="2"/>
      <c r="J44" s="22"/>
      <c r="K44" s="2"/>
      <c r="L44" s="2">
        <f t="shared" si="0"/>
        <v>20952.57</v>
      </c>
      <c r="M44" s="2"/>
      <c r="N44" s="22">
        <f t="shared" si="1"/>
        <v>0</v>
      </c>
      <c r="O44" s="11"/>
      <c r="P44" s="2">
        <f>--20952.57</f>
        <v>20952.57</v>
      </c>
      <c r="Q44" s="2"/>
      <c r="R44" s="22"/>
      <c r="S44" s="2"/>
      <c r="T44" s="2"/>
      <c r="U44" s="2"/>
      <c r="V44" s="22"/>
      <c r="W44" s="2"/>
      <c r="X44" s="2">
        <f t="shared" si="2"/>
        <v>20952.57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"4082", " - ", "TAXABLE SALES-COMPUTER HARDWAR")</f>
        <v xml:space="preserve">          4082 - TAXABLE SALES-COMPUTER HARDWAR</v>
      </c>
      <c r="C45" s="11"/>
      <c r="D45" s="2">
        <f>--398788.74</f>
        <v>398788.74</v>
      </c>
      <c r="E45" s="2"/>
      <c r="F45" s="22"/>
      <c r="G45" s="2"/>
      <c r="H45" s="2"/>
      <c r="I45" s="2"/>
      <c r="J45" s="22"/>
      <c r="K45" s="2"/>
      <c r="L45" s="2">
        <f t="shared" si="0"/>
        <v>398788.74</v>
      </c>
      <c r="M45" s="2"/>
      <c r="N45" s="22">
        <f t="shared" si="1"/>
        <v>0</v>
      </c>
      <c r="O45" s="11"/>
      <c r="P45" s="2">
        <f>--398788.74</f>
        <v>398788.74</v>
      </c>
      <c r="Q45" s="2"/>
      <c r="R45" s="22"/>
      <c r="S45" s="2"/>
      <c r="T45" s="2"/>
      <c r="U45" s="2"/>
      <c r="V45" s="22"/>
      <c r="W45" s="2"/>
      <c r="X45" s="2">
        <f t="shared" si="2"/>
        <v>398788.74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"4083", " - ", "TAXABLE SALES-COMPUTER EQUIPME")</f>
        <v xml:space="preserve">          4083 - TAXABLE SALES-COMPUTER EQUIPME</v>
      </c>
      <c r="C46" s="11"/>
      <c r="D46" s="2">
        <f>--7906.1</f>
        <v>7906.1</v>
      </c>
      <c r="E46" s="2"/>
      <c r="F46" s="22"/>
      <c r="G46" s="2"/>
      <c r="H46" s="2"/>
      <c r="I46" s="2"/>
      <c r="J46" s="22"/>
      <c r="K46" s="2"/>
      <c r="L46" s="2">
        <f t="shared" si="0"/>
        <v>7906.1</v>
      </c>
      <c r="M46" s="2"/>
      <c r="N46" s="22">
        <f t="shared" si="1"/>
        <v>0</v>
      </c>
      <c r="O46" s="11"/>
      <c r="P46" s="2">
        <f>--7906.1</f>
        <v>7906.1</v>
      </c>
      <c r="Q46" s="2"/>
      <c r="R46" s="22"/>
      <c r="S46" s="2"/>
      <c r="T46" s="2"/>
      <c r="U46" s="2"/>
      <c r="V46" s="22"/>
      <c r="W46" s="2"/>
      <c r="X46" s="2">
        <f t="shared" si="2"/>
        <v>7906.1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"4084", " - ", "TAXABLE SALES-SOFTWARE LICENSE")</f>
        <v xml:space="preserve">          4084 - TAXABLE SALES-SOFTWARE LICENSE</v>
      </c>
      <c r="C47" s="11"/>
      <c r="D47" s="2">
        <f>--129</f>
        <v>129</v>
      </c>
      <c r="E47" s="2"/>
      <c r="F47" s="22"/>
      <c r="G47" s="2"/>
      <c r="H47" s="2"/>
      <c r="I47" s="2"/>
      <c r="J47" s="22"/>
      <c r="K47" s="2"/>
      <c r="L47" s="2">
        <f t="shared" si="0"/>
        <v>129</v>
      </c>
      <c r="M47" s="2"/>
      <c r="N47" s="22">
        <f t="shared" si="1"/>
        <v>0</v>
      </c>
      <c r="O47" s="11"/>
      <c r="P47" s="2">
        <f>--129</f>
        <v>129</v>
      </c>
      <c r="Q47" s="2"/>
      <c r="R47" s="22"/>
      <c r="S47" s="2"/>
      <c r="T47" s="2"/>
      <c r="U47" s="2"/>
      <c r="V47" s="22"/>
      <c r="W47" s="2"/>
      <c r="X47" s="2">
        <f t="shared" si="2"/>
        <v>129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"4085", " - ", "TAXABLE SALES-SOFTWARE")</f>
        <v xml:space="preserve">          4085 - TAXABLE SALES-SOFTWARE</v>
      </c>
      <c r="C48" s="11"/>
      <c r="D48" s="2">
        <f>--493.95</f>
        <v>493.95</v>
      </c>
      <c r="E48" s="2"/>
      <c r="F48" s="22"/>
      <c r="G48" s="2"/>
      <c r="H48" s="2"/>
      <c r="I48" s="2"/>
      <c r="J48" s="22"/>
      <c r="K48" s="2"/>
      <c r="L48" s="2">
        <f t="shared" si="0"/>
        <v>493.95</v>
      </c>
      <c r="M48" s="2"/>
      <c r="N48" s="22">
        <f t="shared" si="1"/>
        <v>0</v>
      </c>
      <c r="O48" s="11"/>
      <c r="P48" s="2">
        <f>--493.95</f>
        <v>493.95</v>
      </c>
      <c r="Q48" s="2"/>
      <c r="R48" s="22"/>
      <c r="S48" s="2"/>
      <c r="T48" s="2"/>
      <c r="U48" s="2"/>
      <c r="V48" s="22"/>
      <c r="W48" s="2"/>
      <c r="X48" s="2">
        <f t="shared" si="2"/>
        <v>493.95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"4086", " - ", "TAXABLE SALES-COMPUTER SUPPLIE")</f>
        <v xml:space="preserve">          4086 - TAXABLE SALES-COMPUTER SUPPLIE</v>
      </c>
      <c r="C49" s="11"/>
      <c r="D49" s="2">
        <f>--1995.32</f>
        <v>1995.32</v>
      </c>
      <c r="E49" s="2"/>
      <c r="F49" s="22"/>
      <c r="G49" s="2"/>
      <c r="H49" s="2"/>
      <c r="I49" s="2"/>
      <c r="J49" s="22"/>
      <c r="K49" s="2"/>
      <c r="L49" s="2">
        <f t="shared" si="0"/>
        <v>1995.32</v>
      </c>
      <c r="M49" s="2"/>
      <c r="N49" s="22">
        <f t="shared" si="1"/>
        <v>0</v>
      </c>
      <c r="O49" s="11"/>
      <c r="P49" s="2">
        <f>--1995.32</f>
        <v>1995.32</v>
      </c>
      <c r="Q49" s="2"/>
      <c r="R49" s="22"/>
      <c r="S49" s="2"/>
      <c r="T49" s="2"/>
      <c r="U49" s="2"/>
      <c r="V49" s="22"/>
      <c r="W49" s="2"/>
      <c r="X49" s="2">
        <f t="shared" si="2"/>
        <v>1995.32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"4088", " - ", "TAXABLE SALES-MUSIC")</f>
        <v xml:space="preserve">          4088 - TAXABLE SALES-MUSIC</v>
      </c>
      <c r="C50" s="11"/>
      <c r="D50" s="2">
        <f>--258.99</f>
        <v>258.99</v>
      </c>
      <c r="E50" s="2"/>
      <c r="F50" s="22"/>
      <c r="G50" s="2"/>
      <c r="H50" s="2"/>
      <c r="I50" s="2"/>
      <c r="J50" s="22"/>
      <c r="K50" s="2"/>
      <c r="L50" s="2">
        <f t="shared" si="0"/>
        <v>258.99</v>
      </c>
      <c r="M50" s="2"/>
      <c r="N50" s="22">
        <f t="shared" si="1"/>
        <v>0</v>
      </c>
      <c r="O50" s="11"/>
      <c r="P50" s="2">
        <f>--258.99</f>
        <v>258.99</v>
      </c>
      <c r="Q50" s="2"/>
      <c r="R50" s="22"/>
      <c r="S50" s="2"/>
      <c r="T50" s="2"/>
      <c r="U50" s="2"/>
      <c r="V50" s="22"/>
      <c r="W50" s="2"/>
      <c r="X50" s="2">
        <f t="shared" si="2"/>
        <v>258.99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"4092", " - ", "TAXABLE SALES-GRAD MERCH")</f>
        <v xml:space="preserve">          4092 - TAXABLE SALES-GRAD MERCH</v>
      </c>
      <c r="C51" s="11"/>
      <c r="D51" s="2">
        <f>--2128.63</f>
        <v>2128.63</v>
      </c>
      <c r="E51" s="2"/>
      <c r="F51" s="22"/>
      <c r="G51" s="2"/>
      <c r="H51" s="2"/>
      <c r="I51" s="2"/>
      <c r="J51" s="22"/>
      <c r="K51" s="2"/>
      <c r="L51" s="2">
        <f t="shared" si="0"/>
        <v>2128.63</v>
      </c>
      <c r="M51" s="2"/>
      <c r="N51" s="22">
        <f t="shared" si="1"/>
        <v>0</v>
      </c>
      <c r="O51" s="11"/>
      <c r="P51" s="2">
        <f>--2128.63</f>
        <v>2128.63</v>
      </c>
      <c r="Q51" s="2"/>
      <c r="R51" s="22"/>
      <c r="S51" s="2"/>
      <c r="T51" s="2"/>
      <c r="U51" s="2"/>
      <c r="V51" s="22"/>
      <c r="W51" s="2"/>
      <c r="X51" s="2">
        <f t="shared" si="2"/>
        <v>2128.63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"4095", " - ", "TAXABLE SALES-CUSTOMER SERVICE")</f>
        <v xml:space="preserve">          4095 - TAXABLE SALES-CUSTOMER SERVICE</v>
      </c>
      <c r="C52" s="11"/>
      <c r="D52" s="2">
        <f>--46.53</f>
        <v>46.53</v>
      </c>
      <c r="E52" s="2"/>
      <c r="F52" s="22"/>
      <c r="G52" s="2"/>
      <c r="H52" s="2"/>
      <c r="I52" s="2"/>
      <c r="J52" s="22"/>
      <c r="K52" s="2"/>
      <c r="L52" s="2">
        <f t="shared" si="0"/>
        <v>46.53</v>
      </c>
      <c r="M52" s="2"/>
      <c r="N52" s="22">
        <f t="shared" si="1"/>
        <v>0</v>
      </c>
      <c r="O52" s="11"/>
      <c r="P52" s="2">
        <f>--46.53</f>
        <v>46.53</v>
      </c>
      <c r="Q52" s="2"/>
      <c r="R52" s="22"/>
      <c r="S52" s="2"/>
      <c r="T52" s="2"/>
      <c r="U52" s="2"/>
      <c r="V52" s="22"/>
      <c r="W52" s="2"/>
      <c r="X52" s="2">
        <f t="shared" si="2"/>
        <v>46.53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"4100", " - ", "NON-TAXABLE SALES")</f>
        <v xml:space="preserve">          4100 - NON-TAXABLE SALES</v>
      </c>
      <c r="C53" s="11"/>
      <c r="D53" s="2">
        <f>--41173.2</f>
        <v>41173.199999999997</v>
      </c>
      <c r="E53" s="2"/>
      <c r="F53" s="22"/>
      <c r="G53" s="2"/>
      <c r="H53" s="2">
        <v>849489</v>
      </c>
      <c r="I53" s="2"/>
      <c r="J53" s="22"/>
      <c r="K53" s="2"/>
      <c r="L53" s="2">
        <f t="shared" si="0"/>
        <v>-808315.8</v>
      </c>
      <c r="M53" s="2"/>
      <c r="N53" s="22">
        <f t="shared" si="1"/>
        <v>-0.95153180323700493</v>
      </c>
      <c r="O53" s="11"/>
      <c r="P53" s="2">
        <f>--41173.2</f>
        <v>41173.199999999997</v>
      </c>
      <c r="Q53" s="2"/>
      <c r="R53" s="22"/>
      <c r="S53" s="2"/>
      <c r="T53" s="2">
        <v>849489</v>
      </c>
      <c r="U53" s="2"/>
      <c r="V53" s="22"/>
      <c r="W53" s="2"/>
      <c r="X53" s="2">
        <f t="shared" si="2"/>
        <v>-808315.8</v>
      </c>
      <c r="Y53" s="2"/>
      <c r="Z53" s="22">
        <f t="shared" si="3"/>
        <v>-0.95153180323700493</v>
      </c>
    </row>
    <row r="54" spans="1:26" s="24" customFormat="1" hidden="1" outlineLevel="1" x14ac:dyDescent="0.25">
      <c r="A54" s="51"/>
      <c r="B54" s="11" t="str">
        <f>CONCATENATE("          ", "4101", " - ", "NON-TAXABLE SALES-NEW TEXT")</f>
        <v xml:space="preserve">          4101 - NON-TAXABLE SALES-NEW TEXT</v>
      </c>
      <c r="C54" s="11"/>
      <c r="D54" s="2">
        <f>--7736.58</f>
        <v>7736.58</v>
      </c>
      <c r="E54" s="2"/>
      <c r="F54" s="22"/>
      <c r="G54" s="2"/>
      <c r="H54" s="2"/>
      <c r="I54" s="2"/>
      <c r="J54" s="22"/>
      <c r="K54" s="2"/>
      <c r="L54" s="2">
        <f t="shared" si="0"/>
        <v>7736.58</v>
      </c>
      <c r="M54" s="2"/>
      <c r="N54" s="22">
        <f t="shared" si="1"/>
        <v>0</v>
      </c>
      <c r="O54" s="11"/>
      <c r="P54" s="2">
        <f>--7736.58</f>
        <v>7736.58</v>
      </c>
      <c r="Q54" s="2"/>
      <c r="R54" s="22"/>
      <c r="S54" s="2"/>
      <c r="T54" s="2"/>
      <c r="U54" s="2"/>
      <c r="V54" s="22"/>
      <c r="W54" s="2"/>
      <c r="X54" s="2">
        <f t="shared" si="2"/>
        <v>7736.58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"4102", " - ", "NON-TAXABLE SALES-USED TEXT")</f>
        <v xml:space="preserve">          4102 - NON-TAXABLE SALES-USED TEXT</v>
      </c>
      <c r="C55" s="11"/>
      <c r="D55" s="2">
        <f>--5359.24</f>
        <v>5359.24</v>
      </c>
      <c r="E55" s="2"/>
      <c r="F55" s="22"/>
      <c r="G55" s="2"/>
      <c r="H55" s="2"/>
      <c r="I55" s="2"/>
      <c r="J55" s="22"/>
      <c r="K55" s="2"/>
      <c r="L55" s="2">
        <f t="shared" si="0"/>
        <v>5359.24</v>
      </c>
      <c r="M55" s="2"/>
      <c r="N55" s="22">
        <f t="shared" si="1"/>
        <v>0</v>
      </c>
      <c r="O55" s="11"/>
      <c r="P55" s="2">
        <f>--5359.24</f>
        <v>5359.24</v>
      </c>
      <c r="Q55" s="2"/>
      <c r="R55" s="22"/>
      <c r="S55" s="2"/>
      <c r="T55" s="2"/>
      <c r="U55" s="2"/>
      <c r="V55" s="22"/>
      <c r="W55" s="2"/>
      <c r="X55" s="2">
        <f t="shared" si="2"/>
        <v>5359.24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"4104", " - ", "NON-TAXABLE SALES-DIGITAL TEXT")</f>
        <v xml:space="preserve">          4104 - NON-TAXABLE SALES-DIGITAL TEXT</v>
      </c>
      <c r="C56" s="11"/>
      <c r="D56" s="2">
        <f>--13424.17</f>
        <v>13424.17</v>
      </c>
      <c r="E56" s="2"/>
      <c r="F56" s="22"/>
      <c r="G56" s="2"/>
      <c r="H56" s="2"/>
      <c r="I56" s="2"/>
      <c r="J56" s="22"/>
      <c r="K56" s="2"/>
      <c r="L56" s="2">
        <f t="shared" si="0"/>
        <v>13424.17</v>
      </c>
      <c r="M56" s="2"/>
      <c r="N56" s="22">
        <f t="shared" si="1"/>
        <v>0</v>
      </c>
      <c r="O56" s="11"/>
      <c r="P56" s="2">
        <f>--13424.17</f>
        <v>13424.17</v>
      </c>
      <c r="Q56" s="2"/>
      <c r="R56" s="22"/>
      <c r="S56" s="2"/>
      <c r="T56" s="2"/>
      <c r="U56" s="2"/>
      <c r="V56" s="22"/>
      <c r="W56" s="2"/>
      <c r="X56" s="2">
        <f t="shared" si="2"/>
        <v>13424.17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"4111", " - ", "NON-TAXABLE SALES-NO VALUE TEX")</f>
        <v xml:space="preserve">          4111 - NON-TAXABLE SALES-NO VALUE TEX</v>
      </c>
      <c r="C57" s="11"/>
      <c r="D57" s="2">
        <f>--2680.95</f>
        <v>2680.95</v>
      </c>
      <c r="E57" s="2"/>
      <c r="F57" s="22"/>
      <c r="G57" s="2"/>
      <c r="H57" s="2"/>
      <c r="I57" s="2"/>
      <c r="J57" s="22"/>
      <c r="K57" s="2"/>
      <c r="L57" s="2">
        <f t="shared" si="0"/>
        <v>2680.95</v>
      </c>
      <c r="M57" s="2"/>
      <c r="N57" s="22">
        <f t="shared" si="1"/>
        <v>0</v>
      </c>
      <c r="O57" s="11"/>
      <c r="P57" s="2">
        <f>--2680.95</f>
        <v>2680.95</v>
      </c>
      <c r="Q57" s="2"/>
      <c r="R57" s="22"/>
      <c r="S57" s="2"/>
      <c r="T57" s="2"/>
      <c r="U57" s="2"/>
      <c r="V57" s="22"/>
      <c r="W57" s="2"/>
      <c r="X57" s="2">
        <f t="shared" si="2"/>
        <v>2680.95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"4113", " - ", "NON-TAXABLE SALES-TRADE BOOKS")</f>
        <v xml:space="preserve">          4113 - NON-TAXABLE SALES-TRADE BOOKS</v>
      </c>
      <c r="C58" s="11"/>
      <c r="D58" s="2">
        <f>--1134</f>
        <v>1134</v>
      </c>
      <c r="E58" s="2"/>
      <c r="F58" s="22"/>
      <c r="G58" s="2"/>
      <c r="H58" s="2"/>
      <c r="I58" s="2"/>
      <c r="J58" s="22"/>
      <c r="K58" s="2"/>
      <c r="L58" s="2">
        <f t="shared" si="0"/>
        <v>1134</v>
      </c>
      <c r="M58" s="2"/>
      <c r="N58" s="22">
        <f t="shared" si="1"/>
        <v>0</v>
      </c>
      <c r="O58" s="11"/>
      <c r="P58" s="2">
        <f>--1134</f>
        <v>1134</v>
      </c>
      <c r="Q58" s="2"/>
      <c r="R58" s="22"/>
      <c r="S58" s="2"/>
      <c r="T58" s="2"/>
      <c r="U58" s="2"/>
      <c r="V58" s="22"/>
      <c r="W58" s="2"/>
      <c r="X58" s="2">
        <f t="shared" si="2"/>
        <v>1134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"4118", " - ", "NON-TAXABLE SALES-STUDY GUIDES")</f>
        <v xml:space="preserve">          4118 - NON-TAXABLE SALES-STUDY GUIDES</v>
      </c>
      <c r="C59" s="11"/>
      <c r="D59" s="2">
        <f>--6.95</f>
        <v>6.95</v>
      </c>
      <c r="E59" s="2"/>
      <c r="F59" s="22"/>
      <c r="G59" s="2"/>
      <c r="H59" s="2"/>
      <c r="I59" s="2"/>
      <c r="J59" s="22"/>
      <c r="K59" s="2"/>
      <c r="L59" s="2">
        <f t="shared" si="0"/>
        <v>6.95</v>
      </c>
      <c r="M59" s="2"/>
      <c r="N59" s="22">
        <f t="shared" si="1"/>
        <v>0</v>
      </c>
      <c r="O59" s="11"/>
      <c r="P59" s="2">
        <f>--6.95</f>
        <v>6.95</v>
      </c>
      <c r="Q59" s="2"/>
      <c r="R59" s="22"/>
      <c r="S59" s="2"/>
      <c r="T59" s="2"/>
      <c r="U59" s="2"/>
      <c r="V59" s="22"/>
      <c r="W59" s="2"/>
      <c r="X59" s="2">
        <f t="shared" si="2"/>
        <v>6.95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"4125", " - ", "NON-TAXABLE SALES-TEST FORMS")</f>
        <v xml:space="preserve">          4125 - NON-TAXABLE SALES-TEST FORMS</v>
      </c>
      <c r="C60" s="11"/>
      <c r="D60" s="2">
        <f>--4.98</f>
        <v>4.9800000000000004</v>
      </c>
      <c r="E60" s="2"/>
      <c r="F60" s="22"/>
      <c r="G60" s="2"/>
      <c r="H60" s="2"/>
      <c r="I60" s="2"/>
      <c r="J60" s="22"/>
      <c r="K60" s="2"/>
      <c r="L60" s="2">
        <f t="shared" si="0"/>
        <v>4.9800000000000004</v>
      </c>
      <c r="M60" s="2"/>
      <c r="N60" s="22">
        <f t="shared" si="1"/>
        <v>0</v>
      </c>
      <c r="O60" s="11"/>
      <c r="P60" s="2">
        <f>--4.98</f>
        <v>4.9800000000000004</v>
      </c>
      <c r="Q60" s="2"/>
      <c r="R60" s="22"/>
      <c r="S60" s="2"/>
      <c r="T60" s="2"/>
      <c r="U60" s="2"/>
      <c r="V60" s="22"/>
      <c r="W60" s="2"/>
      <c r="X60" s="2">
        <f t="shared" si="2"/>
        <v>4.9800000000000004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"4126", " - ", "NON-TAXABLE SALES-WRITING INST")</f>
        <v xml:space="preserve">          4126 - NON-TAXABLE SALES-WRITING INST</v>
      </c>
      <c r="C61" s="11"/>
      <c r="D61" s="2">
        <f>--167.03</f>
        <v>167.03</v>
      </c>
      <c r="E61" s="2"/>
      <c r="F61" s="22"/>
      <c r="G61" s="2"/>
      <c r="H61" s="2"/>
      <c r="I61" s="2"/>
      <c r="J61" s="22"/>
      <c r="K61" s="2"/>
      <c r="L61" s="2">
        <f t="shared" si="0"/>
        <v>167.03</v>
      </c>
      <c r="M61" s="2"/>
      <c r="N61" s="22">
        <f t="shared" si="1"/>
        <v>0</v>
      </c>
      <c r="O61" s="11"/>
      <c r="P61" s="2">
        <f>--167.03</f>
        <v>167.03</v>
      </c>
      <c r="Q61" s="2"/>
      <c r="R61" s="22"/>
      <c r="S61" s="2"/>
      <c r="T61" s="2"/>
      <c r="U61" s="2"/>
      <c r="V61" s="22"/>
      <c r="W61" s="2"/>
      <c r="X61" s="2">
        <f t="shared" si="2"/>
        <v>167.03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"4127", " - ", "NON-TAXABLE SALES-SCHOOL SUPPL")</f>
        <v xml:space="preserve">          4127 - NON-TAXABLE SALES-SCHOOL SUPPL</v>
      </c>
      <c r="C62" s="11"/>
      <c r="D62" s="2">
        <f>--177.89</f>
        <v>177.89</v>
      </c>
      <c r="E62" s="2"/>
      <c r="F62" s="22"/>
      <c r="G62" s="2"/>
      <c r="H62" s="2"/>
      <c r="I62" s="2"/>
      <c r="J62" s="22"/>
      <c r="K62" s="2"/>
      <c r="L62" s="2">
        <f t="shared" si="0"/>
        <v>177.89</v>
      </c>
      <c r="M62" s="2"/>
      <c r="N62" s="22">
        <f t="shared" si="1"/>
        <v>0</v>
      </c>
      <c r="O62" s="11"/>
      <c r="P62" s="2">
        <f>--177.89</f>
        <v>177.89</v>
      </c>
      <c r="Q62" s="2"/>
      <c r="R62" s="22"/>
      <c r="S62" s="2"/>
      <c r="T62" s="2"/>
      <c r="U62" s="2"/>
      <c r="V62" s="22"/>
      <c r="W62" s="2"/>
      <c r="X62" s="2">
        <f t="shared" si="2"/>
        <v>177.89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"4128", " - ", "NON-TAXABLE SALES-ART/TECH")</f>
        <v xml:space="preserve">          4128 - NON-TAXABLE SALES-ART/TECH</v>
      </c>
      <c r="C63" s="11"/>
      <c r="D63" s="2">
        <f>--1.49</f>
        <v>1.49</v>
      </c>
      <c r="E63" s="2"/>
      <c r="F63" s="22"/>
      <c r="G63" s="2"/>
      <c r="H63" s="2"/>
      <c r="I63" s="2"/>
      <c r="J63" s="22"/>
      <c r="K63" s="2"/>
      <c r="L63" s="2">
        <f t="shared" si="0"/>
        <v>1.49</v>
      </c>
      <c r="M63" s="2"/>
      <c r="N63" s="22">
        <f t="shared" si="1"/>
        <v>0</v>
      </c>
      <c r="O63" s="11"/>
      <c r="P63" s="2">
        <f>--1.49</f>
        <v>1.49</v>
      </c>
      <c r="Q63" s="2"/>
      <c r="R63" s="22"/>
      <c r="S63" s="2"/>
      <c r="T63" s="2"/>
      <c r="U63" s="2"/>
      <c r="V63" s="22"/>
      <c r="W63" s="2"/>
      <c r="X63" s="2">
        <f t="shared" si="2"/>
        <v>1.49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"4131", " - ", "NON-TAXABLE SALES-FOOD")</f>
        <v xml:space="preserve">          4131 - NON-TAXABLE SALES-FOOD</v>
      </c>
      <c r="C64" s="11"/>
      <c r="D64" s="2">
        <f>--269.62</f>
        <v>269.62</v>
      </c>
      <c r="E64" s="2"/>
      <c r="F64" s="22"/>
      <c r="G64" s="2"/>
      <c r="H64" s="2"/>
      <c r="I64" s="2"/>
      <c r="J64" s="22"/>
      <c r="K64" s="2"/>
      <c r="L64" s="2">
        <f t="shared" si="0"/>
        <v>269.62</v>
      </c>
      <c r="M64" s="2"/>
      <c r="N64" s="22">
        <f t="shared" si="1"/>
        <v>0</v>
      </c>
      <c r="O64" s="11"/>
      <c r="P64" s="2">
        <f>--269.62</f>
        <v>269.62</v>
      </c>
      <c r="Q64" s="2"/>
      <c r="R64" s="22"/>
      <c r="S64" s="2"/>
      <c r="T64" s="2"/>
      <c r="U64" s="2"/>
      <c r="V64" s="22"/>
      <c r="W64" s="2"/>
      <c r="X64" s="2">
        <f t="shared" si="2"/>
        <v>269.62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"4132", " - ", "NON-TAXABLE SALES-JUICE")</f>
        <v xml:space="preserve">          4132 - NON-TAXABLE SALES-JUICE</v>
      </c>
      <c r="C65" s="11"/>
      <c r="D65" s="2">
        <f>--32132.94</f>
        <v>32132.94</v>
      </c>
      <c r="E65" s="2"/>
      <c r="F65" s="22"/>
      <c r="G65" s="2"/>
      <c r="H65" s="2"/>
      <c r="I65" s="2"/>
      <c r="J65" s="22"/>
      <c r="K65" s="2"/>
      <c r="L65" s="2">
        <f t="shared" si="0"/>
        <v>32132.94</v>
      </c>
      <c r="M65" s="2"/>
      <c r="N65" s="22">
        <f t="shared" si="1"/>
        <v>0</v>
      </c>
      <c r="O65" s="11"/>
      <c r="P65" s="2">
        <f>--32132.94</f>
        <v>32132.94</v>
      </c>
      <c r="Q65" s="2"/>
      <c r="R65" s="22"/>
      <c r="S65" s="2"/>
      <c r="T65" s="2"/>
      <c r="U65" s="2"/>
      <c r="V65" s="22"/>
      <c r="W65" s="2"/>
      <c r="X65" s="2">
        <f t="shared" si="2"/>
        <v>32132.94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"4133", " - ", "NON-TAXABLE SALES-CANDY")</f>
        <v xml:space="preserve">          4133 - NON-TAXABLE SALES-CANDY</v>
      </c>
      <c r="C66" s="11"/>
      <c r="D66" s="2">
        <f>--472.22</f>
        <v>472.22</v>
      </c>
      <c r="E66" s="2"/>
      <c r="F66" s="22"/>
      <c r="G66" s="2"/>
      <c r="H66" s="2"/>
      <c r="I66" s="2"/>
      <c r="J66" s="22"/>
      <c r="K66" s="2"/>
      <c r="L66" s="2">
        <f t="shared" si="0"/>
        <v>472.22</v>
      </c>
      <c r="M66" s="2"/>
      <c r="N66" s="22">
        <f t="shared" si="1"/>
        <v>0</v>
      </c>
      <c r="O66" s="11"/>
      <c r="P66" s="2">
        <f>--472.22</f>
        <v>472.22</v>
      </c>
      <c r="Q66" s="2"/>
      <c r="R66" s="22"/>
      <c r="S66" s="2"/>
      <c r="T66" s="2"/>
      <c r="U66" s="2"/>
      <c r="V66" s="22"/>
      <c r="W66" s="2"/>
      <c r="X66" s="2">
        <f t="shared" si="2"/>
        <v>472.22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"4134", " - ", "NON-TAXABLE SALES-SODA")</f>
        <v xml:space="preserve">          4134 - NON-TAXABLE SALES-SODA</v>
      </c>
      <c r="C67" s="11"/>
      <c r="D67" s="2">
        <f>-3.39</f>
        <v>-3.39</v>
      </c>
      <c r="E67" s="2"/>
      <c r="F67" s="22"/>
      <c r="G67" s="2"/>
      <c r="H67" s="2"/>
      <c r="I67" s="2"/>
      <c r="J67" s="22"/>
      <c r="K67" s="2"/>
      <c r="L67" s="2">
        <f t="shared" si="0"/>
        <v>-3.39</v>
      </c>
      <c r="M67" s="2"/>
      <c r="N67" s="22">
        <f t="shared" si="1"/>
        <v>0</v>
      </c>
      <c r="O67" s="11"/>
      <c r="P67" s="2">
        <f>-3.39</f>
        <v>-3.39</v>
      </c>
      <c r="Q67" s="2"/>
      <c r="R67" s="22"/>
      <c r="S67" s="2"/>
      <c r="T67" s="2"/>
      <c r="U67" s="2"/>
      <c r="V67" s="22"/>
      <c r="W67" s="2"/>
      <c r="X67" s="2">
        <f t="shared" si="2"/>
        <v>-3.39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"4135", " - ", "NON-TAXABLE SALES")</f>
        <v xml:space="preserve">          4135 - NON-TAXABLE SALES</v>
      </c>
      <c r="C68" s="11"/>
      <c r="D68" s="2">
        <f>--21.54</f>
        <v>21.54</v>
      </c>
      <c r="E68" s="2"/>
      <c r="F68" s="22"/>
      <c r="G68" s="2"/>
      <c r="H68" s="2"/>
      <c r="I68" s="2"/>
      <c r="J68" s="22"/>
      <c r="K68" s="2"/>
      <c r="L68" s="2">
        <f t="shared" si="0"/>
        <v>21.54</v>
      </c>
      <c r="M68" s="2"/>
      <c r="N68" s="22">
        <f t="shared" si="1"/>
        <v>0</v>
      </c>
      <c r="O68" s="11"/>
      <c r="P68" s="2">
        <f>--21.54</f>
        <v>21.54</v>
      </c>
      <c r="Q68" s="2"/>
      <c r="R68" s="22"/>
      <c r="S68" s="2"/>
      <c r="T68" s="2"/>
      <c r="U68" s="2"/>
      <c r="V68" s="22"/>
      <c r="W68" s="2"/>
      <c r="X68" s="2">
        <f t="shared" si="2"/>
        <v>21.54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"4137", " - ", "NON-TAXABLE SALES-WATER")</f>
        <v xml:space="preserve">          4137 - NON-TAXABLE SALES-WATER</v>
      </c>
      <c r="C69" s="11"/>
      <c r="D69" s="2">
        <f>--263.52</f>
        <v>263.52</v>
      </c>
      <c r="E69" s="2"/>
      <c r="F69" s="22"/>
      <c r="G69" s="2"/>
      <c r="H69" s="2"/>
      <c r="I69" s="2"/>
      <c r="J69" s="22"/>
      <c r="K69" s="2"/>
      <c r="L69" s="2">
        <f t="shared" si="0"/>
        <v>263.52</v>
      </c>
      <c r="M69" s="2"/>
      <c r="N69" s="22">
        <f t="shared" si="1"/>
        <v>0</v>
      </c>
      <c r="O69" s="11"/>
      <c r="P69" s="2">
        <f>--263.52</f>
        <v>263.52</v>
      </c>
      <c r="Q69" s="2"/>
      <c r="R69" s="22"/>
      <c r="S69" s="2"/>
      <c r="T69" s="2"/>
      <c r="U69" s="2"/>
      <c r="V69" s="22"/>
      <c r="W69" s="2"/>
      <c r="X69" s="2">
        <f t="shared" si="2"/>
        <v>263.52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"4140", " - ", "NON-TAXABLE SALES-LOGO CLOTHIN")</f>
        <v xml:space="preserve">          4140 - NON-TAXABLE SALES-LOGO CLOTHIN</v>
      </c>
      <c r="C70" s="11"/>
      <c r="D70" s="2">
        <f>--3163.67</f>
        <v>3163.67</v>
      </c>
      <c r="E70" s="2"/>
      <c r="F70" s="22"/>
      <c r="G70" s="2"/>
      <c r="H70" s="2"/>
      <c r="I70" s="2"/>
      <c r="J70" s="22"/>
      <c r="K70" s="2"/>
      <c r="L70" s="2">
        <f t="shared" si="0"/>
        <v>3163.67</v>
      </c>
      <c r="M70" s="2"/>
      <c r="N70" s="22">
        <f t="shared" si="1"/>
        <v>0</v>
      </c>
      <c r="O70" s="11"/>
      <c r="P70" s="2">
        <f>--3163.67</f>
        <v>3163.67</v>
      </c>
      <c r="Q70" s="2"/>
      <c r="R70" s="22"/>
      <c r="S70" s="2"/>
      <c r="T70" s="2"/>
      <c r="U70" s="2"/>
      <c r="V70" s="22"/>
      <c r="W70" s="2"/>
      <c r="X70" s="2">
        <f t="shared" si="2"/>
        <v>3163.67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"4141", " - ", "NON-TAXABLE SALES-LOGO GIFTS")</f>
        <v xml:space="preserve">          4141 - NON-TAXABLE SALES-LOGO GIFTS</v>
      </c>
      <c r="C71" s="11"/>
      <c r="D71" s="2">
        <f>--262.15</f>
        <v>262.14999999999998</v>
      </c>
      <c r="E71" s="2"/>
      <c r="F71" s="22"/>
      <c r="G71" s="2"/>
      <c r="H71" s="2"/>
      <c r="I71" s="2"/>
      <c r="J71" s="22"/>
      <c r="K71" s="2"/>
      <c r="L71" s="2">
        <f t="shared" si="0"/>
        <v>262.14999999999998</v>
      </c>
      <c r="M71" s="2"/>
      <c r="N71" s="22">
        <f t="shared" si="1"/>
        <v>0</v>
      </c>
      <c r="O71" s="11"/>
      <c r="P71" s="2">
        <f>--262.15</f>
        <v>262.14999999999998</v>
      </c>
      <c r="Q71" s="2"/>
      <c r="R71" s="22"/>
      <c r="S71" s="2"/>
      <c r="T71" s="2"/>
      <c r="U71" s="2"/>
      <c r="V71" s="22"/>
      <c r="W71" s="2"/>
      <c r="X71" s="2">
        <f t="shared" si="2"/>
        <v>262.14999999999998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"4142", " - ", "NON-TAXABLE SALES-EVERYDAY GIF")</f>
        <v xml:space="preserve">          4142 - NON-TAXABLE SALES-EVERYDAY GIF</v>
      </c>
      <c r="C72" s="11"/>
      <c r="D72" s="2">
        <f>--342.44</f>
        <v>342.44</v>
      </c>
      <c r="E72" s="2"/>
      <c r="F72" s="22"/>
      <c r="G72" s="2"/>
      <c r="H72" s="2"/>
      <c r="I72" s="2"/>
      <c r="J72" s="22"/>
      <c r="K72" s="2"/>
      <c r="L72" s="2">
        <f t="shared" si="0"/>
        <v>342.44</v>
      </c>
      <c r="M72" s="2"/>
      <c r="N72" s="22">
        <f t="shared" si="1"/>
        <v>0</v>
      </c>
      <c r="O72" s="11"/>
      <c r="P72" s="2">
        <f>--342.44</f>
        <v>342.44</v>
      </c>
      <c r="Q72" s="2"/>
      <c r="R72" s="22"/>
      <c r="S72" s="2"/>
      <c r="T72" s="2"/>
      <c r="U72" s="2"/>
      <c r="V72" s="22"/>
      <c r="W72" s="2"/>
      <c r="X72" s="2">
        <f t="shared" si="2"/>
        <v>342.44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"4144", " - ", "NON-TAXABLE SALES-ACCESSORIES")</f>
        <v xml:space="preserve">          4144 - NON-TAXABLE SALES-ACCESSORIES</v>
      </c>
      <c r="C73" s="11"/>
      <c r="D73" s="2">
        <f>--21.9</f>
        <v>21.9</v>
      </c>
      <c r="E73" s="2"/>
      <c r="F73" s="22"/>
      <c r="G73" s="2"/>
      <c r="H73" s="2"/>
      <c r="I73" s="2"/>
      <c r="J73" s="22"/>
      <c r="K73" s="2"/>
      <c r="L73" s="2">
        <f t="shared" si="0"/>
        <v>21.9</v>
      </c>
      <c r="M73" s="2"/>
      <c r="N73" s="22">
        <f t="shared" si="1"/>
        <v>0</v>
      </c>
      <c r="O73" s="11"/>
      <c r="P73" s="2">
        <f>--21.9</f>
        <v>21.9</v>
      </c>
      <c r="Q73" s="2"/>
      <c r="R73" s="22"/>
      <c r="S73" s="2"/>
      <c r="T73" s="2"/>
      <c r="U73" s="2"/>
      <c r="V73" s="22"/>
      <c r="W73" s="2"/>
      <c r="X73" s="2">
        <f t="shared" si="2"/>
        <v>21.9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--2067.1</f>
        <v>2067.1</v>
      </c>
      <c r="E74" s="2"/>
      <c r="F74" s="22"/>
      <c r="G74" s="2"/>
      <c r="H74" s="2"/>
      <c r="I74" s="2"/>
      <c r="J74" s="22"/>
      <c r="K74" s="2"/>
      <c r="L74" s="2">
        <f t="shared" si="0"/>
        <v>2067.1</v>
      </c>
      <c r="M74" s="2"/>
      <c r="N74" s="22">
        <f t="shared" si="1"/>
        <v>0</v>
      </c>
      <c r="O74" s="11"/>
      <c r="P74" s="2">
        <f>--2067.1</f>
        <v>2067.1</v>
      </c>
      <c r="Q74" s="2"/>
      <c r="R74" s="22"/>
      <c r="S74" s="2"/>
      <c r="T74" s="2"/>
      <c r="U74" s="2"/>
      <c r="V74" s="22"/>
      <c r="W74" s="2"/>
      <c r="X74" s="2">
        <f t="shared" si="2"/>
        <v>2067.1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"4147", " - ", "NON-TAXABLE SALES-MISC")</f>
        <v xml:space="preserve">          4147 - NON-TAXABLE SALES-MISC</v>
      </c>
      <c r="C75" s="11"/>
      <c r="D75" s="2">
        <f>--16.5</f>
        <v>16.5</v>
      </c>
      <c r="E75" s="2"/>
      <c r="F75" s="22"/>
      <c r="G75" s="2"/>
      <c r="H75" s="2"/>
      <c r="I75" s="2"/>
      <c r="J75" s="22"/>
      <c r="K75" s="2"/>
      <c r="L75" s="2">
        <f t="shared" si="0"/>
        <v>16.5</v>
      </c>
      <c r="M75" s="2"/>
      <c r="N75" s="22">
        <f t="shared" si="1"/>
        <v>0</v>
      </c>
      <c r="O75" s="11"/>
      <c r="P75" s="2">
        <f>--16.5</f>
        <v>16.5</v>
      </c>
      <c r="Q75" s="2"/>
      <c r="R75" s="22"/>
      <c r="S75" s="2"/>
      <c r="T75" s="2"/>
      <c r="U75" s="2"/>
      <c r="V75" s="22"/>
      <c r="W75" s="2"/>
      <c r="X75" s="2">
        <f t="shared" si="2"/>
        <v>16.5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"4151", " - ", "NON-TAXABLE SALES-FOOD")</f>
        <v xml:space="preserve">          4151 - NON-TAXABLE SALES-FOOD</v>
      </c>
      <c r="C76" s="11"/>
      <c r="D76" s="2">
        <f>--535043.02</f>
        <v>535043.02</v>
      </c>
      <c r="E76" s="2"/>
      <c r="F76" s="22"/>
      <c r="G76" s="2"/>
      <c r="H76" s="2"/>
      <c r="I76" s="2"/>
      <c r="J76" s="22"/>
      <c r="K76" s="2"/>
      <c r="L76" s="2">
        <f t="shared" si="0"/>
        <v>535043.02</v>
      </c>
      <c r="M76" s="2"/>
      <c r="N76" s="22">
        <f t="shared" si="1"/>
        <v>0</v>
      </c>
      <c r="O76" s="11"/>
      <c r="P76" s="2">
        <f>--535043.02</f>
        <v>535043.02</v>
      </c>
      <c r="Q76" s="2"/>
      <c r="R76" s="22"/>
      <c r="S76" s="2"/>
      <c r="T76" s="2"/>
      <c r="U76" s="2"/>
      <c r="V76" s="22"/>
      <c r="W76" s="2"/>
      <c r="X76" s="2">
        <f t="shared" si="2"/>
        <v>535043.02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"4152", " - ", "NON-TAXABLE SALES-FOOD")</f>
        <v xml:space="preserve">          4152 - NON-TAXABLE SALES-FOOD</v>
      </c>
      <c r="C77" s="11"/>
      <c r="D77" s="2">
        <f>--3667.09</f>
        <v>3667.09</v>
      </c>
      <c r="E77" s="2"/>
      <c r="F77" s="22"/>
      <c r="G77" s="2"/>
      <c r="H77" s="2"/>
      <c r="I77" s="2"/>
      <c r="J77" s="22"/>
      <c r="K77" s="2"/>
      <c r="L77" s="2">
        <f t="shared" si="0"/>
        <v>3667.09</v>
      </c>
      <c r="M77" s="2"/>
      <c r="N77" s="22">
        <f t="shared" si="1"/>
        <v>0</v>
      </c>
      <c r="O77" s="11"/>
      <c r="P77" s="2">
        <f>--3667.09</f>
        <v>3667.09</v>
      </c>
      <c r="Q77" s="2"/>
      <c r="R77" s="22"/>
      <c r="S77" s="2"/>
      <c r="T77" s="2"/>
      <c r="U77" s="2"/>
      <c r="V77" s="22"/>
      <c r="W77" s="2"/>
      <c r="X77" s="2">
        <f t="shared" si="2"/>
        <v>3667.09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"4153", " - ", "NON-TAXABLE SALES-FOOD")</f>
        <v xml:space="preserve">          4153 - NON-TAXABLE SALES-FOOD</v>
      </c>
      <c r="C78" s="11"/>
      <c r="D78" s="2">
        <f>--19248.71</f>
        <v>19248.71</v>
      </c>
      <c r="E78" s="2"/>
      <c r="F78" s="22"/>
      <c r="G78" s="2"/>
      <c r="H78" s="2"/>
      <c r="I78" s="2"/>
      <c r="J78" s="22"/>
      <c r="K78" s="2"/>
      <c r="L78" s="2">
        <f t="shared" si="0"/>
        <v>19248.71</v>
      </c>
      <c r="M78" s="2"/>
      <c r="N78" s="22">
        <f t="shared" si="1"/>
        <v>0</v>
      </c>
      <c r="O78" s="11"/>
      <c r="P78" s="2">
        <f>--19248.71</f>
        <v>19248.71</v>
      </c>
      <c r="Q78" s="2"/>
      <c r="R78" s="22"/>
      <c r="S78" s="2"/>
      <c r="T78" s="2"/>
      <c r="U78" s="2"/>
      <c r="V78" s="22"/>
      <c r="W78" s="2"/>
      <c r="X78" s="2">
        <f t="shared" si="2"/>
        <v>19248.71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"4155", " - ", "NON-TAXABLE SALES-FOOD")</f>
        <v xml:space="preserve">          4155 - NON-TAXABLE SALES-FOOD</v>
      </c>
      <c r="C79" s="11"/>
      <c r="D79" s="2">
        <f>--25636.66</f>
        <v>25636.66</v>
      </c>
      <c r="E79" s="2"/>
      <c r="F79" s="22"/>
      <c r="G79" s="2"/>
      <c r="H79" s="2"/>
      <c r="I79" s="2"/>
      <c r="J79" s="22"/>
      <c r="K79" s="2"/>
      <c r="L79" s="2">
        <f t="shared" si="0"/>
        <v>25636.66</v>
      </c>
      <c r="M79" s="2"/>
      <c r="N79" s="22">
        <f t="shared" si="1"/>
        <v>0</v>
      </c>
      <c r="O79" s="11"/>
      <c r="P79" s="2">
        <f>--25636.66</f>
        <v>25636.66</v>
      </c>
      <c r="Q79" s="2"/>
      <c r="R79" s="22"/>
      <c r="S79" s="2"/>
      <c r="T79" s="2"/>
      <c r="U79" s="2"/>
      <c r="V79" s="22"/>
      <c r="W79" s="2"/>
      <c r="X79" s="2">
        <f t="shared" si="2"/>
        <v>25636.66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"4158", " - ", "NON-TAXABLE SALES-FOOD")</f>
        <v xml:space="preserve">          4158 - NON-TAXABLE SALES-FOOD</v>
      </c>
      <c r="C80" s="11"/>
      <c r="D80" s="2">
        <f>--9559.69</f>
        <v>9559.69</v>
      </c>
      <c r="E80" s="2"/>
      <c r="F80" s="22"/>
      <c r="G80" s="2"/>
      <c r="H80" s="2"/>
      <c r="I80" s="2"/>
      <c r="J80" s="22"/>
      <c r="K80" s="2"/>
      <c r="L80" s="2">
        <f t="shared" si="0"/>
        <v>9559.69</v>
      </c>
      <c r="M80" s="2"/>
      <c r="N80" s="22">
        <f t="shared" si="1"/>
        <v>0</v>
      </c>
      <c r="O80" s="11"/>
      <c r="P80" s="2">
        <f>--9559.69</f>
        <v>9559.69</v>
      </c>
      <c r="Q80" s="2"/>
      <c r="R80" s="22"/>
      <c r="S80" s="2"/>
      <c r="T80" s="2"/>
      <c r="U80" s="2"/>
      <c r="V80" s="22"/>
      <c r="W80" s="2"/>
      <c r="X80" s="2">
        <f t="shared" si="2"/>
        <v>9559.69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"4181", " - ", "NON-TAXABLE SALES-ELECTRONICS")</f>
        <v xml:space="preserve">          4181 - NON-TAXABLE SALES-ELECTRONICS</v>
      </c>
      <c r="C81" s="11"/>
      <c r="D81" s="2">
        <f>--1302.61</f>
        <v>1302.6099999999999</v>
      </c>
      <c r="E81" s="2"/>
      <c r="F81" s="22"/>
      <c r="G81" s="2"/>
      <c r="H81" s="2"/>
      <c r="I81" s="2"/>
      <c r="J81" s="22"/>
      <c r="K81" s="2"/>
      <c r="L81" s="2">
        <f t="shared" si="0"/>
        <v>1302.6099999999999</v>
      </c>
      <c r="M81" s="2"/>
      <c r="N81" s="22">
        <f t="shared" si="1"/>
        <v>0</v>
      </c>
      <c r="O81" s="11"/>
      <c r="P81" s="2">
        <f>--1302.61</f>
        <v>1302.6099999999999</v>
      </c>
      <c r="Q81" s="2"/>
      <c r="R81" s="22"/>
      <c r="S81" s="2"/>
      <c r="T81" s="2"/>
      <c r="U81" s="2"/>
      <c r="V81" s="22"/>
      <c r="W81" s="2"/>
      <c r="X81" s="2">
        <f t="shared" si="2"/>
        <v>1302.6099999999999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"4182", " - ", "NON-TAXABLE SALES-COMPUTER HAR")</f>
        <v xml:space="preserve">          4182 - NON-TAXABLE SALES-COMPUTER HAR</v>
      </c>
      <c r="C82" s="11"/>
      <c r="D82" s="2">
        <f>--10618</f>
        <v>10618</v>
      </c>
      <c r="E82" s="2"/>
      <c r="F82" s="22"/>
      <c r="G82" s="2"/>
      <c r="H82" s="2"/>
      <c r="I82" s="2"/>
      <c r="J82" s="22"/>
      <c r="K82" s="2"/>
      <c r="L82" s="2">
        <f t="shared" si="0"/>
        <v>10618</v>
      </c>
      <c r="M82" s="2"/>
      <c r="N82" s="22">
        <f t="shared" si="1"/>
        <v>0</v>
      </c>
      <c r="O82" s="11"/>
      <c r="P82" s="2">
        <f>--10618</f>
        <v>10618</v>
      </c>
      <c r="Q82" s="2"/>
      <c r="R82" s="22"/>
      <c r="S82" s="2"/>
      <c r="T82" s="2"/>
      <c r="U82" s="2"/>
      <c r="V82" s="22"/>
      <c r="W82" s="2"/>
      <c r="X82" s="2">
        <f t="shared" si="2"/>
        <v>10618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"4183", " - ", "NON-TAXABLE SALES-COMPUTER EQU")</f>
        <v xml:space="preserve">          4183 - NON-TAXABLE SALES-COMPUTER EQU</v>
      </c>
      <c r="C83" s="11"/>
      <c r="D83" s="2">
        <f>--181.9</f>
        <v>181.9</v>
      </c>
      <c r="E83" s="2"/>
      <c r="F83" s="22"/>
      <c r="G83" s="2"/>
      <c r="H83" s="2"/>
      <c r="I83" s="2"/>
      <c r="J83" s="22"/>
      <c r="K83" s="2"/>
      <c r="L83" s="2">
        <f t="shared" si="0"/>
        <v>181.9</v>
      </c>
      <c r="M83" s="2"/>
      <c r="N83" s="22">
        <f t="shared" si="1"/>
        <v>0</v>
      </c>
      <c r="O83" s="11"/>
      <c r="P83" s="2">
        <f>--181.9</f>
        <v>181.9</v>
      </c>
      <c r="Q83" s="2"/>
      <c r="R83" s="22"/>
      <c r="S83" s="2"/>
      <c r="T83" s="2"/>
      <c r="U83" s="2"/>
      <c r="V83" s="22"/>
      <c r="W83" s="2"/>
      <c r="X83" s="2">
        <f t="shared" si="2"/>
        <v>181.9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"4185", " - ", "NON-TAXABLE SALES-SOFTWARE")</f>
        <v xml:space="preserve">          4185 - NON-TAXABLE SALES-SOFTWARE</v>
      </c>
      <c r="C84" s="11"/>
      <c r="D84" s="2">
        <f>--752</f>
        <v>752</v>
      </c>
      <c r="E84" s="2"/>
      <c r="F84" s="22"/>
      <c r="G84" s="2"/>
      <c r="H84" s="2"/>
      <c r="I84" s="2"/>
      <c r="J84" s="22"/>
      <c r="K84" s="2"/>
      <c r="L84" s="2">
        <f t="shared" si="0"/>
        <v>752</v>
      </c>
      <c r="M84" s="2"/>
      <c r="N84" s="22">
        <f t="shared" si="1"/>
        <v>0</v>
      </c>
      <c r="O84" s="11"/>
      <c r="P84" s="2">
        <f>--752</f>
        <v>752</v>
      </c>
      <c r="Q84" s="2"/>
      <c r="R84" s="22"/>
      <c r="S84" s="2"/>
      <c r="T84" s="2"/>
      <c r="U84" s="2"/>
      <c r="V84" s="22"/>
      <c r="W84" s="2"/>
      <c r="X84" s="2">
        <f t="shared" si="2"/>
        <v>752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"4186", " - ", "NON-TAXABLE SALES-COMPUTER SUP")</f>
        <v xml:space="preserve">          4186 - NON-TAXABLE SALES-COMPUTER SUP</v>
      </c>
      <c r="C85" s="11"/>
      <c r="D85" s="2">
        <f>--79.97</f>
        <v>79.97</v>
      </c>
      <c r="E85" s="2"/>
      <c r="F85" s="22"/>
      <c r="G85" s="2"/>
      <c r="H85" s="2"/>
      <c r="I85" s="2"/>
      <c r="J85" s="22"/>
      <c r="K85" s="2"/>
      <c r="L85" s="2">
        <f t="shared" si="0"/>
        <v>79.97</v>
      </c>
      <c r="M85" s="2"/>
      <c r="N85" s="22">
        <f t="shared" si="1"/>
        <v>0</v>
      </c>
      <c r="O85" s="11"/>
      <c r="P85" s="2">
        <f>--79.97</f>
        <v>79.97</v>
      </c>
      <c r="Q85" s="2"/>
      <c r="R85" s="22"/>
      <c r="S85" s="2"/>
      <c r="T85" s="2"/>
      <c r="U85" s="2"/>
      <c r="V85" s="22"/>
      <c r="W85" s="2"/>
      <c r="X85" s="2">
        <f t="shared" si="2"/>
        <v>79.97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"4188", " - ", "NON-TAXABLE SALES-MUSIC")</f>
        <v xml:space="preserve">          4188 - NON-TAXABLE SALES-MUSIC</v>
      </c>
      <c r="C86" s="11"/>
      <c r="D86" s="2">
        <f>--99.98</f>
        <v>99.98</v>
      </c>
      <c r="E86" s="2"/>
      <c r="F86" s="22"/>
      <c r="G86" s="2"/>
      <c r="H86" s="2"/>
      <c r="I86" s="2"/>
      <c r="J86" s="22"/>
      <c r="K86" s="2"/>
      <c r="L86" s="2">
        <f t="shared" si="0"/>
        <v>99.98</v>
      </c>
      <c r="M86" s="2"/>
      <c r="N86" s="22">
        <f t="shared" si="1"/>
        <v>0</v>
      </c>
      <c r="O86" s="11"/>
      <c r="P86" s="2">
        <f>--99.98</f>
        <v>99.98</v>
      </c>
      <c r="Q86" s="2"/>
      <c r="R86" s="22"/>
      <c r="S86" s="2"/>
      <c r="T86" s="2"/>
      <c r="U86" s="2"/>
      <c r="V86" s="22"/>
      <c r="W86" s="2"/>
      <c r="X86" s="2">
        <f t="shared" si="2"/>
        <v>99.98</v>
      </c>
      <c r="Y86" s="2"/>
      <c r="Z86" s="22">
        <f t="shared" si="3"/>
        <v>0</v>
      </c>
    </row>
    <row r="87" spans="1:26" s="24" customFormat="1" hidden="1" outlineLevel="1" x14ac:dyDescent="0.25">
      <c r="A87" s="51"/>
      <c r="B87" s="11" t="str">
        <f>CONCATENATE("          ", "4201", " - ", "SALES RETURN TAXABLE-NEW TEXT")</f>
        <v xml:space="preserve">          4201 - SALES RETURN TAXABLE-NEW TEXT</v>
      </c>
      <c r="C87" s="11"/>
      <c r="D87" s="2">
        <f>-607.15</f>
        <v>-607.15</v>
      </c>
      <c r="E87" s="2"/>
      <c r="F87" s="22"/>
      <c r="G87" s="2"/>
      <c r="H87" s="2"/>
      <c r="I87" s="2"/>
      <c r="J87" s="22"/>
      <c r="K87" s="2"/>
      <c r="L87" s="2">
        <f t="shared" si="0"/>
        <v>-607.15</v>
      </c>
      <c r="M87" s="2"/>
      <c r="N87" s="22">
        <f t="shared" si="1"/>
        <v>0</v>
      </c>
      <c r="O87" s="11"/>
      <c r="P87" s="2">
        <f>-607.15</f>
        <v>-607.15</v>
      </c>
      <c r="Q87" s="2"/>
      <c r="R87" s="22"/>
      <c r="S87" s="2"/>
      <c r="T87" s="2"/>
      <c r="U87" s="2"/>
      <c r="V87" s="22"/>
      <c r="W87" s="2"/>
      <c r="X87" s="2">
        <f t="shared" si="2"/>
        <v>-607.15</v>
      </c>
      <c r="Y87" s="2"/>
      <c r="Z87" s="22">
        <f t="shared" si="3"/>
        <v>0</v>
      </c>
    </row>
    <row r="88" spans="1:26" s="24" customFormat="1" hidden="1" outlineLevel="1" x14ac:dyDescent="0.25">
      <c r="A88" s="51"/>
      <c r="B88" s="11" t="str">
        <f>CONCATENATE("          ", "4202", " - ", "SALES RETURN TAXABLE-USED TEXT")</f>
        <v xml:space="preserve">          4202 - SALES RETURN TAXABLE-USED TEXT</v>
      </c>
      <c r="C88" s="11"/>
      <c r="D88" s="2">
        <f>-721.45</f>
        <v>-721.45</v>
      </c>
      <c r="E88" s="2"/>
      <c r="F88" s="22"/>
      <c r="G88" s="2"/>
      <c r="H88" s="2"/>
      <c r="I88" s="2"/>
      <c r="J88" s="22"/>
      <c r="K88" s="2"/>
      <c r="L88" s="2">
        <f t="shared" si="0"/>
        <v>-721.45</v>
      </c>
      <c r="M88" s="2"/>
      <c r="N88" s="22">
        <f t="shared" si="1"/>
        <v>0</v>
      </c>
      <c r="O88" s="11"/>
      <c r="P88" s="2">
        <f>-721.45</f>
        <v>-721.45</v>
      </c>
      <c r="Q88" s="2"/>
      <c r="R88" s="22"/>
      <c r="S88" s="2"/>
      <c r="T88" s="2"/>
      <c r="U88" s="2"/>
      <c r="V88" s="22"/>
      <c r="W88" s="2"/>
      <c r="X88" s="2">
        <f t="shared" si="2"/>
        <v>-721.45</v>
      </c>
      <c r="Y88" s="2"/>
      <c r="Z88" s="22">
        <f t="shared" si="3"/>
        <v>0</v>
      </c>
    </row>
    <row r="89" spans="1:26" s="24" customFormat="1" hidden="1" outlineLevel="1" x14ac:dyDescent="0.25">
      <c r="A89" s="51"/>
      <c r="B89" s="11" t="str">
        <f>CONCATENATE("          ", "4225", " - ", "SALES RETURN TAXABLE-TEST FORM")</f>
        <v xml:space="preserve">          4225 - SALES RETURN TAXABLE-TEST FORM</v>
      </c>
      <c r="C89" s="11"/>
      <c r="D89" s="2">
        <f>-4.08</f>
        <v>-4.08</v>
      </c>
      <c r="E89" s="2"/>
      <c r="F89" s="22"/>
      <c r="G89" s="2"/>
      <c r="H89" s="2"/>
      <c r="I89" s="2"/>
      <c r="J89" s="22"/>
      <c r="K89" s="2"/>
      <c r="L89" s="2">
        <f t="shared" si="0"/>
        <v>-4.08</v>
      </c>
      <c r="M89" s="2"/>
      <c r="N89" s="22">
        <f t="shared" si="1"/>
        <v>0</v>
      </c>
      <c r="O89" s="11"/>
      <c r="P89" s="2">
        <f>-4.08</f>
        <v>-4.08</v>
      </c>
      <c r="Q89" s="2"/>
      <c r="R89" s="22"/>
      <c r="S89" s="2"/>
      <c r="T89" s="2"/>
      <c r="U89" s="2"/>
      <c r="V89" s="22"/>
      <c r="W89" s="2"/>
      <c r="X89" s="2">
        <f t="shared" si="2"/>
        <v>-4.08</v>
      </c>
      <c r="Y89" s="2"/>
      <c r="Z89" s="22">
        <f t="shared" si="3"/>
        <v>0</v>
      </c>
    </row>
    <row r="90" spans="1:26" s="24" customFormat="1" hidden="1" outlineLevel="1" x14ac:dyDescent="0.25">
      <c r="A90" s="51"/>
      <c r="B90" s="11" t="str">
        <f>CONCATENATE("          ", "4226", " - ", "SALES RETURN TAXABLE-WRITING I")</f>
        <v xml:space="preserve">          4226 - SALES RETURN TAXABLE-WRITING I</v>
      </c>
      <c r="C90" s="11"/>
      <c r="D90" s="2">
        <f>-63.93</f>
        <v>-63.93</v>
      </c>
      <c r="E90" s="2"/>
      <c r="F90" s="22"/>
      <c r="G90" s="2"/>
      <c r="H90" s="2"/>
      <c r="I90" s="2"/>
      <c r="J90" s="22"/>
      <c r="K90" s="2"/>
      <c r="L90" s="2">
        <f t="shared" si="0"/>
        <v>-63.93</v>
      </c>
      <c r="M90" s="2"/>
      <c r="N90" s="22">
        <f t="shared" si="1"/>
        <v>0</v>
      </c>
      <c r="O90" s="11"/>
      <c r="P90" s="2">
        <f>-63.93</f>
        <v>-63.93</v>
      </c>
      <c r="Q90" s="2"/>
      <c r="R90" s="22"/>
      <c r="S90" s="2"/>
      <c r="T90" s="2"/>
      <c r="U90" s="2"/>
      <c r="V90" s="22"/>
      <c r="W90" s="2"/>
      <c r="X90" s="2">
        <f t="shared" si="2"/>
        <v>-63.93</v>
      </c>
      <c r="Y90" s="2"/>
      <c r="Z90" s="22">
        <f t="shared" si="3"/>
        <v>0</v>
      </c>
    </row>
    <row r="91" spans="1:26" s="24" customFormat="1" hidden="1" outlineLevel="1" x14ac:dyDescent="0.25">
      <c r="A91" s="51"/>
      <c r="B91" s="11" t="str">
        <f>CONCATENATE("          ", "4227", " - ", "SALES RETURN TAXABLE-SCHOOL SU")</f>
        <v xml:space="preserve">          4227 - SALES RETURN TAXABLE-SCHOOL SU</v>
      </c>
      <c r="C91" s="11"/>
      <c r="D91" s="2">
        <f>-165.44</f>
        <v>-165.44</v>
      </c>
      <c r="E91" s="2"/>
      <c r="F91" s="22"/>
      <c r="G91" s="2"/>
      <c r="H91" s="2"/>
      <c r="I91" s="2"/>
      <c r="J91" s="22"/>
      <c r="K91" s="2"/>
      <c r="L91" s="2">
        <f t="shared" si="0"/>
        <v>-165.44</v>
      </c>
      <c r="M91" s="2"/>
      <c r="N91" s="22">
        <f t="shared" si="1"/>
        <v>0</v>
      </c>
      <c r="O91" s="11"/>
      <c r="P91" s="2">
        <f>-165.44</f>
        <v>-165.44</v>
      </c>
      <c r="Q91" s="2"/>
      <c r="R91" s="22"/>
      <c r="S91" s="2"/>
      <c r="T91" s="2"/>
      <c r="U91" s="2"/>
      <c r="V91" s="22"/>
      <c r="W91" s="2"/>
      <c r="X91" s="2">
        <f t="shared" si="2"/>
        <v>-165.44</v>
      </c>
      <c r="Y91" s="2"/>
      <c r="Z91" s="22">
        <f t="shared" si="3"/>
        <v>0</v>
      </c>
    </row>
    <row r="92" spans="1:26" s="24" customFormat="1" hidden="1" outlineLevel="1" x14ac:dyDescent="0.25">
      <c r="A92" s="51"/>
      <c r="B92" s="11" t="str">
        <f>CONCATENATE("          ", "4228", " - ", "SALES RETURN TAXABLE-ART/TECH")</f>
        <v xml:space="preserve">          4228 - SALES RETURN TAXABLE-ART/TECH</v>
      </c>
      <c r="C92" s="11"/>
      <c r="D92" s="2">
        <f>-10.37</f>
        <v>-10.37</v>
      </c>
      <c r="E92" s="2"/>
      <c r="F92" s="22"/>
      <c r="G92" s="2"/>
      <c r="H92" s="2"/>
      <c r="I92" s="2"/>
      <c r="J92" s="22"/>
      <c r="K92" s="2"/>
      <c r="L92" s="2">
        <f t="shared" si="0"/>
        <v>-10.37</v>
      </c>
      <c r="M92" s="2"/>
      <c r="N92" s="22">
        <f t="shared" si="1"/>
        <v>0</v>
      </c>
      <c r="O92" s="11"/>
      <c r="P92" s="2">
        <f>-10.37</f>
        <v>-10.37</v>
      </c>
      <c r="Q92" s="2"/>
      <c r="R92" s="22"/>
      <c r="S92" s="2"/>
      <c r="T92" s="2"/>
      <c r="U92" s="2"/>
      <c r="V92" s="22"/>
      <c r="W92" s="2"/>
      <c r="X92" s="2">
        <f t="shared" si="2"/>
        <v>-10.37</v>
      </c>
      <c r="Y92" s="2"/>
      <c r="Z92" s="22">
        <f t="shared" si="3"/>
        <v>0</v>
      </c>
    </row>
    <row r="93" spans="1:26" s="24" customFormat="1" hidden="1" outlineLevel="1" x14ac:dyDescent="0.25">
      <c r="A93" s="51"/>
      <c r="B93" s="11" t="str">
        <f>CONCATENATE("          ", "4240", " - ", "SALES RETURN TAXABLE-LOGO CLOT")</f>
        <v xml:space="preserve">          4240 - SALES RETURN TAXABLE-LOGO CLOT</v>
      </c>
      <c r="C93" s="11"/>
      <c r="D93" s="2">
        <f>-4446.84</f>
        <v>-4446.84</v>
      </c>
      <c r="E93" s="2"/>
      <c r="F93" s="22"/>
      <c r="G93" s="2"/>
      <c r="H93" s="2"/>
      <c r="I93" s="2"/>
      <c r="J93" s="22"/>
      <c r="K93" s="2"/>
      <c r="L93" s="2">
        <f t="shared" si="0"/>
        <v>-4446.84</v>
      </c>
      <c r="M93" s="2"/>
      <c r="N93" s="22">
        <f t="shared" si="1"/>
        <v>0</v>
      </c>
      <c r="O93" s="11"/>
      <c r="P93" s="2">
        <f>-4446.84</f>
        <v>-4446.84</v>
      </c>
      <c r="Q93" s="2"/>
      <c r="R93" s="22"/>
      <c r="S93" s="2"/>
      <c r="T93" s="2"/>
      <c r="U93" s="2"/>
      <c r="V93" s="22"/>
      <c r="W93" s="2"/>
      <c r="X93" s="2">
        <f t="shared" si="2"/>
        <v>-4446.84</v>
      </c>
      <c r="Y93" s="2"/>
      <c r="Z93" s="22">
        <f t="shared" si="3"/>
        <v>0</v>
      </c>
    </row>
    <row r="94" spans="1:26" s="24" customFormat="1" hidden="1" outlineLevel="1" x14ac:dyDescent="0.25">
      <c r="A94" s="51"/>
      <c r="B94" s="11" t="str">
        <f>CONCATENATE("          ", "4241", " - ", "SALES RETURN TAXABLE-LOGO GIFT")</f>
        <v xml:space="preserve">          4241 - SALES RETURN TAXABLE-LOGO GIFT</v>
      </c>
      <c r="C94" s="11"/>
      <c r="D94" s="2">
        <f>-718.9</f>
        <v>-718.9</v>
      </c>
      <c r="E94" s="2"/>
      <c r="F94" s="22"/>
      <c r="G94" s="2"/>
      <c r="H94" s="2"/>
      <c r="I94" s="2"/>
      <c r="J94" s="22"/>
      <c r="K94" s="2"/>
      <c r="L94" s="2">
        <f t="shared" si="0"/>
        <v>-718.9</v>
      </c>
      <c r="M94" s="2"/>
      <c r="N94" s="22">
        <f t="shared" si="1"/>
        <v>0</v>
      </c>
      <c r="O94" s="11"/>
      <c r="P94" s="2">
        <f>-718.9</f>
        <v>-718.9</v>
      </c>
      <c r="Q94" s="2"/>
      <c r="R94" s="22"/>
      <c r="S94" s="2"/>
      <c r="T94" s="2"/>
      <c r="U94" s="2"/>
      <c r="V94" s="22"/>
      <c r="W94" s="2"/>
      <c r="X94" s="2">
        <f t="shared" si="2"/>
        <v>-718.9</v>
      </c>
      <c r="Y94" s="2"/>
      <c r="Z94" s="22">
        <f t="shared" si="3"/>
        <v>0</v>
      </c>
    </row>
    <row r="95" spans="1:26" s="24" customFormat="1" hidden="1" outlineLevel="1" x14ac:dyDescent="0.25">
      <c r="A95" s="51"/>
      <c r="B95" s="11" t="str">
        <f>CONCATENATE("          ", "4242", " - ", "SALES RETURN TAXABLE-EVERYDAY")</f>
        <v xml:space="preserve">          4242 - SALES RETURN TAXABLE-EVERYDAY</v>
      </c>
      <c r="C95" s="11"/>
      <c r="D95" s="2">
        <f>-373.98</f>
        <v>-373.98</v>
      </c>
      <c r="E95" s="2"/>
      <c r="F95" s="22"/>
      <c r="G95" s="2"/>
      <c r="H95" s="2"/>
      <c r="I95" s="2"/>
      <c r="J95" s="22"/>
      <c r="K95" s="2"/>
      <c r="L95" s="2">
        <f t="shared" si="0"/>
        <v>-373.98</v>
      </c>
      <c r="M95" s="2"/>
      <c r="N95" s="22">
        <f t="shared" si="1"/>
        <v>0</v>
      </c>
      <c r="O95" s="11"/>
      <c r="P95" s="2">
        <f>-373.98</f>
        <v>-373.98</v>
      </c>
      <c r="Q95" s="2"/>
      <c r="R95" s="22"/>
      <c r="S95" s="2"/>
      <c r="T95" s="2"/>
      <c r="U95" s="2"/>
      <c r="V95" s="22"/>
      <c r="W95" s="2"/>
      <c r="X95" s="2">
        <f t="shared" si="2"/>
        <v>-373.98</v>
      </c>
      <c r="Y95" s="2"/>
      <c r="Z95" s="22">
        <f t="shared" si="3"/>
        <v>0</v>
      </c>
    </row>
    <row r="96" spans="1:26" s="24" customFormat="1" hidden="1" outlineLevel="1" x14ac:dyDescent="0.25">
      <c r="A96" s="51"/>
      <c r="B96" s="11" t="str">
        <f>CONCATENATE("          ", "4244", " - ", "SALES RETURN TAXABLE-ACCESSORI")</f>
        <v xml:space="preserve">          4244 - SALES RETURN TAXABLE-ACCESSORI</v>
      </c>
      <c r="C96" s="11"/>
      <c r="D96" s="2">
        <f>-106.79</f>
        <v>-106.79</v>
      </c>
      <c r="E96" s="2"/>
      <c r="F96" s="22"/>
      <c r="G96" s="2"/>
      <c r="H96" s="2"/>
      <c r="I96" s="2"/>
      <c r="J96" s="22"/>
      <c r="K96" s="2"/>
      <c r="L96" s="2">
        <f t="shared" si="0"/>
        <v>-106.79</v>
      </c>
      <c r="M96" s="2"/>
      <c r="N96" s="22">
        <f t="shared" si="1"/>
        <v>0</v>
      </c>
      <c r="O96" s="11"/>
      <c r="P96" s="2">
        <f>-106.79</f>
        <v>-106.79</v>
      </c>
      <c r="Q96" s="2"/>
      <c r="R96" s="22"/>
      <c r="S96" s="2"/>
      <c r="T96" s="2"/>
      <c r="U96" s="2"/>
      <c r="V96" s="22"/>
      <c r="W96" s="2"/>
      <c r="X96" s="2">
        <f t="shared" si="2"/>
        <v>-106.79</v>
      </c>
      <c r="Y96" s="2"/>
      <c r="Z96" s="22">
        <f t="shared" si="3"/>
        <v>0</v>
      </c>
    </row>
    <row r="97" spans="1:26" s="24" customFormat="1" hidden="1" outlineLevel="1" x14ac:dyDescent="0.25">
      <c r="A97" s="51"/>
      <c r="B97" s="11" t="str">
        <f>CONCATENATE("          ", "4281", " - ", "SALES RETURN TAXABLE-ELECTRONI")</f>
        <v xml:space="preserve">          4281 - SALES RETURN TAXABLE-ELECTRONI</v>
      </c>
      <c r="C97" s="11"/>
      <c r="D97" s="2">
        <f>-1658.99</f>
        <v>-1658.99</v>
      </c>
      <c r="E97" s="2"/>
      <c r="F97" s="22"/>
      <c r="G97" s="2"/>
      <c r="H97" s="2"/>
      <c r="I97" s="2"/>
      <c r="J97" s="22"/>
      <c r="K97" s="2"/>
      <c r="L97" s="2">
        <f t="shared" si="0"/>
        <v>-1658.99</v>
      </c>
      <c r="M97" s="2"/>
      <c r="N97" s="22">
        <f t="shared" si="1"/>
        <v>0</v>
      </c>
      <c r="O97" s="11"/>
      <c r="P97" s="2">
        <f>-1658.99</f>
        <v>-1658.99</v>
      </c>
      <c r="Q97" s="2"/>
      <c r="R97" s="22"/>
      <c r="S97" s="2"/>
      <c r="T97" s="2"/>
      <c r="U97" s="2"/>
      <c r="V97" s="22"/>
      <c r="W97" s="2"/>
      <c r="X97" s="2">
        <f t="shared" si="2"/>
        <v>-1658.99</v>
      </c>
      <c r="Y97" s="2"/>
      <c r="Z97" s="22">
        <f t="shared" si="3"/>
        <v>0</v>
      </c>
    </row>
    <row r="98" spans="1:26" s="24" customFormat="1" hidden="1" outlineLevel="1" x14ac:dyDescent="0.25">
      <c r="A98" s="51"/>
      <c r="B98" s="11" t="str">
        <f>CONCATENATE("          ", "4282", " - ", "SALES RETURN TAXABLE-COMPUTER")</f>
        <v xml:space="preserve">          4282 - SALES RETURN TAXABLE-COMPUTER</v>
      </c>
      <c r="C98" s="11"/>
      <c r="D98" s="2">
        <f>-70341.06</f>
        <v>-70341.06</v>
      </c>
      <c r="E98" s="2"/>
      <c r="F98" s="22"/>
      <c r="G98" s="2"/>
      <c r="H98" s="2"/>
      <c r="I98" s="2"/>
      <c r="J98" s="22"/>
      <c r="K98" s="2"/>
      <c r="L98" s="2">
        <f t="shared" si="0"/>
        <v>-70341.06</v>
      </c>
      <c r="M98" s="2"/>
      <c r="N98" s="22">
        <f t="shared" si="1"/>
        <v>0</v>
      </c>
      <c r="O98" s="11"/>
      <c r="P98" s="2">
        <f>-70341.06</f>
        <v>-70341.06</v>
      </c>
      <c r="Q98" s="2"/>
      <c r="R98" s="22"/>
      <c r="S98" s="2"/>
      <c r="T98" s="2"/>
      <c r="U98" s="2"/>
      <c r="V98" s="22"/>
      <c r="W98" s="2"/>
      <c r="X98" s="2">
        <f t="shared" si="2"/>
        <v>-70341.06</v>
      </c>
      <c r="Y98" s="2"/>
      <c r="Z98" s="22">
        <f t="shared" si="3"/>
        <v>0</v>
      </c>
    </row>
    <row r="99" spans="1:26" s="24" customFormat="1" hidden="1" outlineLevel="1" x14ac:dyDescent="0.25">
      <c r="A99" s="51"/>
      <c r="B99" s="11" t="str">
        <f>CONCATENATE("          ", "4283", " - ", "SALES RETURN TAXABLE-COMPUTER")</f>
        <v xml:space="preserve">          4283 - SALES RETURN TAXABLE-COMPUTER</v>
      </c>
      <c r="C99" s="11"/>
      <c r="D99" s="2">
        <f>-226.8</f>
        <v>-226.8</v>
      </c>
      <c r="E99" s="2"/>
      <c r="F99" s="22"/>
      <c r="G99" s="2"/>
      <c r="H99" s="2"/>
      <c r="I99" s="2"/>
      <c r="J99" s="22"/>
      <c r="K99" s="2"/>
      <c r="L99" s="2">
        <f t="shared" si="0"/>
        <v>-226.8</v>
      </c>
      <c r="M99" s="2"/>
      <c r="N99" s="22">
        <f t="shared" si="1"/>
        <v>0</v>
      </c>
      <c r="O99" s="11"/>
      <c r="P99" s="2">
        <f>-226.8</f>
        <v>-226.8</v>
      </c>
      <c r="Q99" s="2"/>
      <c r="R99" s="22"/>
      <c r="S99" s="2"/>
      <c r="T99" s="2"/>
      <c r="U99" s="2"/>
      <c r="V99" s="22"/>
      <c r="W99" s="2"/>
      <c r="X99" s="2">
        <f t="shared" si="2"/>
        <v>-226.8</v>
      </c>
      <c r="Y99" s="2"/>
      <c r="Z99" s="22">
        <f t="shared" si="3"/>
        <v>0</v>
      </c>
    </row>
    <row r="100" spans="1:26" s="24" customFormat="1" hidden="1" outlineLevel="1" x14ac:dyDescent="0.25">
      <c r="A100" s="51"/>
      <c r="B100" s="11" t="str">
        <f>CONCATENATE("          ", "4285", " - ", "SALES RETURN TAXABLE-SOFTWARE")</f>
        <v xml:space="preserve">          4285 - SALES RETURN TAXABLE-SOFTWARE</v>
      </c>
      <c r="C100" s="11"/>
      <c r="D100" s="2">
        <f>-406.99</f>
        <v>-406.99</v>
      </c>
      <c r="E100" s="2"/>
      <c r="F100" s="22"/>
      <c r="G100" s="2"/>
      <c r="H100" s="2"/>
      <c r="I100" s="2"/>
      <c r="J100" s="22"/>
      <c r="K100" s="2"/>
      <c r="L100" s="2">
        <f t="shared" si="0"/>
        <v>-406.99</v>
      </c>
      <c r="M100" s="2"/>
      <c r="N100" s="22">
        <f t="shared" si="1"/>
        <v>0</v>
      </c>
      <c r="O100" s="11"/>
      <c r="P100" s="2">
        <f>-406.99</f>
        <v>-406.99</v>
      </c>
      <c r="Q100" s="2"/>
      <c r="R100" s="22"/>
      <c r="S100" s="2"/>
      <c r="T100" s="2"/>
      <c r="U100" s="2"/>
      <c r="V100" s="22"/>
      <c r="W100" s="2"/>
      <c r="X100" s="2">
        <f t="shared" si="2"/>
        <v>-406.99</v>
      </c>
      <c r="Y100" s="2"/>
      <c r="Z100" s="22">
        <f t="shared" si="3"/>
        <v>0</v>
      </c>
    </row>
    <row r="101" spans="1:26" s="24" customFormat="1" hidden="1" outlineLevel="1" x14ac:dyDescent="0.25">
      <c r="A101" s="51"/>
      <c r="B101" s="11" t="str">
        <f>CONCATENATE("          ", "4286", " - ", "SALES RETURN TAXABLE-COMPUTER")</f>
        <v xml:space="preserve">          4286 - SALES RETURN TAXABLE-COMPUTER</v>
      </c>
      <c r="C101" s="11"/>
      <c r="D101" s="2">
        <f>-545.95</f>
        <v>-545.95000000000005</v>
      </c>
      <c r="E101" s="2"/>
      <c r="F101" s="22"/>
      <c r="G101" s="2"/>
      <c r="H101" s="2"/>
      <c r="I101" s="2"/>
      <c r="J101" s="22"/>
      <c r="K101" s="2"/>
      <c r="L101" s="2">
        <f t="shared" si="0"/>
        <v>-545.95000000000005</v>
      </c>
      <c r="M101" s="2"/>
      <c r="N101" s="22">
        <f t="shared" si="1"/>
        <v>0</v>
      </c>
      <c r="O101" s="11"/>
      <c r="P101" s="2">
        <f>-545.95</f>
        <v>-545.95000000000005</v>
      </c>
      <c r="Q101" s="2"/>
      <c r="R101" s="22"/>
      <c r="S101" s="2"/>
      <c r="T101" s="2"/>
      <c r="U101" s="2"/>
      <c r="V101" s="22"/>
      <c r="W101" s="2"/>
      <c r="X101" s="2">
        <f t="shared" si="2"/>
        <v>-545.95000000000005</v>
      </c>
      <c r="Y101" s="2"/>
      <c r="Z101" s="22">
        <f t="shared" si="3"/>
        <v>0</v>
      </c>
    </row>
    <row r="102" spans="1:26" s="24" customFormat="1" hidden="1" outlineLevel="1" x14ac:dyDescent="0.25">
      <c r="A102" s="51"/>
      <c r="B102" s="11" t="str">
        <f>CONCATENATE("          ", "4292", " - ", "SALES RETURN TAXABLE-GRAD MERC")</f>
        <v xml:space="preserve">          4292 - SALES RETURN TAXABLE-GRAD MERC</v>
      </c>
      <c r="C102" s="11"/>
      <c r="D102" s="2">
        <f>-9.95</f>
        <v>-9.9499999999999993</v>
      </c>
      <c r="E102" s="2"/>
      <c r="F102" s="22"/>
      <c r="G102" s="2"/>
      <c r="H102" s="2"/>
      <c r="I102" s="2"/>
      <c r="J102" s="22"/>
      <c r="K102" s="2"/>
      <c r="L102" s="2">
        <f t="shared" si="0"/>
        <v>-9.9499999999999993</v>
      </c>
      <c r="M102" s="2"/>
      <c r="N102" s="22">
        <f t="shared" si="1"/>
        <v>0</v>
      </c>
      <c r="O102" s="11"/>
      <c r="P102" s="2">
        <f>-9.95</f>
        <v>-9.9499999999999993</v>
      </c>
      <c r="Q102" s="2"/>
      <c r="R102" s="22"/>
      <c r="S102" s="2"/>
      <c r="T102" s="2"/>
      <c r="U102" s="2"/>
      <c r="V102" s="22"/>
      <c r="W102" s="2"/>
      <c r="X102" s="2">
        <f t="shared" si="2"/>
        <v>-9.9499999999999993</v>
      </c>
      <c r="Y102" s="2"/>
      <c r="Z102" s="22">
        <f t="shared" si="3"/>
        <v>0</v>
      </c>
    </row>
    <row r="103" spans="1:26" s="24" customFormat="1" hidden="1" outlineLevel="1" x14ac:dyDescent="0.25">
      <c r="A103" s="51"/>
      <c r="B103" s="11" t="str">
        <f>CONCATENATE("          ", "4301", " - ", "SALES RETURN NON TAXABLE-NEW T")</f>
        <v xml:space="preserve">          4301 - SALES RETURN NON TAXABLE-NEW T</v>
      </c>
      <c r="C103" s="11"/>
      <c r="D103" s="2">
        <f>-254.59</f>
        <v>-254.59</v>
      </c>
      <c r="E103" s="2"/>
      <c r="F103" s="22"/>
      <c r="G103" s="2"/>
      <c r="H103" s="2"/>
      <c r="I103" s="2"/>
      <c r="J103" s="22"/>
      <c r="K103" s="2"/>
      <c r="L103" s="2">
        <f t="shared" si="0"/>
        <v>-254.59</v>
      </c>
      <c r="M103" s="2"/>
      <c r="N103" s="22">
        <f t="shared" si="1"/>
        <v>0</v>
      </c>
      <c r="O103" s="11"/>
      <c r="P103" s="2">
        <f>-254.59</f>
        <v>-254.59</v>
      </c>
      <c r="Q103" s="2"/>
      <c r="R103" s="22"/>
      <c r="S103" s="2"/>
      <c r="T103" s="2"/>
      <c r="U103" s="2"/>
      <c r="V103" s="22"/>
      <c r="W103" s="2"/>
      <c r="X103" s="2">
        <f t="shared" si="2"/>
        <v>-254.59</v>
      </c>
      <c r="Y103" s="2"/>
      <c r="Z103" s="22">
        <f t="shared" si="3"/>
        <v>0</v>
      </c>
    </row>
    <row r="104" spans="1:26" s="24" customFormat="1" hidden="1" outlineLevel="1" x14ac:dyDescent="0.25">
      <c r="A104" s="51"/>
      <c r="B104" s="11" t="str">
        <f>CONCATENATE("          ", "4311", " - ", "SALES RETURN NON TAXABLE-NO VA")</f>
        <v xml:space="preserve">          4311 - SALES RETURN NON TAXABLE-NO VA</v>
      </c>
      <c r="C104" s="11"/>
      <c r="D104" s="2">
        <f>-31.98</f>
        <v>-31.98</v>
      </c>
      <c r="E104" s="2"/>
      <c r="F104" s="22"/>
      <c r="G104" s="2"/>
      <c r="H104" s="2"/>
      <c r="I104" s="2"/>
      <c r="J104" s="22"/>
      <c r="K104" s="2"/>
      <c r="L104" s="2">
        <f t="shared" si="0"/>
        <v>-31.98</v>
      </c>
      <c r="M104" s="2"/>
      <c r="N104" s="22">
        <f t="shared" si="1"/>
        <v>0</v>
      </c>
      <c r="O104" s="11"/>
      <c r="P104" s="2">
        <f>-31.98</f>
        <v>-31.98</v>
      </c>
      <c r="Q104" s="2"/>
      <c r="R104" s="22"/>
      <c r="S104" s="2"/>
      <c r="T104" s="2"/>
      <c r="U104" s="2"/>
      <c r="V104" s="22"/>
      <c r="W104" s="2"/>
      <c r="X104" s="2">
        <f t="shared" si="2"/>
        <v>-31.98</v>
      </c>
      <c r="Y104" s="2"/>
      <c r="Z104" s="22">
        <f t="shared" si="3"/>
        <v>0</v>
      </c>
    </row>
    <row r="105" spans="1:26" s="24" customFormat="1" hidden="1" outlineLevel="1" x14ac:dyDescent="0.25">
      <c r="A105" s="51"/>
      <c r="B105" s="11" t="str">
        <f>CONCATENATE("          ", "4340", " - ", "SALES RETURN NON TAXABLE-LOGO")</f>
        <v xml:space="preserve">          4340 - SALES RETURN NON TAXABLE-LOGO</v>
      </c>
      <c r="C105" s="11"/>
      <c r="D105" s="2">
        <f>-223.55</f>
        <v>-223.55</v>
      </c>
      <c r="E105" s="2"/>
      <c r="F105" s="22"/>
      <c r="G105" s="2"/>
      <c r="H105" s="2"/>
      <c r="I105" s="2"/>
      <c r="J105" s="22"/>
      <c r="K105" s="2"/>
      <c r="L105" s="2">
        <f t="shared" si="0"/>
        <v>-223.55</v>
      </c>
      <c r="M105" s="2"/>
      <c r="N105" s="22">
        <f t="shared" si="1"/>
        <v>0</v>
      </c>
      <c r="O105" s="11"/>
      <c r="P105" s="2">
        <f>-223.55</f>
        <v>-223.55</v>
      </c>
      <c r="Q105" s="2"/>
      <c r="R105" s="22"/>
      <c r="S105" s="2"/>
      <c r="T105" s="2"/>
      <c r="U105" s="2"/>
      <c r="V105" s="22"/>
      <c r="W105" s="2"/>
      <c r="X105" s="2">
        <f t="shared" si="2"/>
        <v>-223.55</v>
      </c>
      <c r="Y105" s="2"/>
      <c r="Z105" s="22">
        <f t="shared" si="3"/>
        <v>0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collapsed="1" x14ac:dyDescent="0.25">
      <c r="A107" s="10"/>
      <c r="B107" s="25" t="s">
        <v>8</v>
      </c>
      <c r="C107" s="10"/>
      <c r="D107" s="4">
        <f>SUM(OSRRefD16x_0)</f>
        <v>789537.64</v>
      </c>
      <c r="E107" s="4"/>
      <c r="F107" s="12">
        <f t="shared" ref="F107:F153" si="4">IF(D$12=0,0,D107/D$12)</f>
        <v>0.52394430785969659</v>
      </c>
      <c r="G107" s="4"/>
      <c r="H107" s="4">
        <f>SUM(OSRRefH16x_0)</f>
        <v>791004.56432</v>
      </c>
      <c r="I107" s="4"/>
      <c r="J107" s="12">
        <f t="shared" ref="J107:J153" si="5">IF(H$12=0,0,H107/H$12)</f>
        <v>0.48207452274495055</v>
      </c>
      <c r="K107" s="4"/>
      <c r="L107" s="4">
        <f t="shared" ref="L107:L153" si="6">+D107-H107</f>
        <v>-1466.924319999991</v>
      </c>
      <c r="M107" s="4"/>
      <c r="N107" s="12">
        <f t="shared" ref="N107:N153" si="7">IF(H107=0,0,L107/H107)</f>
        <v>-1.8545080346799975E-3</v>
      </c>
      <c r="O107" s="10"/>
      <c r="P107" s="4">
        <f>SUM(OSRRefP16x_0)</f>
        <v>789537.64</v>
      </c>
      <c r="Q107" s="4"/>
      <c r="R107" s="12">
        <f t="shared" ref="R107:R153" si="8">IF(P$12=0,0,P107/P$12)</f>
        <v>0.52394430785969659</v>
      </c>
      <c r="S107" s="4"/>
      <c r="T107" s="4">
        <f>SUM(OSRRefT16x_0)</f>
        <v>791004.56432</v>
      </c>
      <c r="U107" s="4"/>
      <c r="V107" s="12">
        <f t="shared" ref="V107:V153" si="9">IF(T$12=0,0,T107/T$12)</f>
        <v>0.48207452274495055</v>
      </c>
      <c r="W107" s="4"/>
      <c r="X107" s="4">
        <f t="shared" ref="X107:X153" si="10">+P107-T107</f>
        <v>-1466.924319999991</v>
      </c>
      <c r="Y107" s="4"/>
      <c r="Z107" s="12">
        <f t="shared" ref="Z107:Z153" si="11">IF(T107=0,0,X107/T107)</f>
        <v>-1.8545080346799975E-3</v>
      </c>
    </row>
    <row r="108" spans="1:26" s="24" customFormat="1" hidden="1" outlineLevel="1" x14ac:dyDescent="0.25">
      <c r="A108" s="51"/>
      <c r="B108" s="11" t="str">
        <f>CONCATENATE("          ", "5000", " - ", "PURCHASES @ COST")</f>
        <v xml:space="preserve">          5000 - PURCHASES @ COST</v>
      </c>
      <c r="C108" s="11"/>
      <c r="D108" s="2"/>
      <c r="E108" s="2"/>
      <c r="F108" s="22">
        <f t="shared" si="4"/>
        <v>0</v>
      </c>
      <c r="G108" s="2"/>
      <c r="H108" s="2">
        <v>791004.56432</v>
      </c>
      <c r="I108" s="2"/>
      <c r="J108" s="22">
        <f t="shared" si="5"/>
        <v>0.48207452274495055</v>
      </c>
      <c r="K108" s="2"/>
      <c r="L108" s="2">
        <f t="shared" si="6"/>
        <v>-791004.56432</v>
      </c>
      <c r="M108" s="2"/>
      <c r="N108" s="22">
        <f t="shared" si="7"/>
        <v>-1</v>
      </c>
      <c r="O108" s="11"/>
      <c r="P108" s="2"/>
      <c r="Q108" s="2"/>
      <c r="R108" s="22">
        <f t="shared" si="8"/>
        <v>0</v>
      </c>
      <c r="S108" s="2"/>
      <c r="T108" s="2">
        <v>791004.56432</v>
      </c>
      <c r="U108" s="2"/>
      <c r="V108" s="22">
        <f t="shared" si="9"/>
        <v>0.48207452274495055</v>
      </c>
      <c r="W108" s="2"/>
      <c r="X108" s="2">
        <f t="shared" si="10"/>
        <v>-791004.56432</v>
      </c>
      <c r="Y108" s="2"/>
      <c r="Z108" s="22">
        <f t="shared" si="11"/>
        <v>-1</v>
      </c>
    </row>
    <row r="109" spans="1:26" s="24" customFormat="1" hidden="1" outlineLevel="1" x14ac:dyDescent="0.25">
      <c r="A109" s="51"/>
      <c r="B109" s="11" t="str">
        <f>CONCATENATE("          ", "5001", " - ", "PURCHASES @ COST-NEW TEXT")</f>
        <v xml:space="preserve">          5001 - PURCHASES @ COST-NEW TEXT</v>
      </c>
      <c r="C109" s="11"/>
      <c r="D109" s="2">
        <v>343994.56</v>
      </c>
      <c r="E109" s="2"/>
      <c r="F109" s="22">
        <f t="shared" si="4"/>
        <v>0.22827789647457575</v>
      </c>
      <c r="G109" s="2"/>
      <c r="H109" s="2"/>
      <c r="I109" s="2"/>
      <c r="J109" s="22">
        <f t="shared" si="5"/>
        <v>0</v>
      </c>
      <c r="K109" s="2"/>
      <c r="L109" s="2">
        <f t="shared" si="6"/>
        <v>343994.56</v>
      </c>
      <c r="M109" s="2"/>
      <c r="N109" s="22">
        <f t="shared" si="7"/>
        <v>0</v>
      </c>
      <c r="O109" s="11"/>
      <c r="P109" s="2">
        <v>343994.56</v>
      </c>
      <c r="Q109" s="2"/>
      <c r="R109" s="22">
        <f t="shared" si="8"/>
        <v>0.22827789647457575</v>
      </c>
      <c r="S109" s="2"/>
      <c r="T109" s="2"/>
      <c r="U109" s="2"/>
      <c r="V109" s="22">
        <f t="shared" si="9"/>
        <v>0</v>
      </c>
      <c r="W109" s="2"/>
      <c r="X109" s="2">
        <f t="shared" si="10"/>
        <v>343994.56</v>
      </c>
      <c r="Y109" s="2"/>
      <c r="Z109" s="22">
        <f t="shared" si="11"/>
        <v>0</v>
      </c>
    </row>
    <row r="110" spans="1:26" s="24" customFormat="1" hidden="1" outlineLevel="1" x14ac:dyDescent="0.25">
      <c r="A110" s="51"/>
      <c r="B110" s="11" t="str">
        <f>CONCATENATE("          ", "5002", " - ", "PURCHASES @ COST-USED TEXT")</f>
        <v xml:space="preserve">          5002 - PURCHASES @ COST-USED TEXT</v>
      </c>
      <c r="C110" s="11"/>
      <c r="D110" s="2">
        <v>110293.25</v>
      </c>
      <c r="E110" s="2"/>
      <c r="F110" s="22">
        <f t="shared" si="4"/>
        <v>7.3191596708228474E-2</v>
      </c>
      <c r="G110" s="2"/>
      <c r="H110" s="2"/>
      <c r="I110" s="2"/>
      <c r="J110" s="22">
        <f t="shared" si="5"/>
        <v>0</v>
      </c>
      <c r="K110" s="2"/>
      <c r="L110" s="2">
        <f t="shared" si="6"/>
        <v>110293.25</v>
      </c>
      <c r="M110" s="2"/>
      <c r="N110" s="22">
        <f t="shared" si="7"/>
        <v>0</v>
      </c>
      <c r="O110" s="11"/>
      <c r="P110" s="2">
        <v>110293.25</v>
      </c>
      <c r="Q110" s="2"/>
      <c r="R110" s="22">
        <f t="shared" si="8"/>
        <v>7.3191596708228474E-2</v>
      </c>
      <c r="S110" s="2"/>
      <c r="T110" s="2"/>
      <c r="U110" s="2"/>
      <c r="V110" s="22">
        <f t="shared" si="9"/>
        <v>0</v>
      </c>
      <c r="W110" s="2"/>
      <c r="X110" s="2">
        <f t="shared" si="10"/>
        <v>110293.25</v>
      </c>
      <c r="Y110" s="2"/>
      <c r="Z110" s="22">
        <f t="shared" si="11"/>
        <v>0</v>
      </c>
    </row>
    <row r="111" spans="1:26" s="24" customFormat="1" hidden="1" outlineLevel="1" x14ac:dyDescent="0.25">
      <c r="A111" s="51"/>
      <c r="B111" s="11" t="str">
        <f>CONCATENATE("          ", "5003", " - ", "PURCHASES @ COST-RENTAL TEXT")</f>
        <v xml:space="preserve">          5003 - PURCHASES @ COST-RENTAL TEXT</v>
      </c>
      <c r="C111" s="11"/>
      <c r="D111" s="2">
        <v>38295.800000000003</v>
      </c>
      <c r="E111" s="2"/>
      <c r="F111" s="22">
        <f t="shared" si="4"/>
        <v>2.5413438711969917E-2</v>
      </c>
      <c r="G111" s="2"/>
      <c r="H111" s="2"/>
      <c r="I111" s="2"/>
      <c r="J111" s="22">
        <f t="shared" si="5"/>
        <v>0</v>
      </c>
      <c r="K111" s="2"/>
      <c r="L111" s="2">
        <f t="shared" si="6"/>
        <v>38295.800000000003</v>
      </c>
      <c r="M111" s="2"/>
      <c r="N111" s="22">
        <f t="shared" si="7"/>
        <v>0</v>
      </c>
      <c r="O111" s="11"/>
      <c r="P111" s="2">
        <v>38295.800000000003</v>
      </c>
      <c r="Q111" s="2"/>
      <c r="R111" s="22">
        <f t="shared" si="8"/>
        <v>2.5413438711969917E-2</v>
      </c>
      <c r="S111" s="2"/>
      <c r="T111" s="2"/>
      <c r="U111" s="2"/>
      <c r="V111" s="22">
        <f t="shared" si="9"/>
        <v>0</v>
      </c>
      <c r="W111" s="2"/>
      <c r="X111" s="2">
        <f t="shared" si="10"/>
        <v>38295.800000000003</v>
      </c>
      <c r="Y111" s="2"/>
      <c r="Z111" s="22">
        <f t="shared" si="11"/>
        <v>0</v>
      </c>
    </row>
    <row r="112" spans="1:26" s="24" customFormat="1" hidden="1" outlineLevel="1" x14ac:dyDescent="0.25">
      <c r="A112" s="51"/>
      <c r="B112" s="11" t="str">
        <f>CONCATENATE("          ", "5004", " - ", "PURCHASES @ COST-DIGITAL TEXT")</f>
        <v xml:space="preserve">          5004 - PURCHASES @ COST-DIGITAL TEXT</v>
      </c>
      <c r="C112" s="11"/>
      <c r="D112" s="2">
        <v>133958.57</v>
      </c>
      <c r="E112" s="2"/>
      <c r="F112" s="22">
        <f t="shared" si="4"/>
        <v>8.8896116770980943E-2</v>
      </c>
      <c r="G112" s="2"/>
      <c r="H112" s="2"/>
      <c r="I112" s="2"/>
      <c r="J112" s="22">
        <f t="shared" si="5"/>
        <v>0</v>
      </c>
      <c r="K112" s="2"/>
      <c r="L112" s="2">
        <f t="shared" si="6"/>
        <v>133958.57</v>
      </c>
      <c r="M112" s="2"/>
      <c r="N112" s="22">
        <f t="shared" si="7"/>
        <v>0</v>
      </c>
      <c r="O112" s="11"/>
      <c r="P112" s="2">
        <v>133958.57</v>
      </c>
      <c r="Q112" s="2"/>
      <c r="R112" s="22">
        <f t="shared" si="8"/>
        <v>8.8896116770980943E-2</v>
      </c>
      <c r="S112" s="2"/>
      <c r="T112" s="2"/>
      <c r="U112" s="2"/>
      <c r="V112" s="22">
        <f t="shared" si="9"/>
        <v>0</v>
      </c>
      <c r="W112" s="2"/>
      <c r="X112" s="2">
        <f t="shared" si="10"/>
        <v>133958.57</v>
      </c>
      <c r="Y112" s="2"/>
      <c r="Z112" s="22">
        <f t="shared" si="11"/>
        <v>0</v>
      </c>
    </row>
    <row r="113" spans="1:26" s="24" customFormat="1" hidden="1" outlineLevel="1" x14ac:dyDescent="0.25">
      <c r="A113" s="51"/>
      <c r="B113" s="11" t="str">
        <f>CONCATENATE("          ", "5011", " - ", "PURCHASES @ COST-NO VALUE TEXT")</f>
        <v xml:space="preserve">          5011 - PURCHASES @ COST-NO VALUE TEXT</v>
      </c>
      <c r="C113" s="11"/>
      <c r="D113" s="2">
        <v>288</v>
      </c>
      <c r="E113" s="2"/>
      <c r="F113" s="22">
        <f t="shared" si="4"/>
        <v>1.9111940079714578E-4</v>
      </c>
      <c r="G113" s="2"/>
      <c r="H113" s="2"/>
      <c r="I113" s="2"/>
      <c r="J113" s="22">
        <f t="shared" si="5"/>
        <v>0</v>
      </c>
      <c r="K113" s="2"/>
      <c r="L113" s="2">
        <f t="shared" si="6"/>
        <v>288</v>
      </c>
      <c r="M113" s="2"/>
      <c r="N113" s="22">
        <f t="shared" si="7"/>
        <v>0</v>
      </c>
      <c r="O113" s="11"/>
      <c r="P113" s="2">
        <v>288</v>
      </c>
      <c r="Q113" s="2"/>
      <c r="R113" s="22">
        <f t="shared" si="8"/>
        <v>1.9111940079714578E-4</v>
      </c>
      <c r="S113" s="2"/>
      <c r="T113" s="2"/>
      <c r="U113" s="2"/>
      <c r="V113" s="22">
        <f t="shared" si="9"/>
        <v>0</v>
      </c>
      <c r="W113" s="2"/>
      <c r="X113" s="2">
        <f t="shared" si="10"/>
        <v>288</v>
      </c>
      <c r="Y113" s="2"/>
      <c r="Z113" s="22">
        <f t="shared" si="11"/>
        <v>0</v>
      </c>
    </row>
    <row r="114" spans="1:26" s="24" customFormat="1" hidden="1" outlineLevel="1" x14ac:dyDescent="0.25">
      <c r="A114" s="51"/>
      <c r="B114" s="11" t="str">
        <f>CONCATENATE("          ", "5013", " - ", "PURCHASES @ COST-TRADE BOOKS")</f>
        <v xml:space="preserve">          5013 - PURCHASES @ COST-TRADE BOOKS</v>
      </c>
      <c r="C114" s="11"/>
      <c r="D114" s="2">
        <v>204.9</v>
      </c>
      <c r="E114" s="2"/>
      <c r="F114" s="22">
        <f t="shared" si="4"/>
        <v>1.359734903588027E-4</v>
      </c>
      <c r="G114" s="2"/>
      <c r="H114" s="2"/>
      <c r="I114" s="2"/>
      <c r="J114" s="22">
        <f t="shared" si="5"/>
        <v>0</v>
      </c>
      <c r="K114" s="2"/>
      <c r="L114" s="2">
        <f t="shared" si="6"/>
        <v>204.9</v>
      </c>
      <c r="M114" s="2"/>
      <c r="N114" s="22">
        <f t="shared" si="7"/>
        <v>0</v>
      </c>
      <c r="O114" s="11"/>
      <c r="P114" s="2">
        <v>204.9</v>
      </c>
      <c r="Q114" s="2"/>
      <c r="R114" s="22">
        <f t="shared" si="8"/>
        <v>1.359734903588027E-4</v>
      </c>
      <c r="S114" s="2"/>
      <c r="T114" s="2"/>
      <c r="U114" s="2"/>
      <c r="V114" s="22">
        <f t="shared" si="9"/>
        <v>0</v>
      </c>
      <c r="W114" s="2"/>
      <c r="X114" s="2">
        <f t="shared" si="10"/>
        <v>204.9</v>
      </c>
      <c r="Y114" s="2"/>
      <c r="Z114" s="22">
        <f t="shared" si="11"/>
        <v>0</v>
      </c>
    </row>
    <row r="115" spans="1:26" s="24" customFormat="1" hidden="1" outlineLevel="1" x14ac:dyDescent="0.25">
      <c r="A115" s="51"/>
      <c r="B115" s="11" t="str">
        <f>CONCATENATE("          ", "5014", " - ", "PURCHASES @ COST-REMAINDERS")</f>
        <v xml:space="preserve">          5014 - PURCHASES @ COST-REMAINDERS</v>
      </c>
      <c r="C115" s="11"/>
      <c r="D115" s="2">
        <v>100.48</v>
      </c>
      <c r="E115" s="2"/>
      <c r="F115" s="22">
        <f t="shared" si="4"/>
        <v>6.6679435389226425E-5</v>
      </c>
      <c r="G115" s="2"/>
      <c r="H115" s="2"/>
      <c r="I115" s="2"/>
      <c r="J115" s="22">
        <f t="shared" si="5"/>
        <v>0</v>
      </c>
      <c r="K115" s="2"/>
      <c r="L115" s="2">
        <f t="shared" si="6"/>
        <v>100.48</v>
      </c>
      <c r="M115" s="2"/>
      <c r="N115" s="22">
        <f t="shared" si="7"/>
        <v>0</v>
      </c>
      <c r="O115" s="11"/>
      <c r="P115" s="2">
        <v>100.48</v>
      </c>
      <c r="Q115" s="2"/>
      <c r="R115" s="22">
        <f t="shared" si="8"/>
        <v>6.6679435389226425E-5</v>
      </c>
      <c r="S115" s="2"/>
      <c r="T115" s="2"/>
      <c r="U115" s="2"/>
      <c r="V115" s="22">
        <f t="shared" si="9"/>
        <v>0</v>
      </c>
      <c r="W115" s="2"/>
      <c r="X115" s="2">
        <f t="shared" si="10"/>
        <v>100.48</v>
      </c>
      <c r="Y115" s="2"/>
      <c r="Z115" s="22">
        <f t="shared" si="11"/>
        <v>0</v>
      </c>
    </row>
    <row r="116" spans="1:26" s="24" customFormat="1" hidden="1" outlineLevel="1" x14ac:dyDescent="0.25">
      <c r="A116" s="51"/>
      <c r="B116" s="11" t="str">
        <f>CONCATENATE("          ", "5018", " - ", "PURCHASES @ COST-STUDY GUIDES")</f>
        <v xml:space="preserve">          5018 - PURCHASES @ COST-STUDY GUIDES</v>
      </c>
      <c r="C116" s="11"/>
      <c r="D116" s="2">
        <v>503.93</v>
      </c>
      <c r="E116" s="2"/>
      <c r="F116" s="22">
        <f t="shared" si="4"/>
        <v>3.3441249876286697E-4</v>
      </c>
      <c r="G116" s="2"/>
      <c r="H116" s="2"/>
      <c r="I116" s="2"/>
      <c r="J116" s="22">
        <f t="shared" si="5"/>
        <v>0</v>
      </c>
      <c r="K116" s="2"/>
      <c r="L116" s="2">
        <f t="shared" si="6"/>
        <v>503.93</v>
      </c>
      <c r="M116" s="2"/>
      <c r="N116" s="22">
        <f t="shared" si="7"/>
        <v>0</v>
      </c>
      <c r="O116" s="11"/>
      <c r="P116" s="2">
        <v>503.93</v>
      </c>
      <c r="Q116" s="2"/>
      <c r="R116" s="22">
        <f t="shared" si="8"/>
        <v>3.3441249876286697E-4</v>
      </c>
      <c r="S116" s="2"/>
      <c r="T116" s="2"/>
      <c r="U116" s="2"/>
      <c r="V116" s="22">
        <f t="shared" si="9"/>
        <v>0</v>
      </c>
      <c r="W116" s="2"/>
      <c r="X116" s="2">
        <f t="shared" si="10"/>
        <v>503.93</v>
      </c>
      <c r="Y116" s="2"/>
      <c r="Z116" s="22">
        <f t="shared" si="11"/>
        <v>0</v>
      </c>
    </row>
    <row r="117" spans="1:26" s="24" customFormat="1" hidden="1" outlineLevel="1" x14ac:dyDescent="0.25">
      <c r="A117" s="51"/>
      <c r="B117" s="11" t="str">
        <f>CONCATENATE("          ", "5025", " - ", "PURCHASES @ COST-TEST FORMS")</f>
        <v xml:space="preserve">          5025 - PURCHASES @ COST-TEST FORMS</v>
      </c>
      <c r="C117" s="11"/>
      <c r="D117" s="2">
        <v>879.12</v>
      </c>
      <c r="E117" s="2"/>
      <c r="F117" s="22">
        <f t="shared" si="4"/>
        <v>5.8339197093328749E-4</v>
      </c>
      <c r="G117" s="2"/>
      <c r="H117" s="2"/>
      <c r="I117" s="2"/>
      <c r="J117" s="22">
        <f t="shared" si="5"/>
        <v>0</v>
      </c>
      <c r="K117" s="2"/>
      <c r="L117" s="2">
        <f t="shared" si="6"/>
        <v>879.12</v>
      </c>
      <c r="M117" s="2"/>
      <c r="N117" s="22">
        <f t="shared" si="7"/>
        <v>0</v>
      </c>
      <c r="O117" s="11"/>
      <c r="P117" s="2">
        <v>879.12</v>
      </c>
      <c r="Q117" s="2"/>
      <c r="R117" s="22">
        <f t="shared" si="8"/>
        <v>5.8339197093328749E-4</v>
      </c>
      <c r="S117" s="2"/>
      <c r="T117" s="2"/>
      <c r="U117" s="2"/>
      <c r="V117" s="22">
        <f t="shared" si="9"/>
        <v>0</v>
      </c>
      <c r="W117" s="2"/>
      <c r="X117" s="2">
        <f t="shared" si="10"/>
        <v>879.12</v>
      </c>
      <c r="Y117" s="2"/>
      <c r="Z117" s="22">
        <f t="shared" si="11"/>
        <v>0</v>
      </c>
    </row>
    <row r="118" spans="1:26" s="24" customFormat="1" hidden="1" outlineLevel="1" x14ac:dyDescent="0.25">
      <c r="A118" s="51"/>
      <c r="B118" s="11" t="str">
        <f>CONCATENATE("          ", "5026", " - ", "PURCHASES @ COST-WRITING INSTR")</f>
        <v xml:space="preserve">          5026 - PURCHASES @ COST-WRITING INSTR</v>
      </c>
      <c r="C118" s="11"/>
      <c r="D118" s="2">
        <v>10331.040000000001</v>
      </c>
      <c r="E118" s="2"/>
      <c r="F118" s="22">
        <f t="shared" si="4"/>
        <v>6.8557714389282818E-3</v>
      </c>
      <c r="G118" s="2"/>
      <c r="H118" s="2"/>
      <c r="I118" s="2"/>
      <c r="J118" s="22">
        <f t="shared" si="5"/>
        <v>0</v>
      </c>
      <c r="K118" s="2"/>
      <c r="L118" s="2">
        <f t="shared" si="6"/>
        <v>10331.040000000001</v>
      </c>
      <c r="M118" s="2"/>
      <c r="N118" s="22">
        <f t="shared" si="7"/>
        <v>0</v>
      </c>
      <c r="O118" s="11"/>
      <c r="P118" s="2">
        <v>10331.040000000001</v>
      </c>
      <c r="Q118" s="2"/>
      <c r="R118" s="22">
        <f t="shared" si="8"/>
        <v>6.8557714389282818E-3</v>
      </c>
      <c r="S118" s="2"/>
      <c r="T118" s="2"/>
      <c r="U118" s="2"/>
      <c r="V118" s="22">
        <f t="shared" si="9"/>
        <v>0</v>
      </c>
      <c r="W118" s="2"/>
      <c r="X118" s="2">
        <f t="shared" si="10"/>
        <v>10331.040000000001</v>
      </c>
      <c r="Y118" s="2"/>
      <c r="Z118" s="22">
        <f t="shared" si="11"/>
        <v>0</v>
      </c>
    </row>
    <row r="119" spans="1:26" s="24" customFormat="1" hidden="1" outlineLevel="1" x14ac:dyDescent="0.25">
      <c r="A119" s="51"/>
      <c r="B119" s="11" t="str">
        <f>CONCATENATE("          ", "5027", " - ", "PURCHASES @ COST-SCHOOL SUPPLI")</f>
        <v xml:space="preserve">          5027 - PURCHASES @ COST-SCHOOL SUPPLI</v>
      </c>
      <c r="C119" s="11"/>
      <c r="D119" s="2">
        <v>50115.47</v>
      </c>
      <c r="E119" s="2"/>
      <c r="F119" s="22">
        <f t="shared" si="4"/>
        <v>3.3257078462039361E-2</v>
      </c>
      <c r="G119" s="2"/>
      <c r="H119" s="2"/>
      <c r="I119" s="2"/>
      <c r="J119" s="22">
        <f t="shared" si="5"/>
        <v>0</v>
      </c>
      <c r="K119" s="2"/>
      <c r="L119" s="2">
        <f t="shared" si="6"/>
        <v>50115.47</v>
      </c>
      <c r="M119" s="2"/>
      <c r="N119" s="22">
        <f t="shared" si="7"/>
        <v>0</v>
      </c>
      <c r="O119" s="11"/>
      <c r="P119" s="2">
        <v>50115.47</v>
      </c>
      <c r="Q119" s="2"/>
      <c r="R119" s="22">
        <f t="shared" si="8"/>
        <v>3.3257078462039361E-2</v>
      </c>
      <c r="S119" s="2"/>
      <c r="T119" s="2"/>
      <c r="U119" s="2"/>
      <c r="V119" s="22">
        <f t="shared" si="9"/>
        <v>0</v>
      </c>
      <c r="W119" s="2"/>
      <c r="X119" s="2">
        <f t="shared" si="10"/>
        <v>50115.47</v>
      </c>
      <c r="Y119" s="2"/>
      <c r="Z119" s="22">
        <f t="shared" si="11"/>
        <v>0</v>
      </c>
    </row>
    <row r="120" spans="1:26" s="24" customFormat="1" hidden="1" outlineLevel="1" x14ac:dyDescent="0.25">
      <c r="A120" s="51"/>
      <c r="B120" s="11" t="str">
        <f>CONCATENATE("          ", "5028", " - ", "PURCHASES @ COST-ART/TECH")</f>
        <v xml:space="preserve">          5028 - PURCHASES @ COST-ART/TECH</v>
      </c>
      <c r="C120" s="11"/>
      <c r="D120" s="2">
        <v>28027.649999999998</v>
      </c>
      <c r="E120" s="2"/>
      <c r="F120" s="22">
        <f t="shared" si="4"/>
        <v>1.859940164497265E-2</v>
      </c>
      <c r="G120" s="2"/>
      <c r="H120" s="2"/>
      <c r="I120" s="2"/>
      <c r="J120" s="22">
        <f t="shared" si="5"/>
        <v>0</v>
      </c>
      <c r="K120" s="2"/>
      <c r="L120" s="2">
        <f t="shared" si="6"/>
        <v>28027.649999999998</v>
      </c>
      <c r="M120" s="2"/>
      <c r="N120" s="22">
        <f t="shared" si="7"/>
        <v>0</v>
      </c>
      <c r="O120" s="11"/>
      <c r="P120" s="2">
        <v>28027.649999999998</v>
      </c>
      <c r="Q120" s="2"/>
      <c r="R120" s="22">
        <f t="shared" si="8"/>
        <v>1.859940164497265E-2</v>
      </c>
      <c r="S120" s="2"/>
      <c r="T120" s="2"/>
      <c r="U120" s="2"/>
      <c r="V120" s="22">
        <f t="shared" si="9"/>
        <v>0</v>
      </c>
      <c r="W120" s="2"/>
      <c r="X120" s="2">
        <f t="shared" si="10"/>
        <v>28027.649999999998</v>
      </c>
      <c r="Y120" s="2"/>
      <c r="Z120" s="22">
        <f t="shared" si="11"/>
        <v>0</v>
      </c>
    </row>
    <row r="121" spans="1:26" s="24" customFormat="1" hidden="1" outlineLevel="1" x14ac:dyDescent="0.25">
      <c r="A121" s="51"/>
      <c r="B121" s="11" t="str">
        <f>CONCATENATE("          ", "5032", " - ", "PURCHASES @ COST-JUICE")</f>
        <v xml:space="preserve">          5032 - PURCHASES @ COST-JUICE</v>
      </c>
      <c r="C121" s="11"/>
      <c r="D121" s="2">
        <v>114.42</v>
      </c>
      <c r="E121" s="2"/>
      <c r="F121" s="22">
        <f t="shared" si="4"/>
        <v>7.5930145275032712E-5</v>
      </c>
      <c r="G121" s="2"/>
      <c r="H121" s="2"/>
      <c r="I121" s="2"/>
      <c r="J121" s="22">
        <f t="shared" si="5"/>
        <v>0</v>
      </c>
      <c r="K121" s="2"/>
      <c r="L121" s="2">
        <f t="shared" si="6"/>
        <v>114.42</v>
      </c>
      <c r="M121" s="2"/>
      <c r="N121" s="22">
        <f t="shared" si="7"/>
        <v>0</v>
      </c>
      <c r="O121" s="11"/>
      <c r="P121" s="2">
        <v>114.42</v>
      </c>
      <c r="Q121" s="2"/>
      <c r="R121" s="22">
        <f t="shared" si="8"/>
        <v>7.5930145275032712E-5</v>
      </c>
      <c r="S121" s="2"/>
      <c r="T121" s="2"/>
      <c r="U121" s="2"/>
      <c r="V121" s="22">
        <f t="shared" si="9"/>
        <v>0</v>
      </c>
      <c r="W121" s="2"/>
      <c r="X121" s="2">
        <f t="shared" si="10"/>
        <v>114.42</v>
      </c>
      <c r="Y121" s="2"/>
      <c r="Z121" s="22">
        <f t="shared" si="11"/>
        <v>0</v>
      </c>
    </row>
    <row r="122" spans="1:26" s="24" customFormat="1" hidden="1" outlineLevel="1" x14ac:dyDescent="0.25">
      <c r="A122" s="51"/>
      <c r="B122" s="11" t="str">
        <f>CONCATENATE("          ", "5034", " - ", "PURCHASES @ COST-SODA")</f>
        <v xml:space="preserve">          5034 - PURCHASES @ COST-SODA</v>
      </c>
      <c r="C122" s="11"/>
      <c r="D122" s="2">
        <v>-61.54</v>
      </c>
      <c r="E122" s="2"/>
      <c r="F122" s="22">
        <f t="shared" si="4"/>
        <v>-4.0838499739779002E-5</v>
      </c>
      <c r="G122" s="2"/>
      <c r="H122" s="2"/>
      <c r="I122" s="2"/>
      <c r="J122" s="22">
        <f t="shared" si="5"/>
        <v>0</v>
      </c>
      <c r="K122" s="2"/>
      <c r="L122" s="2">
        <f t="shared" si="6"/>
        <v>-61.54</v>
      </c>
      <c r="M122" s="2"/>
      <c r="N122" s="22">
        <f t="shared" si="7"/>
        <v>0</v>
      </c>
      <c r="O122" s="11"/>
      <c r="P122" s="2">
        <v>-61.54</v>
      </c>
      <c r="Q122" s="2"/>
      <c r="R122" s="22">
        <f t="shared" si="8"/>
        <v>-4.0838499739779002E-5</v>
      </c>
      <c r="S122" s="2"/>
      <c r="T122" s="2"/>
      <c r="U122" s="2"/>
      <c r="V122" s="22">
        <f t="shared" si="9"/>
        <v>0</v>
      </c>
      <c r="W122" s="2"/>
      <c r="X122" s="2">
        <f t="shared" si="10"/>
        <v>-61.54</v>
      </c>
      <c r="Y122" s="2"/>
      <c r="Z122" s="22">
        <f t="shared" si="11"/>
        <v>0</v>
      </c>
    </row>
    <row r="123" spans="1:26" s="24" customFormat="1" hidden="1" outlineLevel="1" x14ac:dyDescent="0.25">
      <c r="A123" s="51"/>
      <c r="B123" s="11" t="str">
        <f>CONCATENATE("          ", "5037", " - ", "PURCHASES @ COST-WATER")</f>
        <v xml:space="preserve">          5037 - PURCHASES @ COST-WATER</v>
      </c>
      <c r="C123" s="11"/>
      <c r="D123" s="2">
        <v>33.58</v>
      </c>
      <c r="E123" s="2"/>
      <c r="F123" s="22">
        <f t="shared" si="4"/>
        <v>2.2283991245722761E-5</v>
      </c>
      <c r="G123" s="2"/>
      <c r="H123" s="2"/>
      <c r="I123" s="2"/>
      <c r="J123" s="22">
        <f t="shared" si="5"/>
        <v>0</v>
      </c>
      <c r="K123" s="2"/>
      <c r="L123" s="2">
        <f t="shared" si="6"/>
        <v>33.58</v>
      </c>
      <c r="M123" s="2"/>
      <c r="N123" s="22">
        <f t="shared" si="7"/>
        <v>0</v>
      </c>
      <c r="O123" s="11"/>
      <c r="P123" s="2">
        <v>33.58</v>
      </c>
      <c r="Q123" s="2"/>
      <c r="R123" s="22">
        <f t="shared" si="8"/>
        <v>2.2283991245722761E-5</v>
      </c>
      <c r="S123" s="2"/>
      <c r="T123" s="2"/>
      <c r="U123" s="2"/>
      <c r="V123" s="22">
        <f t="shared" si="9"/>
        <v>0</v>
      </c>
      <c r="W123" s="2"/>
      <c r="X123" s="2">
        <f t="shared" si="10"/>
        <v>33.58</v>
      </c>
      <c r="Y123" s="2"/>
      <c r="Z123" s="22">
        <f t="shared" si="11"/>
        <v>0</v>
      </c>
    </row>
    <row r="124" spans="1:26" s="24" customFormat="1" hidden="1" outlineLevel="1" x14ac:dyDescent="0.25">
      <c r="A124" s="51"/>
      <c r="B124" s="11" t="str">
        <f>CONCATENATE("          ", "5040", " - ", "PURCHASES @ COST-LOGO CLOTHING")</f>
        <v xml:space="preserve">          5040 - PURCHASES @ COST-LOGO CLOTHING</v>
      </c>
      <c r="C124" s="11"/>
      <c r="D124" s="2">
        <v>78921.570000000007</v>
      </c>
      <c r="E124" s="2"/>
      <c r="F124" s="22">
        <f t="shared" si="4"/>
        <v>5.2373066556840271E-2</v>
      </c>
      <c r="G124" s="2"/>
      <c r="H124" s="2"/>
      <c r="I124" s="2"/>
      <c r="J124" s="22">
        <f t="shared" si="5"/>
        <v>0</v>
      </c>
      <c r="K124" s="2"/>
      <c r="L124" s="2">
        <f t="shared" si="6"/>
        <v>78921.570000000007</v>
      </c>
      <c r="M124" s="2"/>
      <c r="N124" s="22">
        <f t="shared" si="7"/>
        <v>0</v>
      </c>
      <c r="O124" s="11"/>
      <c r="P124" s="2">
        <v>78921.570000000007</v>
      </c>
      <c r="Q124" s="2"/>
      <c r="R124" s="22">
        <f t="shared" si="8"/>
        <v>5.2373066556840271E-2</v>
      </c>
      <c r="S124" s="2"/>
      <c r="T124" s="2"/>
      <c r="U124" s="2"/>
      <c r="V124" s="22">
        <f t="shared" si="9"/>
        <v>0</v>
      </c>
      <c r="W124" s="2"/>
      <c r="X124" s="2">
        <f t="shared" si="10"/>
        <v>78921.570000000007</v>
      </c>
      <c r="Y124" s="2"/>
      <c r="Z124" s="22">
        <f t="shared" si="11"/>
        <v>0</v>
      </c>
    </row>
    <row r="125" spans="1:26" s="24" customFormat="1" hidden="1" outlineLevel="1" x14ac:dyDescent="0.25">
      <c r="A125" s="51"/>
      <c r="B125" s="11" t="str">
        <f>CONCATENATE("          ", "5041", " - ", "PURCHASES @ COST-LOGO GIFTS")</f>
        <v xml:space="preserve">          5041 - PURCHASES @ COST-LOGO GIFTS</v>
      </c>
      <c r="C125" s="11"/>
      <c r="D125" s="2">
        <v>11950.27</v>
      </c>
      <c r="E125" s="2"/>
      <c r="F125" s="22">
        <f t="shared" si="4"/>
        <v>7.9303070894587071E-3</v>
      </c>
      <c r="G125" s="2"/>
      <c r="H125" s="2"/>
      <c r="I125" s="2"/>
      <c r="J125" s="22">
        <f t="shared" si="5"/>
        <v>0</v>
      </c>
      <c r="K125" s="2"/>
      <c r="L125" s="2">
        <f t="shared" si="6"/>
        <v>11950.27</v>
      </c>
      <c r="M125" s="2"/>
      <c r="N125" s="22">
        <f t="shared" si="7"/>
        <v>0</v>
      </c>
      <c r="O125" s="11"/>
      <c r="P125" s="2">
        <v>11950.27</v>
      </c>
      <c r="Q125" s="2"/>
      <c r="R125" s="22">
        <f t="shared" si="8"/>
        <v>7.9303070894587071E-3</v>
      </c>
      <c r="S125" s="2"/>
      <c r="T125" s="2"/>
      <c r="U125" s="2"/>
      <c r="V125" s="22">
        <f t="shared" si="9"/>
        <v>0</v>
      </c>
      <c r="W125" s="2"/>
      <c r="X125" s="2">
        <f t="shared" si="10"/>
        <v>11950.27</v>
      </c>
      <c r="Y125" s="2"/>
      <c r="Z125" s="22">
        <f t="shared" si="11"/>
        <v>0</v>
      </c>
    </row>
    <row r="126" spans="1:26" s="24" customFormat="1" hidden="1" outlineLevel="1" x14ac:dyDescent="0.25">
      <c r="A126" s="51"/>
      <c r="B126" s="11" t="str">
        <f>CONCATENATE("          ", "5042", " - ", "PURCHASES @ COST-EVERYDAY GIFT")</f>
        <v xml:space="preserve">          5042 - PURCHASES @ COST-EVERYDAY GIFT</v>
      </c>
      <c r="C126" s="11"/>
      <c r="D126" s="2">
        <v>7752.36</v>
      </c>
      <c r="E126" s="2"/>
      <c r="F126" s="22">
        <f t="shared" si="4"/>
        <v>5.1445361040408375E-3</v>
      </c>
      <c r="G126" s="2"/>
      <c r="H126" s="2"/>
      <c r="I126" s="2"/>
      <c r="J126" s="22">
        <f t="shared" si="5"/>
        <v>0</v>
      </c>
      <c r="K126" s="2"/>
      <c r="L126" s="2">
        <f t="shared" si="6"/>
        <v>7752.36</v>
      </c>
      <c r="M126" s="2"/>
      <c r="N126" s="22">
        <f t="shared" si="7"/>
        <v>0</v>
      </c>
      <c r="O126" s="11"/>
      <c r="P126" s="2">
        <v>7752.36</v>
      </c>
      <c r="Q126" s="2"/>
      <c r="R126" s="22">
        <f t="shared" si="8"/>
        <v>5.1445361040408375E-3</v>
      </c>
      <c r="S126" s="2"/>
      <c r="T126" s="2"/>
      <c r="U126" s="2"/>
      <c r="V126" s="22">
        <f t="shared" si="9"/>
        <v>0</v>
      </c>
      <c r="W126" s="2"/>
      <c r="X126" s="2">
        <f t="shared" si="10"/>
        <v>7752.36</v>
      </c>
      <c r="Y126" s="2"/>
      <c r="Z126" s="22">
        <f t="shared" si="11"/>
        <v>0</v>
      </c>
    </row>
    <row r="127" spans="1:26" s="24" customFormat="1" hidden="1" outlineLevel="1" x14ac:dyDescent="0.25">
      <c r="A127" s="51"/>
      <c r="B127" s="11" t="str">
        <f>CONCATENATE("          ", "5043", " - ", "PURCHASES @ COST-CARDS")</f>
        <v xml:space="preserve">          5043 - PURCHASES @ COST-CARDS</v>
      </c>
      <c r="C127" s="11"/>
      <c r="D127" s="2">
        <v>498.26</v>
      </c>
      <c r="E127" s="2"/>
      <c r="F127" s="22">
        <f t="shared" si="4"/>
        <v>3.3064983555967313E-4</v>
      </c>
      <c r="G127" s="2"/>
      <c r="H127" s="2"/>
      <c r="I127" s="2"/>
      <c r="J127" s="22">
        <f t="shared" si="5"/>
        <v>0</v>
      </c>
      <c r="K127" s="2"/>
      <c r="L127" s="2">
        <f t="shared" si="6"/>
        <v>498.26</v>
      </c>
      <c r="M127" s="2"/>
      <c r="N127" s="22">
        <f t="shared" si="7"/>
        <v>0</v>
      </c>
      <c r="O127" s="11"/>
      <c r="P127" s="2">
        <v>498.26</v>
      </c>
      <c r="Q127" s="2"/>
      <c r="R127" s="22">
        <f t="shared" si="8"/>
        <v>3.3064983555967313E-4</v>
      </c>
      <c r="S127" s="2"/>
      <c r="T127" s="2"/>
      <c r="U127" s="2"/>
      <c r="V127" s="22">
        <f t="shared" si="9"/>
        <v>0</v>
      </c>
      <c r="W127" s="2"/>
      <c r="X127" s="2">
        <f t="shared" si="10"/>
        <v>498.26</v>
      </c>
      <c r="Y127" s="2"/>
      <c r="Z127" s="22">
        <f t="shared" si="11"/>
        <v>0</v>
      </c>
    </row>
    <row r="128" spans="1:26" s="24" customFormat="1" hidden="1" outlineLevel="1" x14ac:dyDescent="0.25">
      <c r="A128" s="51"/>
      <c r="B128" s="11" t="str">
        <f>CONCATENATE("          ", "5044", " - ", "PURCHASES @ COST-ACCESSORIES")</f>
        <v xml:space="preserve">          5044 - PURCHASES @ COST-ACCESSORIES</v>
      </c>
      <c r="C128" s="11"/>
      <c r="D128" s="2">
        <v>4839</v>
      </c>
      <c r="E128" s="2"/>
      <c r="F128" s="22">
        <f t="shared" si="4"/>
        <v>3.2112040988103766E-3</v>
      </c>
      <c r="G128" s="2"/>
      <c r="H128" s="2"/>
      <c r="I128" s="2"/>
      <c r="J128" s="22">
        <f t="shared" si="5"/>
        <v>0</v>
      </c>
      <c r="K128" s="2"/>
      <c r="L128" s="2">
        <f t="shared" si="6"/>
        <v>4839</v>
      </c>
      <c r="M128" s="2"/>
      <c r="N128" s="22">
        <f t="shared" si="7"/>
        <v>0</v>
      </c>
      <c r="O128" s="11"/>
      <c r="P128" s="2">
        <v>4839</v>
      </c>
      <c r="Q128" s="2"/>
      <c r="R128" s="22">
        <f t="shared" si="8"/>
        <v>3.2112040988103766E-3</v>
      </c>
      <c r="S128" s="2"/>
      <c r="T128" s="2"/>
      <c r="U128" s="2"/>
      <c r="V128" s="22">
        <f t="shared" si="9"/>
        <v>0</v>
      </c>
      <c r="W128" s="2"/>
      <c r="X128" s="2">
        <f t="shared" si="10"/>
        <v>4839</v>
      </c>
      <c r="Y128" s="2"/>
      <c r="Z128" s="22">
        <f t="shared" si="11"/>
        <v>0</v>
      </c>
    </row>
    <row r="129" spans="1:26" s="24" customFormat="1" hidden="1" outlineLevel="1" x14ac:dyDescent="0.25">
      <c r="A129" s="51"/>
      <c r="B129" s="11" t="str">
        <f>CONCATENATE("          ", "5045", " - ", "PURCHASES @ COST-SPECIAL ORDER")</f>
        <v xml:space="preserve">          5045 - PURCHASES @ COST-SPECIAL ORDER</v>
      </c>
      <c r="C129" s="11"/>
      <c r="D129" s="2">
        <v>15992.849999999999</v>
      </c>
      <c r="E129" s="2"/>
      <c r="F129" s="22">
        <f t="shared" si="4"/>
        <v>1.061299968416192E-2</v>
      </c>
      <c r="G129" s="2"/>
      <c r="H129" s="2"/>
      <c r="I129" s="2"/>
      <c r="J129" s="22">
        <f t="shared" si="5"/>
        <v>0</v>
      </c>
      <c r="K129" s="2"/>
      <c r="L129" s="2">
        <f t="shared" si="6"/>
        <v>15992.849999999999</v>
      </c>
      <c r="M129" s="2"/>
      <c r="N129" s="22">
        <f t="shared" si="7"/>
        <v>0</v>
      </c>
      <c r="O129" s="11"/>
      <c r="P129" s="2">
        <v>15992.849999999999</v>
      </c>
      <c r="Q129" s="2"/>
      <c r="R129" s="22">
        <f t="shared" si="8"/>
        <v>1.061299968416192E-2</v>
      </c>
      <c r="S129" s="2"/>
      <c r="T129" s="2"/>
      <c r="U129" s="2"/>
      <c r="V129" s="22">
        <f t="shared" si="9"/>
        <v>0</v>
      </c>
      <c r="W129" s="2"/>
      <c r="X129" s="2">
        <f t="shared" si="10"/>
        <v>15992.849999999999</v>
      </c>
      <c r="Y129" s="2"/>
      <c r="Z129" s="22">
        <f t="shared" si="11"/>
        <v>0</v>
      </c>
    </row>
    <row r="130" spans="1:26" s="24" customFormat="1" hidden="1" outlineLevel="1" x14ac:dyDescent="0.25">
      <c r="A130" s="51"/>
      <c r="B130" s="11" t="str">
        <f>CONCATENATE("          ", "5053", " - ", "PURCHASES @ COST-FOOD")</f>
        <v xml:space="preserve">          5053 - PURCHASES @ COST-FOOD</v>
      </c>
      <c r="C130" s="11"/>
      <c r="D130" s="2">
        <v>273630.76999999996</v>
      </c>
      <c r="E130" s="2"/>
      <c r="F130" s="22">
        <f t="shared" si="4"/>
        <v>0.18158385000715838</v>
      </c>
      <c r="G130" s="2"/>
      <c r="H130" s="2"/>
      <c r="I130" s="2"/>
      <c r="J130" s="22">
        <f t="shared" si="5"/>
        <v>0</v>
      </c>
      <c r="K130" s="2"/>
      <c r="L130" s="2">
        <f t="shared" si="6"/>
        <v>273630.76999999996</v>
      </c>
      <c r="M130" s="2"/>
      <c r="N130" s="22">
        <f t="shared" si="7"/>
        <v>0</v>
      </c>
      <c r="O130" s="11"/>
      <c r="P130" s="2">
        <v>273630.76999999996</v>
      </c>
      <c r="Q130" s="2"/>
      <c r="R130" s="22">
        <f t="shared" si="8"/>
        <v>0.18158385000715838</v>
      </c>
      <c r="S130" s="2"/>
      <c r="T130" s="2"/>
      <c r="U130" s="2"/>
      <c r="V130" s="22">
        <f t="shared" si="9"/>
        <v>0</v>
      </c>
      <c r="W130" s="2"/>
      <c r="X130" s="2">
        <f t="shared" si="10"/>
        <v>273630.76999999996</v>
      </c>
      <c r="Y130" s="2"/>
      <c r="Z130" s="22">
        <f t="shared" si="11"/>
        <v>0</v>
      </c>
    </row>
    <row r="131" spans="1:26" s="24" customFormat="1" hidden="1" outlineLevel="1" x14ac:dyDescent="0.25">
      <c r="A131" s="51"/>
      <c r="B131" s="11" t="str">
        <f>CONCATENATE("          ", "5059", " - ", "PURCHASES @ COST-FOOD")</f>
        <v xml:space="preserve">          5059 - PURCHASES @ COST-FOOD</v>
      </c>
      <c r="C131" s="11"/>
      <c r="D131" s="2">
        <v>-20335.75</v>
      </c>
      <c r="E131" s="2"/>
      <c r="F131" s="22">
        <f t="shared" si="4"/>
        <v>-1.3494987342918603E-2</v>
      </c>
      <c r="G131" s="2"/>
      <c r="H131" s="2"/>
      <c r="I131" s="2"/>
      <c r="J131" s="22">
        <f t="shared" si="5"/>
        <v>0</v>
      </c>
      <c r="K131" s="2"/>
      <c r="L131" s="2">
        <f t="shared" si="6"/>
        <v>-20335.75</v>
      </c>
      <c r="M131" s="2"/>
      <c r="N131" s="22">
        <f t="shared" si="7"/>
        <v>0</v>
      </c>
      <c r="O131" s="11"/>
      <c r="P131" s="2">
        <v>-20335.75</v>
      </c>
      <c r="Q131" s="2"/>
      <c r="R131" s="22">
        <f t="shared" si="8"/>
        <v>-1.3494987342918603E-2</v>
      </c>
      <c r="S131" s="2"/>
      <c r="T131" s="2"/>
      <c r="U131" s="2"/>
      <c r="V131" s="22">
        <f t="shared" si="9"/>
        <v>0</v>
      </c>
      <c r="W131" s="2"/>
      <c r="X131" s="2">
        <f t="shared" si="10"/>
        <v>-20335.75</v>
      </c>
      <c r="Y131" s="2"/>
      <c r="Z131" s="22">
        <f t="shared" si="11"/>
        <v>0</v>
      </c>
    </row>
    <row r="132" spans="1:26" s="24" customFormat="1" hidden="1" outlineLevel="1" x14ac:dyDescent="0.25">
      <c r="A132" s="51"/>
      <c r="B132" s="11" t="str">
        <f>CONCATENATE("          ", "5081", " - ", "PURCHASES @ COST-ELECTRONICS")</f>
        <v xml:space="preserve">          5081 - PURCHASES @ COST-ELECTRONICS</v>
      </c>
      <c r="C132" s="11"/>
      <c r="D132" s="2">
        <v>66058.349999999991</v>
      </c>
      <c r="E132" s="2"/>
      <c r="F132" s="22">
        <f t="shared" si="4"/>
        <v>4.3836917602944912E-2</v>
      </c>
      <c r="G132" s="2"/>
      <c r="H132" s="2"/>
      <c r="I132" s="2"/>
      <c r="J132" s="22">
        <f t="shared" si="5"/>
        <v>0</v>
      </c>
      <c r="K132" s="2"/>
      <c r="L132" s="2">
        <f t="shared" si="6"/>
        <v>66058.349999999991</v>
      </c>
      <c r="M132" s="2"/>
      <c r="N132" s="22">
        <f t="shared" si="7"/>
        <v>0</v>
      </c>
      <c r="O132" s="11"/>
      <c r="P132" s="2">
        <v>66058.349999999991</v>
      </c>
      <c r="Q132" s="2"/>
      <c r="R132" s="22">
        <f t="shared" si="8"/>
        <v>4.3836917602944912E-2</v>
      </c>
      <c r="S132" s="2"/>
      <c r="T132" s="2"/>
      <c r="U132" s="2"/>
      <c r="V132" s="22">
        <f t="shared" si="9"/>
        <v>0</v>
      </c>
      <c r="W132" s="2"/>
      <c r="X132" s="2">
        <f t="shared" si="10"/>
        <v>66058.349999999991</v>
      </c>
      <c r="Y132" s="2"/>
      <c r="Z132" s="22">
        <f t="shared" si="11"/>
        <v>0</v>
      </c>
    </row>
    <row r="133" spans="1:26" s="24" customFormat="1" hidden="1" outlineLevel="1" x14ac:dyDescent="0.25">
      <c r="A133" s="51"/>
      <c r="B133" s="11" t="str">
        <f>CONCATENATE("          ", "5082", " - ", "PURCHASES @ COST-COMPUTER HARD")</f>
        <v xml:space="preserve">          5082 - PURCHASES @ COST-COMPUTER HARD</v>
      </c>
      <c r="C133" s="11"/>
      <c r="D133" s="2">
        <v>356559.97</v>
      </c>
      <c r="E133" s="2"/>
      <c r="F133" s="22">
        <f t="shared" si="4"/>
        <v>0.23661641602308428</v>
      </c>
      <c r="G133" s="2"/>
      <c r="H133" s="2"/>
      <c r="I133" s="2"/>
      <c r="J133" s="22">
        <f t="shared" si="5"/>
        <v>0</v>
      </c>
      <c r="K133" s="2"/>
      <c r="L133" s="2">
        <f t="shared" si="6"/>
        <v>356559.97</v>
      </c>
      <c r="M133" s="2"/>
      <c r="N133" s="22">
        <f t="shared" si="7"/>
        <v>0</v>
      </c>
      <c r="O133" s="11"/>
      <c r="P133" s="2">
        <v>356559.97</v>
      </c>
      <c r="Q133" s="2"/>
      <c r="R133" s="22">
        <f t="shared" si="8"/>
        <v>0.23661641602308428</v>
      </c>
      <c r="S133" s="2"/>
      <c r="T133" s="2"/>
      <c r="U133" s="2"/>
      <c r="V133" s="22">
        <f t="shared" si="9"/>
        <v>0</v>
      </c>
      <c r="W133" s="2"/>
      <c r="X133" s="2">
        <f t="shared" si="10"/>
        <v>356559.97</v>
      </c>
      <c r="Y133" s="2"/>
      <c r="Z133" s="22">
        <f t="shared" si="11"/>
        <v>0</v>
      </c>
    </row>
    <row r="134" spans="1:26" s="24" customFormat="1" hidden="1" outlineLevel="1" x14ac:dyDescent="0.25">
      <c r="A134" s="51"/>
      <c r="B134" s="11" t="str">
        <f>CONCATENATE("          ", "5083", " - ", "PURCHASES @ COST-COMPUTER EQUI")</f>
        <v xml:space="preserve">          5083 - PURCHASES @ COST-COMPUTER EQUI</v>
      </c>
      <c r="C134" s="11"/>
      <c r="D134" s="2">
        <v>7276.14</v>
      </c>
      <c r="E134" s="2"/>
      <c r="F134" s="22">
        <f t="shared" si="4"/>
        <v>4.8285122115143903E-3</v>
      </c>
      <c r="G134" s="2"/>
      <c r="H134" s="2"/>
      <c r="I134" s="2"/>
      <c r="J134" s="22">
        <f t="shared" si="5"/>
        <v>0</v>
      </c>
      <c r="K134" s="2"/>
      <c r="L134" s="2">
        <f t="shared" si="6"/>
        <v>7276.14</v>
      </c>
      <c r="M134" s="2"/>
      <c r="N134" s="22">
        <f t="shared" si="7"/>
        <v>0</v>
      </c>
      <c r="O134" s="11"/>
      <c r="P134" s="2">
        <v>7276.14</v>
      </c>
      <c r="Q134" s="2"/>
      <c r="R134" s="22">
        <f t="shared" si="8"/>
        <v>4.8285122115143903E-3</v>
      </c>
      <c r="S134" s="2"/>
      <c r="T134" s="2"/>
      <c r="U134" s="2"/>
      <c r="V134" s="22">
        <f t="shared" si="9"/>
        <v>0</v>
      </c>
      <c r="W134" s="2"/>
      <c r="X134" s="2">
        <f t="shared" si="10"/>
        <v>7276.14</v>
      </c>
      <c r="Y134" s="2"/>
      <c r="Z134" s="22">
        <f t="shared" si="11"/>
        <v>0</v>
      </c>
    </row>
    <row r="135" spans="1:26" s="24" customFormat="1" hidden="1" outlineLevel="1" x14ac:dyDescent="0.25">
      <c r="A135" s="51"/>
      <c r="B135" s="11" t="str">
        <f>CONCATENATE("          ", "5086", " - ", "PURCHASES @ COST-COMPUTER SUPP")</f>
        <v xml:space="preserve">          5086 - PURCHASES @ COST-COMPUTER SUPP</v>
      </c>
      <c r="C135" s="11"/>
      <c r="D135" s="2">
        <v>3427.07</v>
      </c>
      <c r="E135" s="2"/>
      <c r="F135" s="22">
        <f t="shared" si="4"/>
        <v>2.2742346003120639E-3</v>
      </c>
      <c r="G135" s="2"/>
      <c r="H135" s="2"/>
      <c r="I135" s="2"/>
      <c r="J135" s="22">
        <f t="shared" si="5"/>
        <v>0</v>
      </c>
      <c r="K135" s="2"/>
      <c r="L135" s="2">
        <f t="shared" si="6"/>
        <v>3427.07</v>
      </c>
      <c r="M135" s="2"/>
      <c r="N135" s="22">
        <f t="shared" si="7"/>
        <v>0</v>
      </c>
      <c r="O135" s="11"/>
      <c r="P135" s="2">
        <v>3427.07</v>
      </c>
      <c r="Q135" s="2"/>
      <c r="R135" s="22">
        <f t="shared" si="8"/>
        <v>2.2742346003120639E-3</v>
      </c>
      <c r="S135" s="2"/>
      <c r="T135" s="2"/>
      <c r="U135" s="2"/>
      <c r="V135" s="22">
        <f t="shared" si="9"/>
        <v>0</v>
      </c>
      <c r="W135" s="2"/>
      <c r="X135" s="2">
        <f t="shared" si="10"/>
        <v>3427.07</v>
      </c>
      <c r="Y135" s="2"/>
      <c r="Z135" s="22">
        <f t="shared" si="11"/>
        <v>0</v>
      </c>
    </row>
    <row r="136" spans="1:26" s="24" customFormat="1" hidden="1" outlineLevel="1" x14ac:dyDescent="0.25">
      <c r="A136" s="51"/>
      <c r="B136" s="11" t="str">
        <f>CONCATENATE("          ", "5088", " - ", "PURCHASES @ COST-MUSIC")</f>
        <v xml:space="preserve">          5088 - PURCHASES @ COST-MUSIC</v>
      </c>
      <c r="C136" s="11"/>
      <c r="D136" s="2">
        <v>82</v>
      </c>
      <c r="E136" s="2"/>
      <c r="F136" s="22">
        <f t="shared" si="4"/>
        <v>5.4415940504742899E-5</v>
      </c>
      <c r="G136" s="2"/>
      <c r="H136" s="2"/>
      <c r="I136" s="2"/>
      <c r="J136" s="22">
        <f t="shared" si="5"/>
        <v>0</v>
      </c>
      <c r="K136" s="2"/>
      <c r="L136" s="2">
        <f t="shared" si="6"/>
        <v>82</v>
      </c>
      <c r="M136" s="2"/>
      <c r="N136" s="22">
        <f t="shared" si="7"/>
        <v>0</v>
      </c>
      <c r="O136" s="11"/>
      <c r="P136" s="2">
        <v>82</v>
      </c>
      <c r="Q136" s="2"/>
      <c r="R136" s="22">
        <f t="shared" si="8"/>
        <v>5.4415940504742899E-5</v>
      </c>
      <c r="S136" s="2"/>
      <c r="T136" s="2"/>
      <c r="U136" s="2"/>
      <c r="V136" s="22">
        <f t="shared" si="9"/>
        <v>0</v>
      </c>
      <c r="W136" s="2"/>
      <c r="X136" s="2">
        <f t="shared" si="10"/>
        <v>82</v>
      </c>
      <c r="Y136" s="2"/>
      <c r="Z136" s="22">
        <f t="shared" si="11"/>
        <v>0</v>
      </c>
    </row>
    <row r="137" spans="1:26" s="24" customFormat="1" hidden="1" outlineLevel="1" x14ac:dyDescent="0.25">
      <c r="A137" s="51"/>
      <c r="B137" s="11" t="str">
        <f>CONCATENATE("          ", "5092", " - ", "PURCHASES @ COST-GRAD MERCH")</f>
        <v xml:space="preserve">          5092 - PURCHASES @ COST-GRAD MERCH</v>
      </c>
      <c r="C137" s="11"/>
      <c r="D137" s="2">
        <v>1228.5999999999999</v>
      </c>
      <c r="E137" s="2"/>
      <c r="F137" s="22">
        <f t="shared" si="4"/>
        <v>8.1531005492837952E-4</v>
      </c>
      <c r="G137" s="2"/>
      <c r="H137" s="2"/>
      <c r="I137" s="2"/>
      <c r="J137" s="22">
        <f t="shared" si="5"/>
        <v>0</v>
      </c>
      <c r="K137" s="2"/>
      <c r="L137" s="2">
        <f t="shared" si="6"/>
        <v>1228.5999999999999</v>
      </c>
      <c r="M137" s="2"/>
      <c r="N137" s="22">
        <f t="shared" si="7"/>
        <v>0</v>
      </c>
      <c r="O137" s="11"/>
      <c r="P137" s="2">
        <v>1228.5999999999999</v>
      </c>
      <c r="Q137" s="2"/>
      <c r="R137" s="22">
        <f t="shared" si="8"/>
        <v>8.1531005492837952E-4</v>
      </c>
      <c r="S137" s="2"/>
      <c r="T137" s="2"/>
      <c r="U137" s="2"/>
      <c r="V137" s="22">
        <f t="shared" si="9"/>
        <v>0</v>
      </c>
      <c r="W137" s="2"/>
      <c r="X137" s="2">
        <f t="shared" si="10"/>
        <v>1228.5999999999999</v>
      </c>
      <c r="Y137" s="2"/>
      <c r="Z137" s="22">
        <f t="shared" si="11"/>
        <v>0</v>
      </c>
    </row>
    <row r="138" spans="1:26" s="24" customFormat="1" hidden="1" outlineLevel="1" x14ac:dyDescent="0.25">
      <c r="A138" s="51"/>
      <c r="B138" s="11" t="str">
        <f>CONCATENATE("          ", "5095", " - ", "PURCHASES @ COST-CUSTOMER SERV")</f>
        <v xml:space="preserve">          5095 - PURCHASES @ COST-CUSTOMER SERV</v>
      </c>
      <c r="C138" s="11"/>
      <c r="D138" s="2">
        <v>0</v>
      </c>
      <c r="E138" s="2"/>
      <c r="F138" s="22">
        <f t="shared" si="4"/>
        <v>0</v>
      </c>
      <c r="G138" s="2"/>
      <c r="H138" s="2"/>
      <c r="I138" s="2"/>
      <c r="J138" s="22">
        <f t="shared" si="5"/>
        <v>0</v>
      </c>
      <c r="K138" s="2"/>
      <c r="L138" s="2">
        <f t="shared" si="6"/>
        <v>0</v>
      </c>
      <c r="M138" s="2"/>
      <c r="N138" s="22">
        <f t="shared" si="7"/>
        <v>0</v>
      </c>
      <c r="O138" s="11"/>
      <c r="P138" s="2">
        <v>0</v>
      </c>
      <c r="Q138" s="2"/>
      <c r="R138" s="22">
        <f t="shared" si="8"/>
        <v>0</v>
      </c>
      <c r="S138" s="2"/>
      <c r="T138" s="2"/>
      <c r="U138" s="2"/>
      <c r="V138" s="22">
        <f t="shared" si="9"/>
        <v>0</v>
      </c>
      <c r="W138" s="2"/>
      <c r="X138" s="2">
        <f t="shared" si="10"/>
        <v>0</v>
      </c>
      <c r="Y138" s="2"/>
      <c r="Z138" s="22">
        <f t="shared" si="11"/>
        <v>0</v>
      </c>
    </row>
    <row r="139" spans="1:26" s="24" customFormat="1" hidden="1" outlineLevel="1" x14ac:dyDescent="0.25">
      <c r="A139" s="51"/>
      <c r="B139" s="11" t="str">
        <f>CONCATENATE("          ", "5200", " - ", "PURCHASES OFFSET")</f>
        <v xml:space="preserve">          5200 - PURCHASES OFFSET</v>
      </c>
      <c r="C139" s="11"/>
      <c r="D139" s="2">
        <v>-1262309</v>
      </c>
      <c r="E139" s="2"/>
      <c r="F139" s="22">
        <f t="shared" si="4"/>
        <v>-0.83767965173904269</v>
      </c>
      <c r="G139" s="2"/>
      <c r="H139" s="2"/>
      <c r="I139" s="2"/>
      <c r="J139" s="22">
        <f t="shared" si="5"/>
        <v>0</v>
      </c>
      <c r="K139" s="2"/>
      <c r="L139" s="2">
        <f t="shared" si="6"/>
        <v>-1262309</v>
      </c>
      <c r="M139" s="2"/>
      <c r="N139" s="22">
        <f t="shared" si="7"/>
        <v>0</v>
      </c>
      <c r="O139" s="11"/>
      <c r="P139" s="2">
        <v>-1262309</v>
      </c>
      <c r="Q139" s="2"/>
      <c r="R139" s="22">
        <f t="shared" si="8"/>
        <v>-0.83767965173904269</v>
      </c>
      <c r="S139" s="2"/>
      <c r="T139" s="2"/>
      <c r="U139" s="2"/>
      <c r="V139" s="22">
        <f t="shared" si="9"/>
        <v>0</v>
      </c>
      <c r="W139" s="2"/>
      <c r="X139" s="2">
        <f t="shared" si="10"/>
        <v>-1262309</v>
      </c>
      <c r="Y139" s="2"/>
      <c r="Z139" s="22">
        <f t="shared" si="11"/>
        <v>0</v>
      </c>
    </row>
    <row r="140" spans="1:26" s="24" customFormat="1" hidden="1" outlineLevel="1" x14ac:dyDescent="0.25">
      <c r="A140" s="51"/>
      <c r="B140" s="11" t="str">
        <f>CONCATENATE("          ", "5300", " - ", "COG$ OFFSET")</f>
        <v xml:space="preserve">          5300 - COG$ OFFSET</v>
      </c>
      <c r="C140" s="11"/>
      <c r="D140" s="2">
        <v>523490</v>
      </c>
      <c r="E140" s="2"/>
      <c r="F140" s="22">
        <f t="shared" si="4"/>
        <v>0.34739269140033974</v>
      </c>
      <c r="G140" s="2"/>
      <c r="H140" s="2"/>
      <c r="I140" s="2"/>
      <c r="J140" s="22">
        <f t="shared" si="5"/>
        <v>0</v>
      </c>
      <c r="K140" s="2"/>
      <c r="L140" s="2">
        <f t="shared" si="6"/>
        <v>523490</v>
      </c>
      <c r="M140" s="2"/>
      <c r="N140" s="22">
        <f t="shared" si="7"/>
        <v>0</v>
      </c>
      <c r="O140" s="11"/>
      <c r="P140" s="2">
        <v>523490</v>
      </c>
      <c r="Q140" s="2"/>
      <c r="R140" s="22">
        <f t="shared" si="8"/>
        <v>0.34739269140033974</v>
      </c>
      <c r="S140" s="2"/>
      <c r="T140" s="2"/>
      <c r="U140" s="2"/>
      <c r="V140" s="22">
        <f t="shared" si="9"/>
        <v>0</v>
      </c>
      <c r="W140" s="2"/>
      <c r="X140" s="2">
        <f t="shared" si="10"/>
        <v>523490</v>
      </c>
      <c r="Y140" s="2"/>
      <c r="Z140" s="22">
        <f t="shared" si="11"/>
        <v>0</v>
      </c>
    </row>
    <row r="141" spans="1:26" s="24" customFormat="1" hidden="1" outlineLevel="1" x14ac:dyDescent="0.25">
      <c r="A141" s="51"/>
      <c r="B141" s="11" t="str">
        <f>CONCATENATE("          ", "5500", " - ", "FREIGHT-IN")</f>
        <v xml:space="preserve">          5500 - FREIGHT-IN</v>
      </c>
      <c r="C141" s="11"/>
      <c r="D141" s="2">
        <v>49</v>
      </c>
      <c r="E141" s="2"/>
      <c r="F141" s="22">
        <f t="shared" si="4"/>
        <v>3.2516842496736612E-5</v>
      </c>
      <c r="G141" s="2"/>
      <c r="H141" s="2"/>
      <c r="I141" s="2"/>
      <c r="J141" s="22">
        <f t="shared" si="5"/>
        <v>0</v>
      </c>
      <c r="K141" s="2"/>
      <c r="L141" s="2">
        <f t="shared" si="6"/>
        <v>49</v>
      </c>
      <c r="M141" s="2"/>
      <c r="N141" s="22">
        <f t="shared" si="7"/>
        <v>0</v>
      </c>
      <c r="O141" s="11"/>
      <c r="P141" s="2">
        <v>49</v>
      </c>
      <c r="Q141" s="2"/>
      <c r="R141" s="22">
        <f t="shared" si="8"/>
        <v>3.2516842496736612E-5</v>
      </c>
      <c r="S141" s="2"/>
      <c r="T141" s="2"/>
      <c r="U141" s="2"/>
      <c r="V141" s="22">
        <f t="shared" si="9"/>
        <v>0</v>
      </c>
      <c r="W141" s="2"/>
      <c r="X141" s="2">
        <f t="shared" si="10"/>
        <v>49</v>
      </c>
      <c r="Y141" s="2"/>
      <c r="Z141" s="22">
        <f t="shared" si="11"/>
        <v>0</v>
      </c>
    </row>
    <row r="142" spans="1:26" s="24" customFormat="1" hidden="1" outlineLevel="1" x14ac:dyDescent="0.25">
      <c r="A142" s="51"/>
      <c r="B142" s="11" t="str">
        <f>CONCATENATE("          ", "5501", " - ", "FREIGHT-IN-NEW TEXT")</f>
        <v xml:space="preserve">          5501 - FREIGHT-IN-NEW TEXT</v>
      </c>
      <c r="C142" s="11"/>
      <c r="D142" s="2">
        <v>1716.08</v>
      </c>
      <c r="E142" s="2"/>
      <c r="F142" s="22">
        <f t="shared" si="4"/>
        <v>1.1388061851387707E-3</v>
      </c>
      <c r="G142" s="2"/>
      <c r="H142" s="2"/>
      <c r="I142" s="2"/>
      <c r="J142" s="22">
        <f t="shared" si="5"/>
        <v>0</v>
      </c>
      <c r="K142" s="2"/>
      <c r="L142" s="2">
        <f t="shared" si="6"/>
        <v>1716.08</v>
      </c>
      <c r="M142" s="2"/>
      <c r="N142" s="22">
        <f t="shared" si="7"/>
        <v>0</v>
      </c>
      <c r="O142" s="11"/>
      <c r="P142" s="2">
        <v>1716.08</v>
      </c>
      <c r="Q142" s="2"/>
      <c r="R142" s="22">
        <f t="shared" si="8"/>
        <v>1.1388061851387707E-3</v>
      </c>
      <c r="S142" s="2"/>
      <c r="T142" s="2"/>
      <c r="U142" s="2"/>
      <c r="V142" s="22">
        <f t="shared" si="9"/>
        <v>0</v>
      </c>
      <c r="W142" s="2"/>
      <c r="X142" s="2">
        <f t="shared" si="10"/>
        <v>1716.08</v>
      </c>
      <c r="Y142" s="2"/>
      <c r="Z142" s="22">
        <f t="shared" si="11"/>
        <v>0</v>
      </c>
    </row>
    <row r="143" spans="1:26" s="24" customFormat="1" hidden="1" outlineLevel="1" x14ac:dyDescent="0.25">
      <c r="A143" s="51"/>
      <c r="B143" s="11" t="str">
        <f>CONCATENATE("          ", "5502", " - ", "FREIGHT-IN-USED TEXT")</f>
        <v xml:space="preserve">          5502 - FREIGHT-IN-USED TEXT</v>
      </c>
      <c r="C143" s="11"/>
      <c r="D143" s="2">
        <v>277.49</v>
      </c>
      <c r="E143" s="2"/>
      <c r="F143" s="22">
        <f t="shared" si="4"/>
        <v>1.8414486988611108E-4</v>
      </c>
      <c r="G143" s="2"/>
      <c r="H143" s="2"/>
      <c r="I143" s="2"/>
      <c r="J143" s="22">
        <f t="shared" si="5"/>
        <v>0</v>
      </c>
      <c r="K143" s="2"/>
      <c r="L143" s="2">
        <f t="shared" si="6"/>
        <v>277.49</v>
      </c>
      <c r="M143" s="2"/>
      <c r="N143" s="22">
        <f t="shared" si="7"/>
        <v>0</v>
      </c>
      <c r="O143" s="11"/>
      <c r="P143" s="2">
        <v>277.49</v>
      </c>
      <c r="Q143" s="2"/>
      <c r="R143" s="22">
        <f t="shared" si="8"/>
        <v>1.8414486988611108E-4</v>
      </c>
      <c r="S143" s="2"/>
      <c r="T143" s="2"/>
      <c r="U143" s="2"/>
      <c r="V143" s="22">
        <f t="shared" si="9"/>
        <v>0</v>
      </c>
      <c r="W143" s="2"/>
      <c r="X143" s="2">
        <f t="shared" si="10"/>
        <v>277.49</v>
      </c>
      <c r="Y143" s="2"/>
      <c r="Z143" s="22">
        <f t="shared" si="11"/>
        <v>0</v>
      </c>
    </row>
    <row r="144" spans="1:26" s="24" customFormat="1" hidden="1" outlineLevel="1" x14ac:dyDescent="0.25">
      <c r="A144" s="51"/>
      <c r="B144" s="11" t="str">
        <f>CONCATENATE("          ", "5526", " - ", "FREIGHT-IN-WRITING INSTRUMENTS")</f>
        <v xml:space="preserve">          5526 - FREIGHT-IN-WRITING INSTRUMENTS</v>
      </c>
      <c r="C144" s="11"/>
      <c r="D144" s="2">
        <v>39.11</v>
      </c>
      <c r="E144" s="2"/>
      <c r="F144" s="22">
        <f t="shared" si="4"/>
        <v>2.5953749184640181E-5</v>
      </c>
      <c r="G144" s="2"/>
      <c r="H144" s="2"/>
      <c r="I144" s="2"/>
      <c r="J144" s="22">
        <f t="shared" si="5"/>
        <v>0</v>
      </c>
      <c r="K144" s="2"/>
      <c r="L144" s="2">
        <f t="shared" si="6"/>
        <v>39.11</v>
      </c>
      <c r="M144" s="2"/>
      <c r="N144" s="22">
        <f t="shared" si="7"/>
        <v>0</v>
      </c>
      <c r="O144" s="11"/>
      <c r="P144" s="2">
        <v>39.11</v>
      </c>
      <c r="Q144" s="2"/>
      <c r="R144" s="22">
        <f t="shared" si="8"/>
        <v>2.5953749184640181E-5</v>
      </c>
      <c r="S144" s="2"/>
      <c r="T144" s="2"/>
      <c r="U144" s="2"/>
      <c r="V144" s="22">
        <f t="shared" si="9"/>
        <v>0</v>
      </c>
      <c r="W144" s="2"/>
      <c r="X144" s="2">
        <f t="shared" si="10"/>
        <v>39.11</v>
      </c>
      <c r="Y144" s="2"/>
      <c r="Z144" s="22">
        <f t="shared" si="11"/>
        <v>0</v>
      </c>
    </row>
    <row r="145" spans="1:26" s="24" customFormat="1" hidden="1" outlineLevel="1" x14ac:dyDescent="0.25">
      <c r="A145" s="51"/>
      <c r="B145" s="11" t="str">
        <f>CONCATENATE("          ", "5527", " - ", "FREIGHT-IN-SCHOOL SUPPLIES")</f>
        <v xml:space="preserve">          5527 - FREIGHT-IN-SCHOOL SUPPLIES</v>
      </c>
      <c r="C145" s="11"/>
      <c r="D145" s="2">
        <v>250.02</v>
      </c>
      <c r="E145" s="2"/>
      <c r="F145" s="22">
        <f t="shared" si="4"/>
        <v>1.6591552981702219E-4</v>
      </c>
      <c r="G145" s="2"/>
      <c r="H145" s="2"/>
      <c r="I145" s="2"/>
      <c r="J145" s="22">
        <f t="shared" si="5"/>
        <v>0</v>
      </c>
      <c r="K145" s="2"/>
      <c r="L145" s="2">
        <f t="shared" si="6"/>
        <v>250.02</v>
      </c>
      <c r="M145" s="2"/>
      <c r="N145" s="22">
        <f t="shared" si="7"/>
        <v>0</v>
      </c>
      <c r="O145" s="11"/>
      <c r="P145" s="2">
        <v>250.02</v>
      </c>
      <c r="Q145" s="2"/>
      <c r="R145" s="22">
        <f t="shared" si="8"/>
        <v>1.6591552981702219E-4</v>
      </c>
      <c r="S145" s="2"/>
      <c r="T145" s="2"/>
      <c r="U145" s="2"/>
      <c r="V145" s="22">
        <f t="shared" si="9"/>
        <v>0</v>
      </c>
      <c r="W145" s="2"/>
      <c r="X145" s="2">
        <f t="shared" si="10"/>
        <v>250.02</v>
      </c>
      <c r="Y145" s="2"/>
      <c r="Z145" s="22">
        <f t="shared" si="11"/>
        <v>0</v>
      </c>
    </row>
    <row r="146" spans="1:26" s="24" customFormat="1" hidden="1" outlineLevel="1" x14ac:dyDescent="0.25">
      <c r="A146" s="51"/>
      <c r="B146" s="11" t="str">
        <f>CONCATENATE("          ", "5528", " - ", "FREIGHT-IN-ART/TECH")</f>
        <v xml:space="preserve">          5528 - FREIGHT-IN-ART/TECH</v>
      </c>
      <c r="C146" s="11"/>
      <c r="D146" s="2">
        <v>44.35</v>
      </c>
      <c r="E146" s="2"/>
      <c r="F146" s="22">
        <f t="shared" si="4"/>
        <v>2.9431060504699361E-5</v>
      </c>
      <c r="G146" s="2"/>
      <c r="H146" s="2"/>
      <c r="I146" s="2"/>
      <c r="J146" s="22">
        <f t="shared" si="5"/>
        <v>0</v>
      </c>
      <c r="K146" s="2"/>
      <c r="L146" s="2">
        <f t="shared" si="6"/>
        <v>44.35</v>
      </c>
      <c r="M146" s="2"/>
      <c r="N146" s="22">
        <f t="shared" si="7"/>
        <v>0</v>
      </c>
      <c r="O146" s="11"/>
      <c r="P146" s="2">
        <v>44.35</v>
      </c>
      <c r="Q146" s="2"/>
      <c r="R146" s="22">
        <f t="shared" si="8"/>
        <v>2.9431060504699361E-5</v>
      </c>
      <c r="S146" s="2"/>
      <c r="T146" s="2"/>
      <c r="U146" s="2"/>
      <c r="V146" s="22">
        <f t="shared" si="9"/>
        <v>0</v>
      </c>
      <c r="W146" s="2"/>
      <c r="X146" s="2">
        <f t="shared" si="10"/>
        <v>44.35</v>
      </c>
      <c r="Y146" s="2"/>
      <c r="Z146" s="22">
        <f t="shared" si="11"/>
        <v>0</v>
      </c>
    </row>
    <row r="147" spans="1:26" s="24" customFormat="1" hidden="1" outlineLevel="1" x14ac:dyDescent="0.25">
      <c r="A147" s="51"/>
      <c r="B147" s="11" t="str">
        <f>CONCATENATE("          ", "5540", " - ", "FREIGHT-IN-LOGO CLOTHING")</f>
        <v xml:space="preserve">          5540 - FREIGHT-IN-LOGO CLOTHING</v>
      </c>
      <c r="C147" s="11"/>
      <c r="D147" s="2">
        <v>395.22</v>
      </c>
      <c r="E147" s="2"/>
      <c r="F147" s="22">
        <f t="shared" si="4"/>
        <v>2.6227156105224986E-4</v>
      </c>
      <c r="G147" s="2"/>
      <c r="H147" s="2"/>
      <c r="I147" s="2"/>
      <c r="J147" s="22">
        <f t="shared" si="5"/>
        <v>0</v>
      </c>
      <c r="K147" s="2"/>
      <c r="L147" s="2">
        <f t="shared" si="6"/>
        <v>395.22</v>
      </c>
      <c r="M147" s="2"/>
      <c r="N147" s="22">
        <f t="shared" si="7"/>
        <v>0</v>
      </c>
      <c r="O147" s="11"/>
      <c r="P147" s="2">
        <v>395.22</v>
      </c>
      <c r="Q147" s="2"/>
      <c r="R147" s="22">
        <f t="shared" si="8"/>
        <v>2.6227156105224986E-4</v>
      </c>
      <c r="S147" s="2"/>
      <c r="T147" s="2"/>
      <c r="U147" s="2"/>
      <c r="V147" s="22">
        <f t="shared" si="9"/>
        <v>0</v>
      </c>
      <c r="W147" s="2"/>
      <c r="X147" s="2">
        <f t="shared" si="10"/>
        <v>395.22</v>
      </c>
      <c r="Y147" s="2"/>
      <c r="Z147" s="22">
        <f t="shared" si="11"/>
        <v>0</v>
      </c>
    </row>
    <row r="148" spans="1:26" s="24" customFormat="1" hidden="1" outlineLevel="1" x14ac:dyDescent="0.25">
      <c r="A148" s="51"/>
      <c r="B148" s="11" t="str">
        <f>CONCATENATE("          ", "5541", " - ", "FREIGHT-IN-LOGO GIFTS")</f>
        <v xml:space="preserve">          5541 - FREIGHT-IN-LOGO GIFTS</v>
      </c>
      <c r="C148" s="11"/>
      <c r="D148" s="2">
        <v>314.49</v>
      </c>
      <c r="E148" s="2"/>
      <c r="F148" s="22">
        <f t="shared" si="4"/>
        <v>2.0869840401629993E-4</v>
      </c>
      <c r="G148" s="2"/>
      <c r="H148" s="2"/>
      <c r="I148" s="2"/>
      <c r="J148" s="22">
        <f t="shared" si="5"/>
        <v>0</v>
      </c>
      <c r="K148" s="2"/>
      <c r="L148" s="2">
        <f t="shared" si="6"/>
        <v>314.49</v>
      </c>
      <c r="M148" s="2"/>
      <c r="N148" s="22">
        <f t="shared" si="7"/>
        <v>0</v>
      </c>
      <c r="O148" s="11"/>
      <c r="P148" s="2">
        <v>314.49</v>
      </c>
      <c r="Q148" s="2"/>
      <c r="R148" s="22">
        <f t="shared" si="8"/>
        <v>2.0869840401629993E-4</v>
      </c>
      <c r="S148" s="2"/>
      <c r="T148" s="2"/>
      <c r="U148" s="2"/>
      <c r="V148" s="22">
        <f t="shared" si="9"/>
        <v>0</v>
      </c>
      <c r="W148" s="2"/>
      <c r="X148" s="2">
        <f t="shared" si="10"/>
        <v>314.49</v>
      </c>
      <c r="Y148" s="2"/>
      <c r="Z148" s="22">
        <f t="shared" si="11"/>
        <v>0</v>
      </c>
    </row>
    <row r="149" spans="1:26" s="24" customFormat="1" hidden="1" outlineLevel="1" x14ac:dyDescent="0.25">
      <c r="A149" s="51"/>
      <c r="B149" s="11" t="str">
        <f>CONCATENATE("          ", "5542", " - ", "FREIGHT-IN-EVERYDAY GIFTS")</f>
        <v xml:space="preserve">          5542 - FREIGHT-IN-EVERYDAY GIFTS</v>
      </c>
      <c r="C149" s="11"/>
      <c r="D149" s="2">
        <v>29.72</v>
      </c>
      <c r="E149" s="2"/>
      <c r="F149" s="22">
        <f t="shared" si="4"/>
        <v>1.9722460387816573E-5</v>
      </c>
      <c r="G149" s="2"/>
      <c r="H149" s="2"/>
      <c r="I149" s="2"/>
      <c r="J149" s="22">
        <f t="shared" si="5"/>
        <v>0</v>
      </c>
      <c r="K149" s="2"/>
      <c r="L149" s="2">
        <f t="shared" si="6"/>
        <v>29.72</v>
      </c>
      <c r="M149" s="2"/>
      <c r="N149" s="22">
        <f t="shared" si="7"/>
        <v>0</v>
      </c>
      <c r="O149" s="11"/>
      <c r="P149" s="2">
        <v>29.72</v>
      </c>
      <c r="Q149" s="2"/>
      <c r="R149" s="22">
        <f t="shared" si="8"/>
        <v>1.9722460387816573E-5</v>
      </c>
      <c r="S149" s="2"/>
      <c r="T149" s="2"/>
      <c r="U149" s="2"/>
      <c r="V149" s="22">
        <f t="shared" si="9"/>
        <v>0</v>
      </c>
      <c r="W149" s="2"/>
      <c r="X149" s="2">
        <f t="shared" si="10"/>
        <v>29.72</v>
      </c>
      <c r="Y149" s="2"/>
      <c r="Z149" s="22">
        <f t="shared" si="11"/>
        <v>0</v>
      </c>
    </row>
    <row r="150" spans="1:26" s="24" customFormat="1" hidden="1" outlineLevel="1" x14ac:dyDescent="0.25">
      <c r="A150" s="51"/>
      <c r="B150" s="11" t="str">
        <f>CONCATENATE("          ", "5544", " - ", "FREIGHT-IN-ACCESSORIES")</f>
        <v xml:space="preserve">          5544 - FREIGHT-IN-ACCESSORIES</v>
      </c>
      <c r="C150" s="11"/>
      <c r="D150" s="2">
        <v>16.73</v>
      </c>
      <c r="E150" s="2"/>
      <c r="F150" s="22">
        <f t="shared" si="4"/>
        <v>1.1102179081028643E-5</v>
      </c>
      <c r="G150" s="2"/>
      <c r="H150" s="2"/>
      <c r="I150" s="2"/>
      <c r="J150" s="22">
        <f t="shared" si="5"/>
        <v>0</v>
      </c>
      <c r="K150" s="2"/>
      <c r="L150" s="2">
        <f t="shared" si="6"/>
        <v>16.73</v>
      </c>
      <c r="M150" s="2"/>
      <c r="N150" s="22">
        <f t="shared" si="7"/>
        <v>0</v>
      </c>
      <c r="O150" s="11"/>
      <c r="P150" s="2">
        <v>16.73</v>
      </c>
      <c r="Q150" s="2"/>
      <c r="R150" s="22">
        <f t="shared" si="8"/>
        <v>1.1102179081028643E-5</v>
      </c>
      <c r="S150" s="2"/>
      <c r="T150" s="2"/>
      <c r="U150" s="2"/>
      <c r="V150" s="22">
        <f t="shared" si="9"/>
        <v>0</v>
      </c>
      <c r="W150" s="2"/>
      <c r="X150" s="2">
        <f t="shared" si="10"/>
        <v>16.73</v>
      </c>
      <c r="Y150" s="2"/>
      <c r="Z150" s="22">
        <f t="shared" si="11"/>
        <v>0</v>
      </c>
    </row>
    <row r="151" spans="1:26" s="24" customFormat="1" hidden="1" outlineLevel="1" x14ac:dyDescent="0.25">
      <c r="A151" s="51"/>
      <c r="B151" s="11" t="str">
        <f>CONCATENATE("          ", "5545", " - ", "FREIGHT-IN-SPECIAL ORDERS")</f>
        <v xml:space="preserve">          5545 - FREIGHT-IN-SPECIAL ORDERS</v>
      </c>
      <c r="C151" s="11"/>
      <c r="D151" s="2">
        <v>227.08</v>
      </c>
      <c r="E151" s="2"/>
      <c r="F151" s="22">
        <f t="shared" si="4"/>
        <v>1.5069233865630511E-4</v>
      </c>
      <c r="G151" s="2"/>
      <c r="H151" s="2"/>
      <c r="I151" s="2"/>
      <c r="J151" s="22">
        <f t="shared" si="5"/>
        <v>0</v>
      </c>
      <c r="K151" s="2"/>
      <c r="L151" s="2">
        <f t="shared" si="6"/>
        <v>227.08</v>
      </c>
      <c r="M151" s="2"/>
      <c r="N151" s="22">
        <f t="shared" si="7"/>
        <v>0</v>
      </c>
      <c r="O151" s="11"/>
      <c r="P151" s="2">
        <v>227.08</v>
      </c>
      <c r="Q151" s="2"/>
      <c r="R151" s="22">
        <f t="shared" si="8"/>
        <v>1.5069233865630511E-4</v>
      </c>
      <c r="S151" s="2"/>
      <c r="T151" s="2"/>
      <c r="U151" s="2"/>
      <c r="V151" s="22">
        <f t="shared" si="9"/>
        <v>0</v>
      </c>
      <c r="W151" s="2"/>
      <c r="X151" s="2">
        <f t="shared" si="10"/>
        <v>227.08</v>
      </c>
      <c r="Y151" s="2"/>
      <c r="Z151" s="22">
        <f t="shared" si="11"/>
        <v>0</v>
      </c>
    </row>
    <row r="152" spans="1:26" s="24" customFormat="1" hidden="1" outlineLevel="1" x14ac:dyDescent="0.25">
      <c r="A152" s="51"/>
      <c r="B152" s="11" t="str">
        <f>CONCATENATE("          ", "5583", " - ", "FREIGHT-IN-COMPUTER EQUIPMENT")</f>
        <v xml:space="preserve">          5583 - FREIGHT-IN-COMPUTER EQUIPMENT</v>
      </c>
      <c r="C152" s="11"/>
      <c r="D152" s="2">
        <v>6.99</v>
      </c>
      <c r="E152" s="2"/>
      <c r="F152" s="22">
        <f t="shared" si="4"/>
        <v>4.6386271235140594E-6</v>
      </c>
      <c r="G152" s="2"/>
      <c r="H152" s="2"/>
      <c r="I152" s="2"/>
      <c r="J152" s="22">
        <f t="shared" si="5"/>
        <v>0</v>
      </c>
      <c r="K152" s="2"/>
      <c r="L152" s="2">
        <f t="shared" si="6"/>
        <v>6.99</v>
      </c>
      <c r="M152" s="2"/>
      <c r="N152" s="22">
        <f t="shared" si="7"/>
        <v>0</v>
      </c>
      <c r="O152" s="11"/>
      <c r="P152" s="2">
        <v>6.99</v>
      </c>
      <c r="Q152" s="2"/>
      <c r="R152" s="22">
        <f t="shared" si="8"/>
        <v>4.6386271235140594E-6</v>
      </c>
      <c r="S152" s="2"/>
      <c r="T152" s="2"/>
      <c r="U152" s="2"/>
      <c r="V152" s="22">
        <f t="shared" si="9"/>
        <v>0</v>
      </c>
      <c r="W152" s="2"/>
      <c r="X152" s="2">
        <f t="shared" si="10"/>
        <v>6.99</v>
      </c>
      <c r="Y152" s="2"/>
      <c r="Z152" s="22">
        <f t="shared" si="11"/>
        <v>0</v>
      </c>
    </row>
    <row r="153" spans="1:26" s="24" customFormat="1" hidden="1" outlineLevel="1" x14ac:dyDescent="0.25">
      <c r="A153" s="51"/>
      <c r="B153" s="11" t="str">
        <f>CONCATENATE("          ", "5586", " - ", "FREIGHT-IN-COMPUTER SUPPLIES")</f>
        <v xml:space="preserve">          5586 - FREIGHT-IN-COMPUTER SUPPLIES</v>
      </c>
      <c r="C153" s="11"/>
      <c r="D153" s="2">
        <v>29.67</v>
      </c>
      <c r="E153" s="2"/>
      <c r="F153" s="22">
        <f t="shared" si="4"/>
        <v>1.9689279936289292E-5</v>
      </c>
      <c r="G153" s="2"/>
      <c r="H153" s="2"/>
      <c r="I153" s="2"/>
      <c r="J153" s="22">
        <f t="shared" si="5"/>
        <v>0</v>
      </c>
      <c r="K153" s="2"/>
      <c r="L153" s="2">
        <f t="shared" si="6"/>
        <v>29.67</v>
      </c>
      <c r="M153" s="2"/>
      <c r="N153" s="22">
        <f t="shared" si="7"/>
        <v>0</v>
      </c>
      <c r="O153" s="11"/>
      <c r="P153" s="2">
        <v>29.67</v>
      </c>
      <c r="Q153" s="2"/>
      <c r="R153" s="22">
        <f t="shared" si="8"/>
        <v>1.9689279936289292E-5</v>
      </c>
      <c r="S153" s="2"/>
      <c r="T153" s="2"/>
      <c r="U153" s="2"/>
      <c r="V153" s="22">
        <f t="shared" si="9"/>
        <v>0</v>
      </c>
      <c r="W153" s="2"/>
      <c r="X153" s="2">
        <f t="shared" si="10"/>
        <v>29.67</v>
      </c>
      <c r="Y153" s="2"/>
      <c r="Z153" s="22">
        <f t="shared" si="11"/>
        <v>0</v>
      </c>
    </row>
    <row r="154" spans="1:26" x14ac:dyDescent="0.25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x14ac:dyDescent="0.25">
      <c r="A155" s="10"/>
      <c r="B155" s="26" t="s">
        <v>6</v>
      </c>
      <c r="C155" s="26"/>
      <c r="D155" s="21">
        <f>D12-D107</f>
        <v>717373.73999999964</v>
      </c>
      <c r="E155" s="13"/>
      <c r="F155" s="19">
        <f>IF(D$12=0,0,D155/D$12)</f>
        <v>0.47605569214030341</v>
      </c>
      <c r="G155" s="13"/>
      <c r="H155" s="21">
        <f>H12-H107</f>
        <v>849830.05148999987</v>
      </c>
      <c r="I155" s="13"/>
      <c r="J155" s="19">
        <f>IF(H$12=0,0,H155/H$12)</f>
        <v>0.51792547725504945</v>
      </c>
      <c r="K155" s="15"/>
      <c r="L155" s="21">
        <f>+D155-H155</f>
        <v>-132456.31149000023</v>
      </c>
      <c r="M155" s="15"/>
      <c r="N155" s="19">
        <f>IF(H155=0,0,L155/H155)</f>
        <v>-0.15586211767607616</v>
      </c>
      <c r="O155" s="25"/>
      <c r="P155" s="21">
        <f>P12-P107</f>
        <v>717373.73999999964</v>
      </c>
      <c r="Q155" s="13"/>
      <c r="R155" s="19">
        <f>IF(P$12=0,0,P155/P$12)</f>
        <v>0.47605569214030341</v>
      </c>
      <c r="S155" s="13"/>
      <c r="T155" s="21">
        <f>T12-T107</f>
        <v>849830.05148999987</v>
      </c>
      <c r="U155" s="13"/>
      <c r="V155" s="19">
        <f>IF(T$12=0,0,T155/T$12)</f>
        <v>0.51792547725504945</v>
      </c>
      <c r="W155" s="15"/>
      <c r="X155" s="21">
        <f>+P155-T155</f>
        <v>-132456.31149000023</v>
      </c>
      <c r="Y155" s="15"/>
      <c r="Z155" s="19">
        <f>IF(T155=0,0,X155/T155)</f>
        <v>-0.15586211767607616</v>
      </c>
    </row>
    <row r="156" spans="1:26" x14ac:dyDescent="0.25">
      <c r="A156" s="9"/>
      <c r="B156" s="10"/>
      <c r="C156" s="9"/>
      <c r="D156" s="1"/>
      <c r="E156" s="1"/>
      <c r="F156" s="5"/>
      <c r="G156" s="1"/>
      <c r="H156" s="1"/>
      <c r="I156" s="1"/>
      <c r="J156" s="5"/>
      <c r="K156" s="1"/>
      <c r="L156" s="1"/>
      <c r="M156" s="1"/>
      <c r="N156" s="5"/>
      <c r="O156" s="36"/>
      <c r="P156" s="1"/>
      <c r="Q156" s="1"/>
      <c r="R156" s="5"/>
      <c r="S156" s="1"/>
      <c r="T156" s="1"/>
      <c r="U156" s="1"/>
      <c r="V156" s="5"/>
      <c r="W156" s="1"/>
      <c r="X156" s="1"/>
      <c r="Y156" s="1"/>
      <c r="Z156" s="5"/>
    </row>
    <row r="157" spans="1:26" s="23" customFormat="1" x14ac:dyDescent="0.25">
      <c r="A157" s="10"/>
      <c r="B157" s="25" t="s">
        <v>9</v>
      </c>
      <c r="C157" s="10"/>
      <c r="D157" s="20">
        <f>SUM(OSRRefD22x_0)</f>
        <v>1312659.17</v>
      </c>
      <c r="E157" s="20"/>
      <c r="F157" s="30">
        <f t="shared" ref="F157:F168" si="12">IF(D$12=0,0,D157/D$12)</f>
        <v>0.87109247924055111</v>
      </c>
      <c r="G157" s="20"/>
      <c r="H157" s="20">
        <f>SUM(OSRRefH22x_0)</f>
        <v>1360897.0412015808</v>
      </c>
      <c r="I157" s="20"/>
      <c r="J157" s="30">
        <f t="shared" ref="J157:J168" si="13">IF(H$12=0,0,H157/H$12)</f>
        <v>0.82939318081717361</v>
      </c>
      <c r="K157" s="4"/>
      <c r="L157" s="20">
        <f t="shared" ref="L157:L168" si="14">+D157-H157</f>
        <v>-48237.871201580856</v>
      </c>
      <c r="M157" s="4"/>
      <c r="N157" s="30">
        <f t="shared" ref="N157:N168" si="15">IF(H157=0,0,L157/H157)</f>
        <v>-3.544564338165513E-2</v>
      </c>
      <c r="O157" s="10"/>
      <c r="P157" s="20">
        <f>SUM(OSRRefP22x_0)</f>
        <v>1312659.17</v>
      </c>
      <c r="Q157" s="20"/>
      <c r="R157" s="30">
        <f t="shared" ref="R157:R168" si="16">IF(P$12=0,0,P157/P$12)</f>
        <v>0.87109247924055111</v>
      </c>
      <c r="S157" s="20"/>
      <c r="T157" s="20">
        <f>SUM(OSRRefT22x_0)</f>
        <v>1360897.0412015808</v>
      </c>
      <c r="U157" s="20"/>
      <c r="V157" s="30">
        <f t="shared" ref="V157:V168" si="17">IF(T$12=0,0,T157/T$12)</f>
        <v>0.82939318081717361</v>
      </c>
      <c r="W157" s="4"/>
      <c r="X157" s="20">
        <f t="shared" ref="X157:X168" si="18">+P157-T157</f>
        <v>-48237.871201580856</v>
      </c>
      <c r="Y157" s="4"/>
      <c r="Z157" s="30">
        <f t="shared" ref="Z157:Z168" si="19">IF(T157=0,0,X157/T157)</f>
        <v>-3.544564338165513E-2</v>
      </c>
    </row>
    <row r="158" spans="1:26" s="27" customFormat="1" outlineLevel="1" collapsed="1" x14ac:dyDescent="0.25">
      <c r="A158" s="28"/>
      <c r="B158" s="14" t="str">
        <f>CONCATENATE("     ","*Benefits                                         ")</f>
        <v xml:space="preserve">     *Benefits                                         </v>
      </c>
      <c r="C158" s="14"/>
      <c r="D158" s="1">
        <f>SUM(OSRRefD22_0x_0)</f>
        <v>243835.67</v>
      </c>
      <c r="E158" s="1"/>
      <c r="F158" s="5">
        <f t="shared" si="12"/>
        <v>0.16181155258114785</v>
      </c>
      <c r="G158" s="1"/>
      <c r="H158" s="1">
        <f>SUM(OSRRefH22_0x_0)</f>
        <v>230153.93213440015</v>
      </c>
      <c r="I158" s="1"/>
      <c r="J158" s="5">
        <f t="shared" si="13"/>
        <v>0.1402663802413654</v>
      </c>
      <c r="K158" s="1"/>
      <c r="L158" s="1">
        <f t="shared" si="14"/>
        <v>13681.737865599862</v>
      </c>
      <c r="M158" s="1"/>
      <c r="N158" s="5">
        <f t="shared" si="15"/>
        <v>5.9446031352661424E-2</v>
      </c>
      <c r="O158" s="14"/>
      <c r="P158" s="1">
        <f>SUM(OSRRefP22_0x_0)</f>
        <v>243835.67</v>
      </c>
      <c r="Q158" s="1"/>
      <c r="R158" s="5">
        <f t="shared" si="16"/>
        <v>0.16181155258114785</v>
      </c>
      <c r="S158" s="1"/>
      <c r="T158" s="1">
        <f>SUM(OSRRefT22_0x_0)</f>
        <v>230153.93213440015</v>
      </c>
      <c r="U158" s="1"/>
      <c r="V158" s="5">
        <f t="shared" si="17"/>
        <v>0.1402663802413654</v>
      </c>
      <c r="W158" s="1"/>
      <c r="X158" s="1">
        <f t="shared" si="18"/>
        <v>13681.737865599862</v>
      </c>
      <c r="Y158" s="1"/>
      <c r="Z158" s="5">
        <f t="shared" si="19"/>
        <v>5.9446031352661424E-2</v>
      </c>
    </row>
    <row r="159" spans="1:26" s="24" customFormat="1" hidden="1" outlineLevel="2" x14ac:dyDescent="0.25">
      <c r="A159" s="29"/>
      <c r="B159" s="11" t="str">
        <f>CONCATENATE("          ", "6111", " - ", "F.I.C.A.")</f>
        <v xml:space="preserve">          6111 - F.I.C.A.</v>
      </c>
      <c r="C159" s="11"/>
      <c r="D159" s="7">
        <v>38198.86</v>
      </c>
      <c r="E159" s="2"/>
      <c r="F159" s="6">
        <f t="shared" si="12"/>
        <v>2.534910845254882E-2</v>
      </c>
      <c r="G159" s="2"/>
      <c r="H159" s="7">
        <v>47502.270988485405</v>
      </c>
      <c r="I159" s="2"/>
      <c r="J159" s="6">
        <f t="shared" si="13"/>
        <v>2.8950066344764342E-2</v>
      </c>
      <c r="K159" s="2"/>
      <c r="L159" s="7">
        <f t="shared" si="14"/>
        <v>-9303.4109884854042</v>
      </c>
      <c r="M159" s="2"/>
      <c r="N159" s="6">
        <f t="shared" si="15"/>
        <v>-0.19585192023220446</v>
      </c>
      <c r="O159" s="11"/>
      <c r="P159" s="7">
        <v>38198.86</v>
      </c>
      <c r="Q159" s="2"/>
      <c r="R159" s="6">
        <f t="shared" si="16"/>
        <v>2.534910845254882E-2</v>
      </c>
      <c r="S159" s="2"/>
      <c r="T159" s="7">
        <v>47502.270988485405</v>
      </c>
      <c r="U159" s="2"/>
      <c r="V159" s="6">
        <f t="shared" si="17"/>
        <v>2.8950066344764342E-2</v>
      </c>
      <c r="W159" s="2"/>
      <c r="X159" s="7">
        <f t="shared" si="18"/>
        <v>-9303.4109884854042</v>
      </c>
      <c r="Y159" s="2"/>
      <c r="Z159" s="6">
        <f t="shared" si="19"/>
        <v>-0.19585192023220446</v>
      </c>
    </row>
    <row r="160" spans="1:26" s="24" customFormat="1" hidden="1" outlineLevel="2" x14ac:dyDescent="0.25">
      <c r="A160" s="29"/>
      <c r="B160" s="11" t="str">
        <f>CONCATENATE("          ", "6112", " - ", "COMPENSATION INSURANCE")</f>
        <v xml:space="preserve">          6112 - COMPENSATION INSURANCE</v>
      </c>
      <c r="C160" s="11"/>
      <c r="D160" s="7">
        <v>14840.14</v>
      </c>
      <c r="E160" s="2"/>
      <c r="F160" s="6">
        <f t="shared" si="12"/>
        <v>9.8480509185616492E-3</v>
      </c>
      <c r="G160" s="2"/>
      <c r="H160" s="7">
        <v>20023.189781121153</v>
      </c>
      <c r="I160" s="2"/>
      <c r="J160" s="6">
        <f t="shared" si="13"/>
        <v>1.2203051781203849E-2</v>
      </c>
      <c r="K160" s="2"/>
      <c r="L160" s="7">
        <f t="shared" si="14"/>
        <v>-5183.0497811211535</v>
      </c>
      <c r="M160" s="2"/>
      <c r="N160" s="6">
        <f t="shared" si="15"/>
        <v>-0.25885235258609934</v>
      </c>
      <c r="O160" s="11"/>
      <c r="P160" s="7">
        <v>14840.14</v>
      </c>
      <c r="Q160" s="2"/>
      <c r="R160" s="6">
        <f t="shared" si="16"/>
        <v>9.8480509185616492E-3</v>
      </c>
      <c r="S160" s="2"/>
      <c r="T160" s="7">
        <v>20023.189781121153</v>
      </c>
      <c r="U160" s="2"/>
      <c r="V160" s="6">
        <f t="shared" si="17"/>
        <v>1.2203051781203849E-2</v>
      </c>
      <c r="W160" s="2"/>
      <c r="X160" s="7">
        <f t="shared" si="18"/>
        <v>-5183.0497811211535</v>
      </c>
      <c r="Y160" s="2"/>
      <c r="Z160" s="6">
        <f t="shared" si="19"/>
        <v>-0.25885235258609934</v>
      </c>
    </row>
    <row r="161" spans="1:26" s="24" customFormat="1" hidden="1" outlineLevel="2" x14ac:dyDescent="0.25">
      <c r="A161" s="29"/>
      <c r="B161" s="11" t="str">
        <f>CONCATENATE("          ", "6113", " - ", "GROUP INSURANCE")</f>
        <v xml:space="preserve">          6113 - GROUP INSURANCE</v>
      </c>
      <c r="C161" s="11"/>
      <c r="D161" s="7">
        <v>92648.05</v>
      </c>
      <c r="E161" s="2"/>
      <c r="F161" s="6">
        <f t="shared" si="12"/>
        <v>6.1482082642444459E-2</v>
      </c>
      <c r="G161" s="2"/>
      <c r="H161" s="7">
        <v>97676.00384615385</v>
      </c>
      <c r="I161" s="2"/>
      <c r="J161" s="6">
        <f t="shared" si="13"/>
        <v>5.9528244288005822E-2</v>
      </c>
      <c r="K161" s="2"/>
      <c r="L161" s="7">
        <f t="shared" si="14"/>
        <v>-5027.9538461538468</v>
      </c>
      <c r="M161" s="2"/>
      <c r="N161" s="6">
        <f t="shared" si="15"/>
        <v>-5.1475834884412409E-2</v>
      </c>
      <c r="O161" s="11"/>
      <c r="P161" s="7">
        <v>92648.05</v>
      </c>
      <c r="Q161" s="2"/>
      <c r="R161" s="6">
        <f t="shared" si="16"/>
        <v>6.1482082642444459E-2</v>
      </c>
      <c r="S161" s="2"/>
      <c r="T161" s="7">
        <v>97676.00384615385</v>
      </c>
      <c r="U161" s="2"/>
      <c r="V161" s="6">
        <f t="shared" si="17"/>
        <v>5.9528244288005822E-2</v>
      </c>
      <c r="W161" s="2"/>
      <c r="X161" s="7">
        <f t="shared" si="18"/>
        <v>-5027.9538461538468</v>
      </c>
      <c r="Y161" s="2"/>
      <c r="Z161" s="6">
        <f t="shared" si="19"/>
        <v>-5.1475834884412409E-2</v>
      </c>
    </row>
    <row r="162" spans="1:26" s="24" customFormat="1" hidden="1" outlineLevel="2" x14ac:dyDescent="0.25">
      <c r="A162" s="29"/>
      <c r="B162" s="11" t="str">
        <f>CONCATENATE("          ", "6114", " - ", "STATE UNEMPLOYMENT INSURANCE")</f>
        <v xml:space="preserve">          6114 - STATE UNEMPLOYMENT INSURANCE</v>
      </c>
      <c r="C162" s="11"/>
      <c r="D162" s="7">
        <v>1323.33</v>
      </c>
      <c r="E162" s="2"/>
      <c r="F162" s="6">
        <f t="shared" si="12"/>
        <v>8.7817373839196855E-4</v>
      </c>
      <c r="G162" s="2"/>
      <c r="H162" s="7">
        <v>1745.3010549693201</v>
      </c>
      <c r="I162" s="2"/>
      <c r="J162" s="6">
        <f t="shared" si="13"/>
        <v>1.0636666475418977E-3</v>
      </c>
      <c r="K162" s="2"/>
      <c r="L162" s="7">
        <f t="shared" si="14"/>
        <v>-421.97105496932022</v>
      </c>
      <c r="M162" s="2"/>
      <c r="N162" s="6">
        <f t="shared" si="15"/>
        <v>-0.24177551131815356</v>
      </c>
      <c r="O162" s="11"/>
      <c r="P162" s="7">
        <v>1323.33</v>
      </c>
      <c r="Q162" s="2"/>
      <c r="R162" s="6">
        <f t="shared" si="16"/>
        <v>8.7817373839196855E-4</v>
      </c>
      <c r="S162" s="2"/>
      <c r="T162" s="7">
        <v>1745.3010549693201</v>
      </c>
      <c r="U162" s="2"/>
      <c r="V162" s="6">
        <f t="shared" si="17"/>
        <v>1.0636666475418977E-3</v>
      </c>
      <c r="W162" s="2"/>
      <c r="X162" s="7">
        <f t="shared" si="18"/>
        <v>-421.97105496932022</v>
      </c>
      <c r="Y162" s="2"/>
      <c r="Z162" s="6">
        <f t="shared" si="19"/>
        <v>-0.24177551131815356</v>
      </c>
    </row>
    <row r="163" spans="1:26" s="24" customFormat="1" hidden="1" outlineLevel="2" x14ac:dyDescent="0.25">
      <c r="A163" s="29"/>
      <c r="B163" s="11" t="str">
        <f>CONCATENATE("          ", "6115", " - ", "P.E.R.S.")</f>
        <v xml:space="preserve">          6115 - P.E.R.S.</v>
      </c>
      <c r="C163" s="11"/>
      <c r="D163" s="7">
        <v>18146.929999999997</v>
      </c>
      <c r="E163" s="2"/>
      <c r="F163" s="6">
        <f t="shared" si="12"/>
        <v>1.2042466624679681E-2</v>
      </c>
      <c r="G163" s="2"/>
      <c r="H163" s="7">
        <v>22864.080113057695</v>
      </c>
      <c r="I163" s="2"/>
      <c r="J163" s="6">
        <f t="shared" si="13"/>
        <v>1.3934420868961747E-2</v>
      </c>
      <c r="K163" s="2"/>
      <c r="L163" s="7">
        <f t="shared" si="14"/>
        <v>-4717.150113057698</v>
      </c>
      <c r="M163" s="2"/>
      <c r="N163" s="6">
        <f t="shared" si="15"/>
        <v>-0.20631270052118694</v>
      </c>
      <c r="O163" s="11"/>
      <c r="P163" s="7">
        <v>18146.929999999997</v>
      </c>
      <c r="Q163" s="2"/>
      <c r="R163" s="6">
        <f t="shared" si="16"/>
        <v>1.2042466624679681E-2</v>
      </c>
      <c r="S163" s="2"/>
      <c r="T163" s="7">
        <v>22864.080113057695</v>
      </c>
      <c r="U163" s="2"/>
      <c r="V163" s="6">
        <f t="shared" si="17"/>
        <v>1.3934420868961747E-2</v>
      </c>
      <c r="W163" s="2"/>
      <c r="X163" s="7">
        <f t="shared" si="18"/>
        <v>-4717.150113057698</v>
      </c>
      <c r="Y163" s="2"/>
      <c r="Z163" s="6">
        <f t="shared" si="19"/>
        <v>-0.20631270052118694</v>
      </c>
    </row>
    <row r="164" spans="1:26" s="24" customFormat="1" hidden="1" outlineLevel="2" x14ac:dyDescent="0.25">
      <c r="A164" s="29"/>
      <c r="B164" s="11" t="str">
        <f>CONCATENATE("          ", "6116", " - ", "EDUCATIONAL BENEFITS")</f>
        <v xml:space="preserve">          6116 - EDUCATIONAL BENEFITS</v>
      </c>
      <c r="C164" s="11"/>
      <c r="D164" s="7"/>
      <c r="E164" s="2"/>
      <c r="F164" s="6">
        <f t="shared" si="12"/>
        <v>0</v>
      </c>
      <c r="G164" s="2"/>
      <c r="H164" s="7">
        <v>0</v>
      </c>
      <c r="I164" s="2"/>
      <c r="J164" s="6">
        <f t="shared" si="13"/>
        <v>0</v>
      </c>
      <c r="K164" s="2"/>
      <c r="L164" s="7">
        <f t="shared" si="14"/>
        <v>0</v>
      </c>
      <c r="M164" s="2"/>
      <c r="N164" s="6">
        <f t="shared" si="15"/>
        <v>0</v>
      </c>
      <c r="O164" s="11"/>
      <c r="P164" s="7"/>
      <c r="Q164" s="2"/>
      <c r="R164" s="6">
        <f t="shared" si="16"/>
        <v>0</v>
      </c>
      <c r="S164" s="2"/>
      <c r="T164" s="7">
        <v>0</v>
      </c>
      <c r="U164" s="2"/>
      <c r="V164" s="6">
        <f t="shared" si="17"/>
        <v>0</v>
      </c>
      <c r="W164" s="2"/>
      <c r="X164" s="7">
        <f t="shared" si="18"/>
        <v>0</v>
      </c>
      <c r="Y164" s="2"/>
      <c r="Z164" s="6">
        <f t="shared" si="19"/>
        <v>0</v>
      </c>
    </row>
    <row r="165" spans="1:26" s="24" customFormat="1" hidden="1" outlineLevel="2" x14ac:dyDescent="0.25">
      <c r="A165" s="29"/>
      <c r="B165" s="11" t="str">
        <f>CONCATENATE("          ", "6117", " - ", "RETIREMENT STAFF HOURLY")</f>
        <v xml:space="preserve">          6117 - RETIREMENT STAFF HOURLY</v>
      </c>
      <c r="C165" s="11"/>
      <c r="D165" s="7">
        <v>1799.07</v>
      </c>
      <c r="E165" s="2"/>
      <c r="F165" s="6">
        <f t="shared" si="12"/>
        <v>1.1938790985837537E-3</v>
      </c>
      <c r="G165" s="2"/>
      <c r="H165" s="7"/>
      <c r="I165" s="2"/>
      <c r="J165" s="6">
        <f t="shared" si="13"/>
        <v>0</v>
      </c>
      <c r="K165" s="2"/>
      <c r="L165" s="7">
        <f t="shared" si="14"/>
        <v>1799.07</v>
      </c>
      <c r="M165" s="2"/>
      <c r="N165" s="6">
        <f t="shared" si="15"/>
        <v>0</v>
      </c>
      <c r="O165" s="11"/>
      <c r="P165" s="7">
        <v>1799.07</v>
      </c>
      <c r="Q165" s="2"/>
      <c r="R165" s="6">
        <f t="shared" si="16"/>
        <v>1.1938790985837537E-3</v>
      </c>
      <c r="S165" s="2"/>
      <c r="T165" s="7"/>
      <c r="U165" s="2"/>
      <c r="V165" s="6">
        <f t="shared" si="17"/>
        <v>0</v>
      </c>
      <c r="W165" s="2"/>
      <c r="X165" s="7">
        <f t="shared" si="18"/>
        <v>1799.07</v>
      </c>
      <c r="Y165" s="2"/>
      <c r="Z165" s="6">
        <f t="shared" si="19"/>
        <v>0</v>
      </c>
    </row>
    <row r="166" spans="1:26" s="24" customFormat="1" hidden="1" outlineLevel="2" x14ac:dyDescent="0.25">
      <c r="A166" s="29"/>
      <c r="B166" s="11" t="str">
        <f>CONCATENATE("          ", "6118", " - ", "VACATION")</f>
        <v xml:space="preserve">          6118 - VACATION</v>
      </c>
      <c r="C166" s="11"/>
      <c r="D166" s="7">
        <v>29319.82</v>
      </c>
      <c r="E166" s="2"/>
      <c r="F166" s="6">
        <f t="shared" si="12"/>
        <v>1.9456897325972815E-2</v>
      </c>
      <c r="G166" s="2"/>
      <c r="H166" s="7">
        <v>17292.432809826914</v>
      </c>
      <c r="I166" s="2"/>
      <c r="J166" s="6">
        <f t="shared" si="13"/>
        <v>1.0538803023295852E-2</v>
      </c>
      <c r="K166" s="2"/>
      <c r="L166" s="7">
        <f t="shared" si="14"/>
        <v>12027.387190173085</v>
      </c>
      <c r="M166" s="2"/>
      <c r="N166" s="6">
        <f t="shared" si="15"/>
        <v>0.69552892426669899</v>
      </c>
      <c r="O166" s="11"/>
      <c r="P166" s="7">
        <v>29319.82</v>
      </c>
      <c r="Q166" s="2"/>
      <c r="R166" s="6">
        <f t="shared" si="16"/>
        <v>1.9456897325972815E-2</v>
      </c>
      <c r="S166" s="2"/>
      <c r="T166" s="7">
        <v>17292.432809826914</v>
      </c>
      <c r="U166" s="2"/>
      <c r="V166" s="6">
        <f t="shared" si="17"/>
        <v>1.0538803023295852E-2</v>
      </c>
      <c r="W166" s="2"/>
      <c r="X166" s="7">
        <f t="shared" si="18"/>
        <v>12027.387190173085</v>
      </c>
      <c r="Y166" s="2"/>
      <c r="Z166" s="6">
        <f t="shared" si="19"/>
        <v>0.69552892426669899</v>
      </c>
    </row>
    <row r="167" spans="1:26" s="24" customFormat="1" hidden="1" outlineLevel="2" x14ac:dyDescent="0.25">
      <c r="A167" s="29"/>
      <c r="B167" s="11" t="str">
        <f>CONCATENATE("          ", "6119", " - ", "SICK LEAVE")</f>
        <v xml:space="preserve">          6119 - SICK LEAVE</v>
      </c>
      <c r="C167" s="11"/>
      <c r="D167" s="7">
        <v>39810.800000000003</v>
      </c>
      <c r="E167" s="2"/>
      <c r="F167" s="6">
        <f t="shared" si="12"/>
        <v>2.641880639324657E-2</v>
      </c>
      <c r="G167" s="2"/>
      <c r="H167" s="7">
        <v>18000.653540785836</v>
      </c>
      <c r="I167" s="2"/>
      <c r="J167" s="6">
        <f t="shared" si="13"/>
        <v>1.0970425274639756E-2</v>
      </c>
      <c r="K167" s="2"/>
      <c r="L167" s="7">
        <f t="shared" si="14"/>
        <v>21810.146459214167</v>
      </c>
      <c r="M167" s="2"/>
      <c r="N167" s="6">
        <f t="shared" si="15"/>
        <v>1.2116308116145225</v>
      </c>
      <c r="O167" s="11"/>
      <c r="P167" s="7">
        <v>39810.800000000003</v>
      </c>
      <c r="Q167" s="2"/>
      <c r="R167" s="6">
        <f t="shared" si="16"/>
        <v>2.641880639324657E-2</v>
      </c>
      <c r="S167" s="2"/>
      <c r="T167" s="7">
        <v>18000.653540785836</v>
      </c>
      <c r="U167" s="2"/>
      <c r="V167" s="6">
        <f t="shared" si="17"/>
        <v>1.0970425274639756E-2</v>
      </c>
      <c r="W167" s="2"/>
      <c r="X167" s="7">
        <f t="shared" si="18"/>
        <v>21810.146459214167</v>
      </c>
      <c r="Y167" s="2"/>
      <c r="Z167" s="6">
        <f t="shared" si="19"/>
        <v>1.2116308116145225</v>
      </c>
    </row>
    <row r="168" spans="1:26" s="24" customFormat="1" hidden="1" outlineLevel="2" x14ac:dyDescent="0.25">
      <c r="A168" s="29"/>
      <c r="B168" s="11" t="str">
        <f>CONCATENATE("          ", "6156", " - ", "EMPLOYEE MEALS")</f>
        <v xml:space="preserve">          6156 - EMPLOYEE MEALS</v>
      </c>
      <c r="C168" s="11"/>
      <c r="D168" s="7">
        <v>7748.67</v>
      </c>
      <c r="E168" s="2"/>
      <c r="F168" s="6">
        <f t="shared" si="12"/>
        <v>5.1420873867181237E-3</v>
      </c>
      <c r="G168" s="2"/>
      <c r="H168" s="7">
        <v>5050</v>
      </c>
      <c r="I168" s="2"/>
      <c r="J168" s="6">
        <f t="shared" si="13"/>
        <v>3.0777020129521475E-3</v>
      </c>
      <c r="K168" s="2"/>
      <c r="L168" s="7">
        <f t="shared" si="14"/>
        <v>2698.67</v>
      </c>
      <c r="M168" s="2"/>
      <c r="N168" s="6">
        <f t="shared" si="15"/>
        <v>0.53439009900990098</v>
      </c>
      <c r="O168" s="11"/>
      <c r="P168" s="7">
        <v>7748.67</v>
      </c>
      <c r="Q168" s="2"/>
      <c r="R168" s="6">
        <f t="shared" si="16"/>
        <v>5.1420873867181237E-3</v>
      </c>
      <c r="S168" s="2"/>
      <c r="T168" s="7">
        <v>5050</v>
      </c>
      <c r="U168" s="2"/>
      <c r="V168" s="6">
        <f t="shared" si="17"/>
        <v>3.0777020129521475E-3</v>
      </c>
      <c r="W168" s="2"/>
      <c r="X168" s="7">
        <f t="shared" si="18"/>
        <v>2698.67</v>
      </c>
      <c r="Y168" s="2"/>
      <c r="Z168" s="6">
        <f t="shared" si="19"/>
        <v>0.53439009900990098</v>
      </c>
    </row>
    <row r="169" spans="1:26" s="27" customFormat="1" outlineLevel="1" collapsed="1" x14ac:dyDescent="0.25">
      <c r="A169" s="28"/>
      <c r="B169" s="14" t="str">
        <f>CONCATENATE("     ","*Payroll                                          ")</f>
        <v xml:space="preserve">     *Payroll                                          </v>
      </c>
      <c r="C169" s="14"/>
      <c r="D169" s="1">
        <f>SUM(OSRRefD22_1x_0)</f>
        <v>599576.9</v>
      </c>
      <c r="E169" s="1"/>
      <c r="F169" s="5">
        <f t="shared" ref="F169:F179" si="20">IF(D$12=0,0,D169/D$12)</f>
        <v>0.3978846453465632</v>
      </c>
      <c r="G169" s="1"/>
      <c r="H169" s="1">
        <f>SUM(OSRRefH22_1x_0)</f>
        <v>634323.70906718075</v>
      </c>
      <c r="I169" s="1"/>
      <c r="J169" s="5">
        <f t="shared" ref="J169:J179" si="21">IF(H$12=0,0,H169/H$12)</f>
        <v>0.38658601114046226</v>
      </c>
      <c r="K169" s="1"/>
      <c r="L169" s="1">
        <f t="shared" ref="L169:L179" si="22">+D169-H169</f>
        <v>-34746.809067180729</v>
      </c>
      <c r="M169" s="1"/>
      <c r="N169" s="5">
        <f t="shared" ref="N169:N179" si="23">IF(H169=0,0,L169/H169)</f>
        <v>-5.4777724008264556E-2</v>
      </c>
      <c r="O169" s="14"/>
      <c r="P169" s="1">
        <f>SUM(OSRRefP22_1x_0)</f>
        <v>599576.9</v>
      </c>
      <c r="Q169" s="1"/>
      <c r="R169" s="5">
        <f t="shared" ref="R169:R179" si="24">IF(P$12=0,0,P169/P$12)</f>
        <v>0.3978846453465632</v>
      </c>
      <c r="S169" s="1"/>
      <c r="T169" s="1">
        <f>SUM(OSRRefT22_1x_0)</f>
        <v>634323.70906718075</v>
      </c>
      <c r="U169" s="1"/>
      <c r="V169" s="5">
        <f t="shared" ref="V169:V179" si="25">IF(T$12=0,0,T169/T$12)</f>
        <v>0.38658601114046226</v>
      </c>
      <c r="W169" s="1"/>
      <c r="X169" s="1">
        <f t="shared" ref="X169:X179" si="26">+P169-T169</f>
        <v>-34746.809067180729</v>
      </c>
      <c r="Y169" s="1"/>
      <c r="Z169" s="5">
        <f t="shared" ref="Z169:Z179" si="27">IF(T169=0,0,X169/T169)</f>
        <v>-5.4777724008264556E-2</v>
      </c>
    </row>
    <row r="170" spans="1:26" s="24" customFormat="1" hidden="1" outlineLevel="2" x14ac:dyDescent="0.25">
      <c r="A170" s="29"/>
      <c r="B170" s="11" t="str">
        <f>CONCATENATE("          ", "6001", " - ", "ADMINISTRATIVE SALARIES")</f>
        <v xml:space="preserve">          6001 - ADMINISTRATIVE SALARIES</v>
      </c>
      <c r="C170" s="11"/>
      <c r="D170" s="7">
        <v>41024.480000000003</v>
      </c>
      <c r="E170" s="2"/>
      <c r="F170" s="6">
        <f t="shared" si="20"/>
        <v>2.7224215401439208E-2</v>
      </c>
      <c r="G170" s="2"/>
      <c r="H170" s="7">
        <v>75834.619788846161</v>
      </c>
      <c r="I170" s="2"/>
      <c r="J170" s="6">
        <f t="shared" si="21"/>
        <v>4.6217101381305463E-2</v>
      </c>
      <c r="K170" s="2"/>
      <c r="L170" s="7">
        <f t="shared" si="22"/>
        <v>-34810.139788846158</v>
      </c>
      <c r="M170" s="2"/>
      <c r="N170" s="6">
        <f t="shared" si="23"/>
        <v>-0.45902702335386497</v>
      </c>
      <c r="O170" s="11"/>
      <c r="P170" s="7">
        <v>41024.480000000003</v>
      </c>
      <c r="Q170" s="2"/>
      <c r="R170" s="6">
        <f t="shared" si="24"/>
        <v>2.7224215401439208E-2</v>
      </c>
      <c r="S170" s="2"/>
      <c r="T170" s="7">
        <v>75834.619788846161</v>
      </c>
      <c r="U170" s="2"/>
      <c r="V170" s="6">
        <f t="shared" si="25"/>
        <v>4.6217101381305463E-2</v>
      </c>
      <c r="W170" s="2"/>
      <c r="X170" s="7">
        <f t="shared" si="26"/>
        <v>-34810.139788846158</v>
      </c>
      <c r="Y170" s="2"/>
      <c r="Z170" s="6">
        <f t="shared" si="27"/>
        <v>-0.45902702335386497</v>
      </c>
    </row>
    <row r="171" spans="1:26" s="24" customFormat="1" hidden="1" outlineLevel="2" x14ac:dyDescent="0.25">
      <c r="A171" s="29"/>
      <c r="B171" s="11" t="str">
        <f>CONCATENATE("          ", "6002", " - ", "STAFF SALARIES")</f>
        <v xml:space="preserve">          6002 - STAFF SALARIES</v>
      </c>
      <c r="C171" s="11"/>
      <c r="D171" s="7">
        <v>196528.5</v>
      </c>
      <c r="E171" s="2"/>
      <c r="F171" s="6">
        <f t="shared" si="20"/>
        <v>0.13041808735958982</v>
      </c>
      <c r="G171" s="2"/>
      <c r="H171" s="7">
        <v>167917.87953513453</v>
      </c>
      <c r="I171" s="2"/>
      <c r="J171" s="6">
        <f t="shared" si="21"/>
        <v>0.10233687046652272</v>
      </c>
      <c r="K171" s="2"/>
      <c r="L171" s="7">
        <f t="shared" si="22"/>
        <v>28610.620464865468</v>
      </c>
      <c r="M171" s="2"/>
      <c r="N171" s="6">
        <f t="shared" si="23"/>
        <v>0.17038459837672668</v>
      </c>
      <c r="O171" s="11"/>
      <c r="P171" s="7">
        <v>196528.5</v>
      </c>
      <c r="Q171" s="2"/>
      <c r="R171" s="6">
        <f t="shared" si="24"/>
        <v>0.13041808735958982</v>
      </c>
      <c r="S171" s="2"/>
      <c r="T171" s="7">
        <v>167917.87953513453</v>
      </c>
      <c r="U171" s="2"/>
      <c r="V171" s="6">
        <f t="shared" si="25"/>
        <v>0.10233687046652272</v>
      </c>
      <c r="W171" s="2"/>
      <c r="X171" s="7">
        <f t="shared" si="26"/>
        <v>28610.620464865468</v>
      </c>
      <c r="Y171" s="2"/>
      <c r="Z171" s="6">
        <f t="shared" si="27"/>
        <v>0.17038459837672668</v>
      </c>
    </row>
    <row r="172" spans="1:26" s="24" customFormat="1" hidden="1" outlineLevel="2" x14ac:dyDescent="0.25">
      <c r="A172" s="29"/>
      <c r="B172" s="11" t="str">
        <f>CONCATENATE("          ", "6003", " - ", "STAFF HOURLY-9 MONTH")</f>
        <v xml:space="preserve">          6003 - STAFF HOURLY-9 MONTH</v>
      </c>
      <c r="C172" s="11"/>
      <c r="D172" s="7"/>
      <c r="E172" s="2"/>
      <c r="F172" s="6">
        <f t="shared" si="20"/>
        <v>0</v>
      </c>
      <c r="G172" s="2"/>
      <c r="H172" s="7">
        <v>0</v>
      </c>
      <c r="I172" s="2"/>
      <c r="J172" s="6">
        <f t="shared" si="21"/>
        <v>0</v>
      </c>
      <c r="K172" s="2"/>
      <c r="L172" s="7">
        <f t="shared" si="22"/>
        <v>0</v>
      </c>
      <c r="M172" s="2"/>
      <c r="N172" s="6">
        <f t="shared" si="23"/>
        <v>0</v>
      </c>
      <c r="O172" s="11"/>
      <c r="P172" s="7"/>
      <c r="Q172" s="2"/>
      <c r="R172" s="6">
        <f t="shared" si="24"/>
        <v>0</v>
      </c>
      <c r="S172" s="2"/>
      <c r="T172" s="7">
        <v>0</v>
      </c>
      <c r="U172" s="2"/>
      <c r="V172" s="6">
        <f t="shared" si="25"/>
        <v>0</v>
      </c>
      <c r="W172" s="2"/>
      <c r="X172" s="7">
        <f t="shared" si="26"/>
        <v>0</v>
      </c>
      <c r="Y172" s="2"/>
      <c r="Z172" s="6">
        <f t="shared" si="27"/>
        <v>0</v>
      </c>
    </row>
    <row r="173" spans="1:26" s="24" customFormat="1" hidden="1" outlineLevel="2" x14ac:dyDescent="0.25">
      <c r="A173" s="29"/>
      <c r="B173" s="11" t="str">
        <f>CONCATENATE("          ", "6004", " - ", "STAFF HOURLY")</f>
        <v xml:space="preserve">          6004 - STAFF HOURLY</v>
      </c>
      <c r="C173" s="11"/>
      <c r="D173" s="7">
        <v>63088.429999999993</v>
      </c>
      <c r="E173" s="2"/>
      <c r="F173" s="6">
        <f t="shared" si="20"/>
        <v>4.1866051870946788E-2</v>
      </c>
      <c r="G173" s="2"/>
      <c r="H173" s="7">
        <v>160236.00597999999</v>
      </c>
      <c r="I173" s="2"/>
      <c r="J173" s="6">
        <f t="shared" si="21"/>
        <v>9.7655183792486791E-2</v>
      </c>
      <c r="K173" s="2"/>
      <c r="L173" s="7">
        <f t="shared" si="22"/>
        <v>-97147.575979999994</v>
      </c>
      <c r="M173" s="2"/>
      <c r="N173" s="6">
        <f t="shared" si="23"/>
        <v>-0.60627806706643428</v>
      </c>
      <c r="O173" s="11"/>
      <c r="P173" s="7">
        <v>63088.429999999993</v>
      </c>
      <c r="Q173" s="2"/>
      <c r="R173" s="6">
        <f t="shared" si="24"/>
        <v>4.1866051870946788E-2</v>
      </c>
      <c r="S173" s="2"/>
      <c r="T173" s="7">
        <v>160236.00597999999</v>
      </c>
      <c r="U173" s="2"/>
      <c r="V173" s="6">
        <f t="shared" si="25"/>
        <v>9.7655183792486791E-2</v>
      </c>
      <c r="W173" s="2"/>
      <c r="X173" s="7">
        <f t="shared" si="26"/>
        <v>-97147.575979999994</v>
      </c>
      <c r="Y173" s="2"/>
      <c r="Z173" s="6">
        <f t="shared" si="27"/>
        <v>-0.60627806706643428</v>
      </c>
    </row>
    <row r="174" spans="1:26" s="24" customFormat="1" hidden="1" outlineLevel="2" x14ac:dyDescent="0.25">
      <c r="A174" s="29"/>
      <c r="B174" s="11" t="str">
        <f>CONCATENATE("          ", "6005", " - ", "TEMPORARY WAGES-HOURLY")</f>
        <v xml:space="preserve">          6005 - TEMPORARY WAGES-HOURLY</v>
      </c>
      <c r="C174" s="11"/>
      <c r="D174" s="7">
        <v>90123.94</v>
      </c>
      <c r="E174" s="2"/>
      <c r="F174" s="6">
        <f t="shared" si="20"/>
        <v>5.9807060452353886E-2</v>
      </c>
      <c r="G174" s="2"/>
      <c r="H174" s="7">
        <v>38442.182399999998</v>
      </c>
      <c r="I174" s="2"/>
      <c r="J174" s="6">
        <f t="shared" si="21"/>
        <v>2.3428432109852199E-2</v>
      </c>
      <c r="K174" s="2"/>
      <c r="L174" s="7">
        <f t="shared" si="22"/>
        <v>51681.757600000004</v>
      </c>
      <c r="M174" s="2"/>
      <c r="N174" s="6">
        <f t="shared" si="23"/>
        <v>1.3444022782639939</v>
      </c>
      <c r="O174" s="11"/>
      <c r="P174" s="7">
        <v>90123.94</v>
      </c>
      <c r="Q174" s="2"/>
      <c r="R174" s="6">
        <f t="shared" si="24"/>
        <v>5.9807060452353886E-2</v>
      </c>
      <c r="S174" s="2"/>
      <c r="T174" s="7">
        <v>38442.182399999998</v>
      </c>
      <c r="U174" s="2"/>
      <c r="V174" s="6">
        <f t="shared" si="25"/>
        <v>2.3428432109852199E-2</v>
      </c>
      <c r="W174" s="2"/>
      <c r="X174" s="7">
        <f t="shared" si="26"/>
        <v>51681.757600000004</v>
      </c>
      <c r="Y174" s="2"/>
      <c r="Z174" s="6">
        <f t="shared" si="27"/>
        <v>1.3444022782639939</v>
      </c>
    </row>
    <row r="175" spans="1:26" s="24" customFormat="1" hidden="1" outlineLevel="2" x14ac:dyDescent="0.25">
      <c r="A175" s="29"/>
      <c r="B175" s="11" t="str">
        <f>CONCATENATE("          ", "6006", " - ", "TEMPORARY PART TIME")</f>
        <v xml:space="preserve">          6006 - TEMPORARY PART TIME</v>
      </c>
      <c r="C175" s="11"/>
      <c r="D175" s="7">
        <v>13941.84</v>
      </c>
      <c r="E175" s="2"/>
      <c r="F175" s="6">
        <f t="shared" si="20"/>
        <v>9.2519309264224962E-3</v>
      </c>
      <c r="G175" s="2"/>
      <c r="H175" s="7">
        <v>0</v>
      </c>
      <c r="I175" s="2"/>
      <c r="J175" s="6">
        <f t="shared" si="21"/>
        <v>0</v>
      </c>
      <c r="K175" s="2"/>
      <c r="L175" s="7">
        <f t="shared" si="22"/>
        <v>13941.84</v>
      </c>
      <c r="M175" s="2"/>
      <c r="N175" s="6">
        <f t="shared" si="23"/>
        <v>0</v>
      </c>
      <c r="O175" s="11"/>
      <c r="P175" s="7">
        <v>13941.84</v>
      </c>
      <c r="Q175" s="2"/>
      <c r="R175" s="6">
        <f t="shared" si="24"/>
        <v>9.2519309264224962E-3</v>
      </c>
      <c r="S175" s="2"/>
      <c r="T175" s="7">
        <v>0</v>
      </c>
      <c r="U175" s="2"/>
      <c r="V175" s="6">
        <f t="shared" si="25"/>
        <v>0</v>
      </c>
      <c r="W175" s="2"/>
      <c r="X175" s="7">
        <f t="shared" si="26"/>
        <v>13941.84</v>
      </c>
      <c r="Y175" s="2"/>
      <c r="Z175" s="6">
        <f t="shared" si="27"/>
        <v>0</v>
      </c>
    </row>
    <row r="176" spans="1:26" s="24" customFormat="1" hidden="1" outlineLevel="2" x14ac:dyDescent="0.25">
      <c r="A176" s="29"/>
      <c r="B176" s="11" t="str">
        <f>CONCATENATE("          ", "6007", " - ", "STUDENT HOURLY")</f>
        <v xml:space="preserve">          6007 - STUDENT HOURLY</v>
      </c>
      <c r="C176" s="11"/>
      <c r="D176" s="7">
        <v>182277.38</v>
      </c>
      <c r="E176" s="2"/>
      <c r="F176" s="6">
        <f t="shared" si="20"/>
        <v>0.12096091543220017</v>
      </c>
      <c r="G176" s="2"/>
      <c r="H176" s="7">
        <v>180621.02386319998</v>
      </c>
      <c r="I176" s="2"/>
      <c r="J176" s="6">
        <f t="shared" si="21"/>
        <v>0.11007875024262345</v>
      </c>
      <c r="K176" s="2"/>
      <c r="L176" s="7">
        <f t="shared" si="22"/>
        <v>1656.3561368000228</v>
      </c>
      <c r="M176" s="2"/>
      <c r="N176" s="6">
        <f t="shared" si="23"/>
        <v>9.170339650242075E-3</v>
      </c>
      <c r="O176" s="11"/>
      <c r="P176" s="7">
        <v>182277.38</v>
      </c>
      <c r="Q176" s="2"/>
      <c r="R176" s="6">
        <f t="shared" si="24"/>
        <v>0.12096091543220017</v>
      </c>
      <c r="S176" s="2"/>
      <c r="T176" s="7">
        <v>180621.02386319998</v>
      </c>
      <c r="U176" s="2"/>
      <c r="V176" s="6">
        <f t="shared" si="25"/>
        <v>0.11007875024262345</v>
      </c>
      <c r="W176" s="2"/>
      <c r="X176" s="7">
        <f t="shared" si="26"/>
        <v>1656.3561368000228</v>
      </c>
      <c r="Y176" s="2"/>
      <c r="Z176" s="6">
        <f t="shared" si="27"/>
        <v>9.170339650242075E-3</v>
      </c>
    </row>
    <row r="177" spans="1:26" s="24" customFormat="1" hidden="1" outlineLevel="2" x14ac:dyDescent="0.25">
      <c r="A177" s="29"/>
      <c r="B177" s="11" t="str">
        <f>CONCATENATE("          ", "6008", " - ", "STUDENT HOURLY-FICA EXEMPT")</f>
        <v xml:space="preserve">          6008 - STUDENT HOURLY-FICA EXEMPT</v>
      </c>
      <c r="C177" s="11"/>
      <c r="D177" s="7">
        <v>12592.33</v>
      </c>
      <c r="E177" s="2"/>
      <c r="F177" s="6">
        <f t="shared" si="20"/>
        <v>8.3563839036108426E-3</v>
      </c>
      <c r="G177" s="2"/>
      <c r="H177" s="7">
        <v>11271.997500000001</v>
      </c>
      <c r="I177" s="2"/>
      <c r="J177" s="6">
        <f t="shared" si="21"/>
        <v>6.8696731476715995E-3</v>
      </c>
      <c r="K177" s="2"/>
      <c r="L177" s="7">
        <f t="shared" si="22"/>
        <v>1320.3324999999986</v>
      </c>
      <c r="M177" s="2"/>
      <c r="N177" s="6">
        <f t="shared" si="23"/>
        <v>0.11713385316134062</v>
      </c>
      <c r="O177" s="11"/>
      <c r="P177" s="7">
        <v>12592.33</v>
      </c>
      <c r="Q177" s="2"/>
      <c r="R177" s="6">
        <f t="shared" si="24"/>
        <v>8.3563839036108426E-3</v>
      </c>
      <c r="S177" s="2"/>
      <c r="T177" s="7">
        <v>11271.997500000001</v>
      </c>
      <c r="U177" s="2"/>
      <c r="V177" s="6">
        <f t="shared" si="25"/>
        <v>6.8696731476715995E-3</v>
      </c>
      <c r="W177" s="2"/>
      <c r="X177" s="7">
        <f t="shared" si="26"/>
        <v>1320.3324999999986</v>
      </c>
      <c r="Y177" s="2"/>
      <c r="Z177" s="6">
        <f t="shared" si="27"/>
        <v>0.11713385316134062</v>
      </c>
    </row>
    <row r="178" spans="1:26" s="24" customFormat="1" hidden="1" outlineLevel="2" x14ac:dyDescent="0.25">
      <c r="A178" s="29"/>
      <c r="B178" s="11" t="str">
        <f>CONCATENATE("          ", "6009", " - ", "TEMPORARY-SEASONAL")</f>
        <v xml:space="preserve">          6009 - TEMPORARY-SEASONAL</v>
      </c>
      <c r="C178" s="11"/>
      <c r="D178" s="7"/>
      <c r="E178" s="2"/>
      <c r="F178" s="6">
        <f t="shared" si="20"/>
        <v>0</v>
      </c>
      <c r="G178" s="2"/>
      <c r="H178" s="7">
        <v>0</v>
      </c>
      <c r="I178" s="2"/>
      <c r="J178" s="6">
        <f t="shared" si="21"/>
        <v>0</v>
      </c>
      <c r="K178" s="2"/>
      <c r="L178" s="7">
        <f t="shared" si="22"/>
        <v>0</v>
      </c>
      <c r="M178" s="2"/>
      <c r="N178" s="6">
        <f t="shared" si="23"/>
        <v>0</v>
      </c>
      <c r="O178" s="11"/>
      <c r="P178" s="7"/>
      <c r="Q178" s="2"/>
      <c r="R178" s="6">
        <f t="shared" si="24"/>
        <v>0</v>
      </c>
      <c r="S178" s="2"/>
      <c r="T178" s="7">
        <v>0</v>
      </c>
      <c r="U178" s="2"/>
      <c r="V178" s="6">
        <f t="shared" si="25"/>
        <v>0</v>
      </c>
      <c r="W178" s="2"/>
      <c r="X178" s="7">
        <f t="shared" si="26"/>
        <v>0</v>
      </c>
      <c r="Y178" s="2"/>
      <c r="Z178" s="6">
        <f t="shared" si="27"/>
        <v>0</v>
      </c>
    </row>
    <row r="179" spans="1:26" s="24" customFormat="1" hidden="1" outlineLevel="2" x14ac:dyDescent="0.25">
      <c r="A179" s="29"/>
      <c r="B179" s="11" t="str">
        <f>CONCATENATE("          ", "6010", " - ", "GRATUITY")</f>
        <v xml:space="preserve">          6010 - GRATUITY</v>
      </c>
      <c r="C179" s="11"/>
      <c r="D179" s="7"/>
      <c r="E179" s="2"/>
      <c r="F179" s="6">
        <f t="shared" si="20"/>
        <v>0</v>
      </c>
      <c r="G179" s="2"/>
      <c r="H179" s="7">
        <v>0</v>
      </c>
      <c r="I179" s="2"/>
      <c r="J179" s="6">
        <f t="shared" si="21"/>
        <v>0</v>
      </c>
      <c r="K179" s="2"/>
      <c r="L179" s="7">
        <f t="shared" si="22"/>
        <v>0</v>
      </c>
      <c r="M179" s="2"/>
      <c r="N179" s="6">
        <f t="shared" si="23"/>
        <v>0</v>
      </c>
      <c r="O179" s="11"/>
      <c r="P179" s="7"/>
      <c r="Q179" s="2"/>
      <c r="R179" s="6">
        <f t="shared" si="24"/>
        <v>0</v>
      </c>
      <c r="S179" s="2"/>
      <c r="T179" s="7">
        <v>0</v>
      </c>
      <c r="U179" s="2"/>
      <c r="V179" s="6">
        <f t="shared" si="25"/>
        <v>0</v>
      </c>
      <c r="W179" s="2"/>
      <c r="X179" s="7">
        <f t="shared" si="26"/>
        <v>0</v>
      </c>
      <c r="Y179" s="2"/>
      <c r="Z179" s="6">
        <f t="shared" si="27"/>
        <v>0</v>
      </c>
    </row>
    <row r="180" spans="1:26" s="27" customFormat="1" outlineLevel="1" collapsed="1" x14ac:dyDescent="0.25">
      <c r="A180" s="28"/>
      <c r="B180" s="14" t="str">
        <f>CONCATENATE("     ","Advertising/Promo                                 ")</f>
        <v xml:space="preserve">     Advertising/Promo                                 </v>
      </c>
      <c r="C180" s="14"/>
      <c r="D180" s="1">
        <f>SUM(OSRRefD22_2x_0)</f>
        <v>5207.8900000000003</v>
      </c>
      <c r="E180" s="1"/>
      <c r="F180" s="5">
        <f t="shared" ref="F180:F184" si="28">IF(D$12=0,0,D180/D$12)</f>
        <v>3.4560028340883601E-3</v>
      </c>
      <c r="G180" s="1"/>
      <c r="H180" s="1">
        <f>SUM(OSRRefH22_2x_0)</f>
        <v>10720</v>
      </c>
      <c r="I180" s="1"/>
      <c r="J180" s="5">
        <f t="shared" ref="J180:J184" si="29">IF(H$12=0,0,H180/H$12)</f>
        <v>6.5332605106627759E-3</v>
      </c>
      <c r="K180" s="1"/>
      <c r="L180" s="1">
        <f t="shared" ref="L180:L184" si="30">+D180-H180</f>
        <v>-5512.11</v>
      </c>
      <c r="M180" s="1"/>
      <c r="N180" s="5">
        <f t="shared" ref="N180:N184" si="31">IF(H180=0,0,L180/H180)</f>
        <v>-0.51418936567164175</v>
      </c>
      <c r="O180" s="14"/>
      <c r="P180" s="1">
        <f>SUM(OSRRefP22_2x_0)</f>
        <v>5207.8900000000003</v>
      </c>
      <c r="Q180" s="1"/>
      <c r="R180" s="5">
        <f t="shared" ref="R180:R184" si="32">IF(P$12=0,0,P180/P$12)</f>
        <v>3.4560028340883601E-3</v>
      </c>
      <c r="S180" s="1"/>
      <c r="T180" s="1">
        <f>SUM(OSRRefT22_2x_0)</f>
        <v>10720</v>
      </c>
      <c r="U180" s="1"/>
      <c r="V180" s="5">
        <f t="shared" ref="V180:V184" si="33">IF(T$12=0,0,T180/T$12)</f>
        <v>6.5332605106627759E-3</v>
      </c>
      <c r="W180" s="1"/>
      <c r="X180" s="1">
        <f t="shared" ref="X180:X184" si="34">+P180-T180</f>
        <v>-5512.11</v>
      </c>
      <c r="Y180" s="1"/>
      <c r="Z180" s="5">
        <f t="shared" ref="Z180:Z184" si="35">IF(T180=0,0,X180/T180)</f>
        <v>-0.51418936567164175</v>
      </c>
    </row>
    <row r="181" spans="1:26" s="24" customFormat="1" hidden="1" outlineLevel="2" x14ac:dyDescent="0.25">
      <c r="A181" s="29"/>
      <c r="B181" s="11" t="str">
        <f>CONCATENATE("          ", "6362", " - ", "ADVERTISING EXPENSE")</f>
        <v xml:space="preserve">          6362 - ADVERTISING EXPENSE</v>
      </c>
      <c r="C181" s="11"/>
      <c r="D181" s="7">
        <v>5207.8900000000003</v>
      </c>
      <c r="E181" s="2"/>
      <c r="F181" s="6">
        <f t="shared" si="28"/>
        <v>3.4560028340883601E-3</v>
      </c>
      <c r="G181" s="2"/>
      <c r="H181" s="7">
        <v>10720</v>
      </c>
      <c r="I181" s="2"/>
      <c r="J181" s="6">
        <f t="shared" si="29"/>
        <v>6.5332605106627759E-3</v>
      </c>
      <c r="K181" s="2"/>
      <c r="L181" s="7">
        <f t="shared" si="30"/>
        <v>-5512.11</v>
      </c>
      <c r="M181" s="2"/>
      <c r="N181" s="6">
        <f t="shared" si="31"/>
        <v>-0.51418936567164175</v>
      </c>
      <c r="O181" s="11"/>
      <c r="P181" s="7">
        <v>5207.8900000000003</v>
      </c>
      <c r="Q181" s="2"/>
      <c r="R181" s="6">
        <f t="shared" si="32"/>
        <v>3.4560028340883601E-3</v>
      </c>
      <c r="S181" s="2"/>
      <c r="T181" s="7">
        <v>10720</v>
      </c>
      <c r="U181" s="2"/>
      <c r="V181" s="6">
        <f t="shared" si="33"/>
        <v>6.5332605106627759E-3</v>
      </c>
      <c r="W181" s="2"/>
      <c r="X181" s="7">
        <f t="shared" si="34"/>
        <v>-5512.11</v>
      </c>
      <c r="Y181" s="2"/>
      <c r="Z181" s="6">
        <f t="shared" si="35"/>
        <v>-0.51418936567164175</v>
      </c>
    </row>
    <row r="182" spans="1:26" s="27" customFormat="1" outlineLevel="1" collapsed="1" x14ac:dyDescent="0.25">
      <c r="A182" s="28"/>
      <c r="B182" s="14" t="str">
        <f>CONCATENATE("     ","Bad Debts/Over/Short                              ")</f>
        <v xml:space="preserve">     Bad Debts/Over/Short                              </v>
      </c>
      <c r="C182" s="14"/>
      <c r="D182" s="1">
        <f>SUM(OSRRefD22_3x_0)</f>
        <v>-41.56</v>
      </c>
      <c r="E182" s="1"/>
      <c r="F182" s="5">
        <f t="shared" si="28"/>
        <v>-2.7579591309477011E-5</v>
      </c>
      <c r="G182" s="1"/>
      <c r="H182" s="1">
        <f>SUM(OSRRefH22_3x_0)</f>
        <v>297</v>
      </c>
      <c r="I182" s="1"/>
      <c r="J182" s="5">
        <f t="shared" si="29"/>
        <v>1.810054451181758E-4</v>
      </c>
      <c r="K182" s="1"/>
      <c r="L182" s="1">
        <f t="shared" si="30"/>
        <v>-338.56</v>
      </c>
      <c r="M182" s="1"/>
      <c r="N182" s="5">
        <f t="shared" si="31"/>
        <v>-1.13993265993266</v>
      </c>
      <c r="O182" s="14"/>
      <c r="P182" s="1">
        <f>SUM(OSRRefP22_3x_0)</f>
        <v>-41.56</v>
      </c>
      <c r="Q182" s="1"/>
      <c r="R182" s="5">
        <f t="shared" si="32"/>
        <v>-2.7579591309477011E-5</v>
      </c>
      <c r="S182" s="1"/>
      <c r="T182" s="1">
        <f>SUM(OSRRefT22_3x_0)</f>
        <v>297</v>
      </c>
      <c r="U182" s="1"/>
      <c r="V182" s="5">
        <f t="shared" si="33"/>
        <v>1.810054451181758E-4</v>
      </c>
      <c r="W182" s="1"/>
      <c r="X182" s="1">
        <f t="shared" si="34"/>
        <v>-338.56</v>
      </c>
      <c r="Y182" s="1"/>
      <c r="Z182" s="5">
        <f t="shared" si="35"/>
        <v>-1.13993265993266</v>
      </c>
    </row>
    <row r="183" spans="1:26" s="24" customFormat="1" hidden="1" outlineLevel="2" x14ac:dyDescent="0.25">
      <c r="A183" s="29"/>
      <c r="B183" s="11" t="str">
        <f>CONCATENATE("          ", "6272", " - ", "CASH (OVER/SHORT)")</f>
        <v xml:space="preserve">          6272 - CASH (OVER/SHORT)</v>
      </c>
      <c r="C183" s="11"/>
      <c r="D183" s="7">
        <v>-41.56</v>
      </c>
      <c r="E183" s="2"/>
      <c r="F183" s="6">
        <f t="shared" si="28"/>
        <v>-2.7579591309477011E-5</v>
      </c>
      <c r="G183" s="2"/>
      <c r="H183" s="7">
        <v>287</v>
      </c>
      <c r="I183" s="2"/>
      <c r="J183" s="6">
        <f t="shared" si="29"/>
        <v>1.7491098568658738E-4</v>
      </c>
      <c r="K183" s="2"/>
      <c r="L183" s="7">
        <f t="shared" si="30"/>
        <v>-328.56</v>
      </c>
      <c r="M183" s="2"/>
      <c r="N183" s="6">
        <f t="shared" si="31"/>
        <v>-1.1448083623693379</v>
      </c>
      <c r="O183" s="11"/>
      <c r="P183" s="7">
        <v>-41.56</v>
      </c>
      <c r="Q183" s="2"/>
      <c r="R183" s="6">
        <f t="shared" si="32"/>
        <v>-2.7579591309477011E-5</v>
      </c>
      <c r="S183" s="2"/>
      <c r="T183" s="7">
        <v>287</v>
      </c>
      <c r="U183" s="2"/>
      <c r="V183" s="6">
        <f t="shared" si="33"/>
        <v>1.7491098568658738E-4</v>
      </c>
      <c r="W183" s="2"/>
      <c r="X183" s="7">
        <f t="shared" si="34"/>
        <v>-328.56</v>
      </c>
      <c r="Y183" s="2"/>
      <c r="Z183" s="6">
        <f t="shared" si="35"/>
        <v>-1.1448083623693379</v>
      </c>
    </row>
    <row r="184" spans="1:26" s="24" customFormat="1" hidden="1" outlineLevel="2" x14ac:dyDescent="0.25">
      <c r="A184" s="29"/>
      <c r="B184" s="11" t="str">
        <f>CONCATENATE("          ", "6342", " - ", "BAD DEBT")</f>
        <v xml:space="preserve">          6342 - BAD DEBT</v>
      </c>
      <c r="C184" s="11"/>
      <c r="D184" s="7"/>
      <c r="E184" s="2"/>
      <c r="F184" s="6">
        <f t="shared" si="28"/>
        <v>0</v>
      </c>
      <c r="G184" s="2"/>
      <c r="H184" s="7">
        <v>10</v>
      </c>
      <c r="I184" s="2"/>
      <c r="J184" s="6">
        <f t="shared" si="29"/>
        <v>6.0944594315884107E-6</v>
      </c>
      <c r="K184" s="2"/>
      <c r="L184" s="7">
        <f t="shared" si="30"/>
        <v>-10</v>
      </c>
      <c r="M184" s="2"/>
      <c r="N184" s="6">
        <f t="shared" si="31"/>
        <v>-1</v>
      </c>
      <c r="O184" s="11"/>
      <c r="P184" s="7"/>
      <c r="Q184" s="2"/>
      <c r="R184" s="6">
        <f t="shared" si="32"/>
        <v>0</v>
      </c>
      <c r="S184" s="2"/>
      <c r="T184" s="7">
        <v>10</v>
      </c>
      <c r="U184" s="2"/>
      <c r="V184" s="6">
        <f t="shared" si="33"/>
        <v>6.0944594315884107E-6</v>
      </c>
      <c r="W184" s="2"/>
      <c r="X184" s="7">
        <f t="shared" si="34"/>
        <v>-10</v>
      </c>
      <c r="Y184" s="2"/>
      <c r="Z184" s="6">
        <f t="shared" si="35"/>
        <v>-1</v>
      </c>
    </row>
    <row r="185" spans="1:26" s="27" customFormat="1" outlineLevel="1" collapsed="1" x14ac:dyDescent="0.25">
      <c r="A185" s="28"/>
      <c r="B185" s="14" t="str">
        <f>CONCATENATE("     ","Bank/card Fees                                    ")</f>
        <v xml:space="preserve">     Bank/card Fees                                    </v>
      </c>
      <c r="C185" s="14"/>
      <c r="D185" s="1">
        <f>SUM(OSRRefD22_4x_0)</f>
        <v>12197.69</v>
      </c>
      <c r="E185" s="1"/>
      <c r="F185" s="5">
        <f t="shared" ref="F185:F191" si="36">IF(D$12=0,0,D185/D$12)</f>
        <v>8.0944972357963104E-3</v>
      </c>
      <c r="G185" s="1"/>
      <c r="H185" s="1">
        <f>SUM(OSRRefH22_4x_0)</f>
        <v>13251</v>
      </c>
      <c r="I185" s="1"/>
      <c r="J185" s="5">
        <f t="shared" ref="J185:J191" si="37">IF(H$12=0,0,H185/H$12)</f>
        <v>8.0757681927978026E-3</v>
      </c>
      <c r="K185" s="1"/>
      <c r="L185" s="1">
        <f t="shared" ref="L185:L191" si="38">+D185-H185</f>
        <v>-1053.3099999999995</v>
      </c>
      <c r="M185" s="1"/>
      <c r="N185" s="5">
        <f t="shared" ref="N185:N191" si="39">IF(H185=0,0,L185/H185)</f>
        <v>-7.9489095162629197E-2</v>
      </c>
      <c r="O185" s="14"/>
      <c r="P185" s="1">
        <f>SUM(OSRRefP22_4x_0)</f>
        <v>12197.69</v>
      </c>
      <c r="Q185" s="1"/>
      <c r="R185" s="5">
        <f t="shared" ref="R185:R191" si="40">IF(P$12=0,0,P185/P$12)</f>
        <v>8.0944972357963104E-3</v>
      </c>
      <c r="S185" s="1"/>
      <c r="T185" s="1">
        <f>SUM(OSRRefT22_4x_0)</f>
        <v>13251</v>
      </c>
      <c r="U185" s="1"/>
      <c r="V185" s="5">
        <f t="shared" ref="V185:V191" si="41">IF(T$12=0,0,T185/T$12)</f>
        <v>8.0757681927978026E-3</v>
      </c>
      <c r="W185" s="1"/>
      <c r="X185" s="1">
        <f t="shared" ref="X185:X191" si="42">+P185-T185</f>
        <v>-1053.3099999999995</v>
      </c>
      <c r="Y185" s="1"/>
      <c r="Z185" s="5">
        <f t="shared" ref="Z185:Z191" si="43">IF(T185=0,0,X185/T185)</f>
        <v>-7.9489095162629197E-2</v>
      </c>
    </row>
    <row r="186" spans="1:26" s="24" customFormat="1" hidden="1" outlineLevel="2" x14ac:dyDescent="0.25">
      <c r="A186" s="29"/>
      <c r="B186" s="11" t="str">
        <f>CONCATENATE("          ", "6381", " - ", "BANK/CREDIT CARD FEES")</f>
        <v xml:space="preserve">          6381 - BANK/CREDIT CARD FEES</v>
      </c>
      <c r="C186" s="11"/>
      <c r="D186" s="7">
        <v>12197.69</v>
      </c>
      <c r="E186" s="2"/>
      <c r="F186" s="6">
        <f t="shared" si="36"/>
        <v>8.0944972357963104E-3</v>
      </c>
      <c r="G186" s="2"/>
      <c r="H186" s="7">
        <v>13251</v>
      </c>
      <c r="I186" s="2"/>
      <c r="J186" s="6">
        <f t="shared" si="37"/>
        <v>8.0757681927978026E-3</v>
      </c>
      <c r="K186" s="2"/>
      <c r="L186" s="7">
        <f t="shared" si="38"/>
        <v>-1053.3099999999995</v>
      </c>
      <c r="M186" s="2"/>
      <c r="N186" s="6">
        <f t="shared" si="39"/>
        <v>-7.9489095162629197E-2</v>
      </c>
      <c r="O186" s="11"/>
      <c r="P186" s="7">
        <v>12197.69</v>
      </c>
      <c r="Q186" s="2"/>
      <c r="R186" s="6">
        <f t="shared" si="40"/>
        <v>8.0944972357963104E-3</v>
      </c>
      <c r="S186" s="2"/>
      <c r="T186" s="7">
        <v>13251</v>
      </c>
      <c r="U186" s="2"/>
      <c r="V186" s="6">
        <f t="shared" si="41"/>
        <v>8.0757681927978026E-3</v>
      </c>
      <c r="W186" s="2"/>
      <c r="X186" s="7">
        <f t="shared" si="42"/>
        <v>-1053.3099999999995</v>
      </c>
      <c r="Y186" s="2"/>
      <c r="Z186" s="6">
        <f t="shared" si="43"/>
        <v>-7.9489095162629197E-2</v>
      </c>
    </row>
    <row r="187" spans="1:26" s="27" customFormat="1" outlineLevel="1" collapsed="1" x14ac:dyDescent="0.25">
      <c r="A187" s="28"/>
      <c r="B187" s="14" t="str">
        <f>CONCATENATE("     ","Depreciation                                      ")</f>
        <v xml:space="preserve">     Depreciation                                      </v>
      </c>
      <c r="C187" s="14"/>
      <c r="D187" s="1">
        <f>SUM(OSRRefD22_5x_0)</f>
        <v>77862.400000000009</v>
      </c>
      <c r="E187" s="1"/>
      <c r="F187" s="5">
        <f t="shared" si="36"/>
        <v>5.1670191779957242E-2</v>
      </c>
      <c r="G187" s="1"/>
      <c r="H187" s="1">
        <f>SUM(OSRRefH22_5x_0)</f>
        <v>77645</v>
      </c>
      <c r="I187" s="1"/>
      <c r="J187" s="5">
        <f t="shared" si="37"/>
        <v>4.7320430256568215E-2</v>
      </c>
      <c r="K187" s="1"/>
      <c r="L187" s="1">
        <f t="shared" si="38"/>
        <v>217.40000000000873</v>
      </c>
      <c r="M187" s="1"/>
      <c r="N187" s="5">
        <f t="shared" si="39"/>
        <v>2.7999227252238873E-3</v>
      </c>
      <c r="O187" s="14"/>
      <c r="P187" s="1">
        <f>SUM(OSRRefP22_5x_0)</f>
        <v>77862.400000000009</v>
      </c>
      <c r="Q187" s="1"/>
      <c r="R187" s="5">
        <f t="shared" si="40"/>
        <v>5.1670191779957242E-2</v>
      </c>
      <c r="S187" s="1"/>
      <c r="T187" s="1">
        <f>SUM(OSRRefT22_5x_0)</f>
        <v>77645</v>
      </c>
      <c r="U187" s="1"/>
      <c r="V187" s="5">
        <f t="shared" si="41"/>
        <v>4.7320430256568215E-2</v>
      </c>
      <c r="W187" s="1"/>
      <c r="X187" s="1">
        <f t="shared" si="42"/>
        <v>217.40000000000873</v>
      </c>
      <c r="Y187" s="1"/>
      <c r="Z187" s="5">
        <f t="shared" si="43"/>
        <v>2.7999227252238873E-3</v>
      </c>
    </row>
    <row r="188" spans="1:26" s="24" customFormat="1" hidden="1" outlineLevel="2" x14ac:dyDescent="0.25">
      <c r="A188" s="29"/>
      <c r="B188" s="11" t="str">
        <f>CONCATENATE("          ", "6321", " - ", "BUILDING DEPRECIATION")</f>
        <v xml:space="preserve">          6321 - BUILDING DEPRECIATION</v>
      </c>
      <c r="C188" s="11"/>
      <c r="D188" s="7">
        <v>45519.990000000005</v>
      </c>
      <c r="E188" s="2"/>
      <c r="F188" s="6">
        <f t="shared" si="36"/>
        <v>3.0207476434347465E-2</v>
      </c>
      <c r="G188" s="2"/>
      <c r="H188" s="7">
        <v>44653</v>
      </c>
      <c r="I188" s="2"/>
      <c r="J188" s="6">
        <f t="shared" si="37"/>
        <v>2.721358969987173E-2</v>
      </c>
      <c r="K188" s="2"/>
      <c r="L188" s="7">
        <f t="shared" si="38"/>
        <v>866.99000000000524</v>
      </c>
      <c r="M188" s="2"/>
      <c r="N188" s="6">
        <f t="shared" si="39"/>
        <v>1.941616464739223E-2</v>
      </c>
      <c r="O188" s="11"/>
      <c r="P188" s="7">
        <v>45519.990000000005</v>
      </c>
      <c r="Q188" s="2"/>
      <c r="R188" s="6">
        <f t="shared" si="40"/>
        <v>3.0207476434347465E-2</v>
      </c>
      <c r="S188" s="2"/>
      <c r="T188" s="7">
        <v>44653</v>
      </c>
      <c r="U188" s="2"/>
      <c r="V188" s="6">
        <f t="shared" si="41"/>
        <v>2.721358969987173E-2</v>
      </c>
      <c r="W188" s="2"/>
      <c r="X188" s="7">
        <f t="shared" si="42"/>
        <v>866.99000000000524</v>
      </c>
      <c r="Y188" s="2"/>
      <c r="Z188" s="6">
        <f t="shared" si="43"/>
        <v>1.941616464739223E-2</v>
      </c>
    </row>
    <row r="189" spans="1:26" s="24" customFormat="1" hidden="1" outlineLevel="2" x14ac:dyDescent="0.25">
      <c r="A189" s="29"/>
      <c r="B189" s="11" t="str">
        <f>CONCATENATE("          ", "6322", " - ", "EQUIPMENT DEPRECIATION EXPENSE")</f>
        <v xml:space="preserve">          6322 - EQUIPMENT DEPRECIATION EXPENSE</v>
      </c>
      <c r="C189" s="11"/>
      <c r="D189" s="7">
        <v>31918.16</v>
      </c>
      <c r="E189" s="2"/>
      <c r="F189" s="6">
        <f t="shared" si="36"/>
        <v>2.1181179214400787E-2</v>
      </c>
      <c r="G189" s="2"/>
      <c r="H189" s="7">
        <v>31525</v>
      </c>
      <c r="I189" s="2"/>
      <c r="J189" s="6">
        <f t="shared" si="37"/>
        <v>1.9212783358082464E-2</v>
      </c>
      <c r="K189" s="2"/>
      <c r="L189" s="7">
        <f t="shared" si="38"/>
        <v>393.15999999999985</v>
      </c>
      <c r="M189" s="2"/>
      <c r="N189" s="6">
        <f t="shared" si="39"/>
        <v>1.2471371927042025E-2</v>
      </c>
      <c r="O189" s="11"/>
      <c r="P189" s="7">
        <v>31918.16</v>
      </c>
      <c r="Q189" s="2"/>
      <c r="R189" s="6">
        <f t="shared" si="40"/>
        <v>2.1181179214400787E-2</v>
      </c>
      <c r="S189" s="2"/>
      <c r="T189" s="7">
        <v>31525</v>
      </c>
      <c r="U189" s="2"/>
      <c r="V189" s="6">
        <f t="shared" si="41"/>
        <v>1.9212783358082464E-2</v>
      </c>
      <c r="W189" s="2"/>
      <c r="X189" s="7">
        <f t="shared" si="42"/>
        <v>393.15999999999985</v>
      </c>
      <c r="Y189" s="2"/>
      <c r="Z189" s="6">
        <f t="shared" si="43"/>
        <v>1.2471371927042025E-2</v>
      </c>
    </row>
    <row r="190" spans="1:26" s="24" customFormat="1" hidden="1" outlineLevel="2" x14ac:dyDescent="0.25">
      <c r="A190" s="29"/>
      <c r="B190" s="11" t="str">
        <f>CONCATENATE("          ", "6324", " - ", "FURNITURE + FIXT DEPRECIATION")</f>
        <v xml:space="preserve">          6324 - FURNITURE + FIXT DEPRECIATION</v>
      </c>
      <c r="C190" s="11"/>
      <c r="D190" s="7"/>
      <c r="E190" s="2"/>
      <c r="F190" s="6">
        <f t="shared" si="36"/>
        <v>0</v>
      </c>
      <c r="G190" s="2"/>
      <c r="H190" s="7">
        <v>1043</v>
      </c>
      <c r="I190" s="2"/>
      <c r="J190" s="6">
        <f t="shared" si="37"/>
        <v>6.3565211871467124E-4</v>
      </c>
      <c r="K190" s="2"/>
      <c r="L190" s="7">
        <f t="shared" si="38"/>
        <v>-1043</v>
      </c>
      <c r="M190" s="2"/>
      <c r="N190" s="6">
        <f t="shared" si="39"/>
        <v>-1</v>
      </c>
      <c r="O190" s="11"/>
      <c r="P190" s="7"/>
      <c r="Q190" s="2"/>
      <c r="R190" s="6">
        <f t="shared" si="40"/>
        <v>0</v>
      </c>
      <c r="S190" s="2"/>
      <c r="T190" s="7">
        <v>1043</v>
      </c>
      <c r="U190" s="2"/>
      <c r="V190" s="6">
        <f t="shared" si="41"/>
        <v>6.3565211871467124E-4</v>
      </c>
      <c r="W190" s="2"/>
      <c r="X190" s="7">
        <f t="shared" si="42"/>
        <v>-1043</v>
      </c>
      <c r="Y190" s="2"/>
      <c r="Z190" s="6">
        <f t="shared" si="43"/>
        <v>-1</v>
      </c>
    </row>
    <row r="191" spans="1:26" s="24" customFormat="1" hidden="1" outlineLevel="2" x14ac:dyDescent="0.25">
      <c r="A191" s="29"/>
      <c r="B191" s="11" t="str">
        <f>CONCATENATE("          ", "6326", " - ", "VEHICLES DEPRECIATION EXPENSE")</f>
        <v xml:space="preserve">          6326 - VEHICLES DEPRECIATION EXPENSE</v>
      </c>
      <c r="C191" s="11"/>
      <c r="D191" s="7">
        <v>424.25</v>
      </c>
      <c r="E191" s="2"/>
      <c r="F191" s="6">
        <f t="shared" si="36"/>
        <v>2.8153613120898994E-4</v>
      </c>
      <c r="G191" s="2"/>
      <c r="H191" s="7">
        <v>424</v>
      </c>
      <c r="I191" s="2"/>
      <c r="J191" s="6">
        <f t="shared" si="37"/>
        <v>2.584050798993486E-4</v>
      </c>
      <c r="K191" s="2"/>
      <c r="L191" s="7">
        <f t="shared" si="38"/>
        <v>0.25</v>
      </c>
      <c r="M191" s="2"/>
      <c r="N191" s="6">
        <f t="shared" si="39"/>
        <v>5.8962264150943394E-4</v>
      </c>
      <c r="O191" s="11"/>
      <c r="P191" s="7">
        <v>424.25</v>
      </c>
      <c r="Q191" s="2"/>
      <c r="R191" s="6">
        <f t="shared" si="40"/>
        <v>2.8153613120898994E-4</v>
      </c>
      <c r="S191" s="2"/>
      <c r="T191" s="7">
        <v>424</v>
      </c>
      <c r="U191" s="2"/>
      <c r="V191" s="6">
        <f t="shared" si="41"/>
        <v>2.584050798993486E-4</v>
      </c>
      <c r="W191" s="2"/>
      <c r="X191" s="7">
        <f t="shared" si="42"/>
        <v>0.25</v>
      </c>
      <c r="Y191" s="2"/>
      <c r="Z191" s="6">
        <f t="shared" si="43"/>
        <v>5.8962264150943394E-4</v>
      </c>
    </row>
    <row r="192" spans="1:26" s="27" customFormat="1" outlineLevel="1" collapsed="1" x14ac:dyDescent="0.25">
      <c r="A192" s="28"/>
      <c r="B192" s="14" t="str">
        <f>CONCATENATE("     ","Discounts and Markdowns                           ")</f>
        <v xml:space="preserve">     Discounts and Markdowns                           </v>
      </c>
      <c r="C192" s="14"/>
      <c r="D192" s="1">
        <f>SUM(OSRRefD22_6x_0)</f>
        <v>37407.770000000004</v>
      </c>
      <c r="E192" s="1"/>
      <c r="F192" s="5">
        <f t="shared" ref="F192:F194" si="44">IF(D$12=0,0,D192/D$12)</f>
        <v>2.4824133984574469E-2</v>
      </c>
      <c r="G192" s="1"/>
      <c r="H192" s="1">
        <f>SUM(OSRRefH22_6x_0)</f>
        <v>23225</v>
      </c>
      <c r="I192" s="1"/>
      <c r="J192" s="5">
        <f t="shared" ref="J192:J194" si="45">IF(H$12=0,0,H192/H$12)</f>
        <v>1.4154382029864084E-2</v>
      </c>
      <c r="K192" s="1"/>
      <c r="L192" s="1">
        <f t="shared" ref="L192:L194" si="46">+D192-H192</f>
        <v>14182.770000000004</v>
      </c>
      <c r="M192" s="1"/>
      <c r="N192" s="5">
        <f t="shared" ref="N192:N194" si="47">IF(H192=0,0,L192/H192)</f>
        <v>0.6106682454251886</v>
      </c>
      <c r="O192" s="14"/>
      <c r="P192" s="1">
        <f>SUM(OSRRefP22_6x_0)</f>
        <v>37407.770000000004</v>
      </c>
      <c r="Q192" s="1"/>
      <c r="R192" s="5">
        <f t="shared" ref="R192:R194" si="48">IF(P$12=0,0,P192/P$12)</f>
        <v>2.4824133984574469E-2</v>
      </c>
      <c r="S192" s="1"/>
      <c r="T192" s="1">
        <f>SUM(OSRRefT22_6x_0)</f>
        <v>23225</v>
      </c>
      <c r="U192" s="1"/>
      <c r="V192" s="5">
        <f t="shared" ref="V192:V194" si="49">IF(T$12=0,0,T192/T$12)</f>
        <v>1.4154382029864084E-2</v>
      </c>
      <c r="W192" s="1"/>
      <c r="X192" s="1">
        <f t="shared" ref="X192:X194" si="50">+P192-T192</f>
        <v>14182.770000000004</v>
      </c>
      <c r="Y192" s="1"/>
      <c r="Z192" s="5">
        <f t="shared" ref="Z192:Z194" si="51">IF(T192=0,0,X192/T192)</f>
        <v>0.6106682454251886</v>
      </c>
    </row>
    <row r="193" spans="1:26" s="24" customFormat="1" hidden="1" outlineLevel="2" x14ac:dyDescent="0.25">
      <c r="A193" s="29"/>
      <c r="B193" s="11" t="str">
        <f>CONCATENATE("          ", "6382", " - ", "DISCOUNTS/MARK DOWNS")</f>
        <v xml:space="preserve">          6382 - DISCOUNTS/MARK DOWNS</v>
      </c>
      <c r="C193" s="11"/>
      <c r="D193" s="7">
        <v>37851.480000000003</v>
      </c>
      <c r="E193" s="2"/>
      <c r="F193" s="6">
        <f t="shared" si="44"/>
        <v>2.5118583947517877E-2</v>
      </c>
      <c r="G193" s="2"/>
      <c r="H193" s="7">
        <v>23225</v>
      </c>
      <c r="I193" s="2"/>
      <c r="J193" s="6">
        <f t="shared" si="45"/>
        <v>1.4154382029864084E-2</v>
      </c>
      <c r="K193" s="2"/>
      <c r="L193" s="7">
        <f t="shared" si="46"/>
        <v>14626.480000000003</v>
      </c>
      <c r="M193" s="2"/>
      <c r="N193" s="6">
        <f t="shared" si="47"/>
        <v>0.62977308934338017</v>
      </c>
      <c r="O193" s="11"/>
      <c r="P193" s="7">
        <v>37851.480000000003</v>
      </c>
      <c r="Q193" s="2"/>
      <c r="R193" s="6">
        <f t="shared" si="48"/>
        <v>2.5118583947517877E-2</v>
      </c>
      <c r="S193" s="2"/>
      <c r="T193" s="7">
        <v>23225</v>
      </c>
      <c r="U193" s="2"/>
      <c r="V193" s="6">
        <f t="shared" si="49"/>
        <v>1.4154382029864084E-2</v>
      </c>
      <c r="W193" s="2"/>
      <c r="X193" s="7">
        <f t="shared" si="50"/>
        <v>14626.480000000003</v>
      </c>
      <c r="Y193" s="2"/>
      <c r="Z193" s="6">
        <f t="shared" si="51"/>
        <v>0.62977308934338017</v>
      </c>
    </row>
    <row r="194" spans="1:26" s="24" customFormat="1" hidden="1" outlineLevel="2" x14ac:dyDescent="0.25">
      <c r="A194" s="29"/>
      <c r="B194" s="11" t="str">
        <f>CONCATENATE("          ", "9175", " - ", "EARNED DISCOUNTS")</f>
        <v xml:space="preserve">          9175 - EARNED DISCOUNTS</v>
      </c>
      <c r="C194" s="11"/>
      <c r="D194" s="7">
        <v>-443.71</v>
      </c>
      <c r="E194" s="2"/>
      <c r="F194" s="6">
        <f t="shared" si="44"/>
        <v>-2.9444996294340818E-4</v>
      </c>
      <c r="G194" s="2"/>
      <c r="H194" s="7"/>
      <c r="I194" s="2"/>
      <c r="J194" s="6">
        <f t="shared" si="45"/>
        <v>0</v>
      </c>
      <c r="K194" s="2"/>
      <c r="L194" s="7">
        <f t="shared" si="46"/>
        <v>-443.71</v>
      </c>
      <c r="M194" s="2"/>
      <c r="N194" s="6">
        <f t="shared" si="47"/>
        <v>0</v>
      </c>
      <c r="O194" s="11"/>
      <c r="P194" s="7">
        <v>-443.71</v>
      </c>
      <c r="Q194" s="2"/>
      <c r="R194" s="6">
        <f t="shared" si="48"/>
        <v>-2.9444996294340818E-4</v>
      </c>
      <c r="S194" s="2"/>
      <c r="T194" s="7"/>
      <c r="U194" s="2"/>
      <c r="V194" s="6">
        <f t="shared" si="49"/>
        <v>0</v>
      </c>
      <c r="W194" s="2"/>
      <c r="X194" s="7">
        <f t="shared" si="50"/>
        <v>-443.71</v>
      </c>
      <c r="Y194" s="2"/>
      <c r="Z194" s="6">
        <f t="shared" si="51"/>
        <v>0</v>
      </c>
    </row>
    <row r="195" spans="1:26" s="27" customFormat="1" outlineLevel="1" collapsed="1" x14ac:dyDescent="0.25">
      <c r="A195" s="28"/>
      <c r="B195" s="14" t="str">
        <f>CONCATENATE("     ","Donations                                         ")</f>
        <v xml:space="preserve">     Donations                                         </v>
      </c>
      <c r="C195" s="14"/>
      <c r="D195" s="1">
        <f>SUM(OSRRefD22_7x_0)</f>
        <v>925.42</v>
      </c>
      <c r="E195" s="1"/>
      <c r="F195" s="5">
        <f t="shared" ref="F195:F198" si="52">IF(D$12=0,0,D195/D$12)</f>
        <v>6.1411706904755084E-4</v>
      </c>
      <c r="G195" s="1"/>
      <c r="H195" s="1">
        <f>SUM(OSRRefH22_7x_0)</f>
        <v>1200</v>
      </c>
      <c r="I195" s="1"/>
      <c r="J195" s="5">
        <f t="shared" ref="J195:J198" si="53">IF(H$12=0,0,H195/H$12)</f>
        <v>7.313351317906093E-4</v>
      </c>
      <c r="K195" s="1"/>
      <c r="L195" s="1">
        <f t="shared" ref="L195:L198" si="54">+D195-H195</f>
        <v>-274.58000000000004</v>
      </c>
      <c r="M195" s="1"/>
      <c r="N195" s="5">
        <f t="shared" ref="N195:N198" si="55">IF(H195=0,0,L195/H195)</f>
        <v>-0.2288166666666667</v>
      </c>
      <c r="O195" s="14"/>
      <c r="P195" s="1">
        <f>SUM(OSRRefP22_7x_0)</f>
        <v>925.42</v>
      </c>
      <c r="Q195" s="1"/>
      <c r="R195" s="5">
        <f t="shared" ref="R195:R198" si="56">IF(P$12=0,0,P195/P$12)</f>
        <v>6.1411706904755084E-4</v>
      </c>
      <c r="S195" s="1"/>
      <c r="T195" s="1">
        <f>SUM(OSRRefT22_7x_0)</f>
        <v>1200</v>
      </c>
      <c r="U195" s="1"/>
      <c r="V195" s="5">
        <f t="shared" ref="V195:V198" si="57">IF(T$12=0,0,T195/T$12)</f>
        <v>7.313351317906093E-4</v>
      </c>
      <c r="W195" s="1"/>
      <c r="X195" s="1">
        <f t="shared" ref="X195:X198" si="58">+P195-T195</f>
        <v>-274.58000000000004</v>
      </c>
      <c r="Y195" s="1"/>
      <c r="Z195" s="5">
        <f t="shared" ref="Z195:Z198" si="59">IF(T195=0,0,X195/T195)</f>
        <v>-0.2288166666666667</v>
      </c>
    </row>
    <row r="196" spans="1:26" s="24" customFormat="1" hidden="1" outlineLevel="2" x14ac:dyDescent="0.25">
      <c r="A196" s="29"/>
      <c r="B196" s="11" t="str">
        <f>CONCATENATE("          ", "6395", " - ", "DONATION-OFF CAMPUS")</f>
        <v xml:space="preserve">          6395 - DONATION-OFF CAMPUS</v>
      </c>
      <c r="C196" s="11"/>
      <c r="D196" s="7"/>
      <c r="E196" s="2"/>
      <c r="F196" s="6">
        <f t="shared" si="52"/>
        <v>0</v>
      </c>
      <c r="G196" s="2"/>
      <c r="H196" s="7">
        <v>1100</v>
      </c>
      <c r="I196" s="2"/>
      <c r="J196" s="6">
        <f t="shared" si="53"/>
        <v>6.7039053747472519E-4</v>
      </c>
      <c r="K196" s="2"/>
      <c r="L196" s="7">
        <f t="shared" si="54"/>
        <v>-1100</v>
      </c>
      <c r="M196" s="2"/>
      <c r="N196" s="6">
        <f t="shared" si="55"/>
        <v>-1</v>
      </c>
      <c r="O196" s="11"/>
      <c r="P196" s="7"/>
      <c r="Q196" s="2"/>
      <c r="R196" s="6">
        <f t="shared" si="56"/>
        <v>0</v>
      </c>
      <c r="S196" s="2"/>
      <c r="T196" s="7">
        <v>1100</v>
      </c>
      <c r="U196" s="2"/>
      <c r="V196" s="6">
        <f t="shared" si="57"/>
        <v>6.7039053747472519E-4</v>
      </c>
      <c r="W196" s="2"/>
      <c r="X196" s="7">
        <f t="shared" si="58"/>
        <v>-1100</v>
      </c>
      <c r="Y196" s="2"/>
      <c r="Z196" s="6">
        <f t="shared" si="59"/>
        <v>-1</v>
      </c>
    </row>
    <row r="197" spans="1:26" s="24" customFormat="1" hidden="1" outlineLevel="2" x14ac:dyDescent="0.25">
      <c r="A197" s="29"/>
      <c r="B197" s="11" t="str">
        <f>CONCATENATE("          ", "6396", " - ", "COUPONS-CHARTROOM")</f>
        <v xml:space="preserve">          6396 - COUPONS-CHARTROOM</v>
      </c>
      <c r="C197" s="11"/>
      <c r="D197" s="7"/>
      <c r="E197" s="2"/>
      <c r="F197" s="6">
        <f t="shared" si="52"/>
        <v>0</v>
      </c>
      <c r="G197" s="2"/>
      <c r="H197" s="7">
        <v>100</v>
      </c>
      <c r="I197" s="2"/>
      <c r="J197" s="6">
        <f t="shared" si="53"/>
        <v>6.0944594315884108E-5</v>
      </c>
      <c r="K197" s="2"/>
      <c r="L197" s="7">
        <f t="shared" si="54"/>
        <v>-100</v>
      </c>
      <c r="M197" s="2"/>
      <c r="N197" s="6">
        <f t="shared" si="55"/>
        <v>-1</v>
      </c>
      <c r="O197" s="11"/>
      <c r="P197" s="7"/>
      <c r="Q197" s="2"/>
      <c r="R197" s="6">
        <f t="shared" si="56"/>
        <v>0</v>
      </c>
      <c r="S197" s="2"/>
      <c r="T197" s="7">
        <v>100</v>
      </c>
      <c r="U197" s="2"/>
      <c r="V197" s="6">
        <f t="shared" si="57"/>
        <v>6.0944594315884108E-5</v>
      </c>
      <c r="W197" s="2"/>
      <c r="X197" s="7">
        <f t="shared" si="58"/>
        <v>-100</v>
      </c>
      <c r="Y197" s="2"/>
      <c r="Z197" s="6">
        <f t="shared" si="59"/>
        <v>-1</v>
      </c>
    </row>
    <row r="198" spans="1:26" s="24" customFormat="1" hidden="1" outlineLevel="2" x14ac:dyDescent="0.25">
      <c r="A198" s="29"/>
      <c r="B198" s="11" t="str">
        <f>CONCATENATE("          ", "6399", " - ", "DONATION-ON CAMPUS")</f>
        <v xml:space="preserve">          6399 - DONATION-ON CAMPUS</v>
      </c>
      <c r="C198" s="11"/>
      <c r="D198" s="7">
        <v>925.42</v>
      </c>
      <c r="E198" s="2"/>
      <c r="F198" s="6">
        <f t="shared" si="52"/>
        <v>6.1411706904755084E-4</v>
      </c>
      <c r="G198" s="2"/>
      <c r="H198" s="7"/>
      <c r="I198" s="2"/>
      <c r="J198" s="6">
        <f t="shared" si="53"/>
        <v>0</v>
      </c>
      <c r="K198" s="2"/>
      <c r="L198" s="7">
        <f t="shared" si="54"/>
        <v>925.42</v>
      </c>
      <c r="M198" s="2"/>
      <c r="N198" s="6">
        <f t="shared" si="55"/>
        <v>0</v>
      </c>
      <c r="O198" s="11"/>
      <c r="P198" s="7">
        <v>925.42</v>
      </c>
      <c r="Q198" s="2"/>
      <c r="R198" s="6">
        <f t="shared" si="56"/>
        <v>6.1411706904755084E-4</v>
      </c>
      <c r="S198" s="2"/>
      <c r="T198" s="7"/>
      <c r="U198" s="2"/>
      <c r="V198" s="6">
        <f t="shared" si="57"/>
        <v>0</v>
      </c>
      <c r="W198" s="2"/>
      <c r="X198" s="7">
        <f t="shared" si="58"/>
        <v>925.42</v>
      </c>
      <c r="Y198" s="2"/>
      <c r="Z198" s="6">
        <f t="shared" si="59"/>
        <v>0</v>
      </c>
    </row>
    <row r="199" spans="1:26" s="27" customFormat="1" outlineLevel="1" collapsed="1" x14ac:dyDescent="0.25">
      <c r="A199" s="28"/>
      <c r="B199" s="14" t="str">
        <f>CONCATENATE("     ","Employees' Appreciation                           ")</f>
        <v xml:space="preserve">     Employees' Appreciation                           </v>
      </c>
      <c r="C199" s="14"/>
      <c r="D199" s="1">
        <f>SUM(OSRRefD22_8x_0)</f>
        <v>503.3</v>
      </c>
      <c r="E199" s="1"/>
      <c r="F199" s="5">
        <f t="shared" ref="F199:F205" si="60">IF(D$12=0,0,D199/D$12)</f>
        <v>3.3399442507362317E-4</v>
      </c>
      <c r="G199" s="1"/>
      <c r="H199" s="1">
        <f>SUM(OSRRefH22_8x_0)</f>
        <v>1825</v>
      </c>
      <c r="I199" s="1"/>
      <c r="J199" s="5">
        <f t="shared" ref="J199:J205" si="61">IF(H$12=0,0,H199/H$12)</f>
        <v>1.112238846264885E-3</v>
      </c>
      <c r="K199" s="1"/>
      <c r="L199" s="1">
        <f t="shared" ref="L199:L205" si="62">+D199-H199</f>
        <v>-1321.7</v>
      </c>
      <c r="M199" s="1"/>
      <c r="N199" s="5">
        <f t="shared" ref="N199:N205" si="63">IF(H199=0,0,L199/H199)</f>
        <v>-0.72421917808219183</v>
      </c>
      <c r="O199" s="14"/>
      <c r="P199" s="1">
        <f>SUM(OSRRefP22_8x_0)</f>
        <v>503.3</v>
      </c>
      <c r="Q199" s="1"/>
      <c r="R199" s="5">
        <f t="shared" ref="R199:R205" si="64">IF(P$12=0,0,P199/P$12)</f>
        <v>3.3399442507362317E-4</v>
      </c>
      <c r="S199" s="1"/>
      <c r="T199" s="1">
        <f>SUM(OSRRefT22_8x_0)</f>
        <v>1825</v>
      </c>
      <c r="U199" s="1"/>
      <c r="V199" s="5">
        <f t="shared" ref="V199:V205" si="65">IF(T$12=0,0,T199/T$12)</f>
        <v>1.112238846264885E-3</v>
      </c>
      <c r="W199" s="1"/>
      <c r="X199" s="1">
        <f t="shared" ref="X199:X205" si="66">+P199-T199</f>
        <v>-1321.7</v>
      </c>
      <c r="Y199" s="1"/>
      <c r="Z199" s="5">
        <f t="shared" ref="Z199:Z205" si="67">IF(T199=0,0,X199/T199)</f>
        <v>-0.72421917808219183</v>
      </c>
    </row>
    <row r="200" spans="1:26" s="24" customFormat="1" hidden="1" outlineLevel="2" x14ac:dyDescent="0.25">
      <c r="A200" s="29"/>
      <c r="B200" s="11" t="str">
        <f>CONCATENATE("          ", "6277", " - ", "EMPLOYEE APPRECIATION")</f>
        <v xml:space="preserve">          6277 - EMPLOYEE APPRECIATION</v>
      </c>
      <c r="C200" s="11"/>
      <c r="D200" s="7">
        <v>503.3</v>
      </c>
      <c r="E200" s="2"/>
      <c r="F200" s="6">
        <f t="shared" si="60"/>
        <v>3.3399442507362317E-4</v>
      </c>
      <c r="G200" s="2"/>
      <c r="H200" s="7">
        <v>1825</v>
      </c>
      <c r="I200" s="2"/>
      <c r="J200" s="6">
        <f t="shared" si="61"/>
        <v>1.112238846264885E-3</v>
      </c>
      <c r="K200" s="2"/>
      <c r="L200" s="7">
        <f t="shared" si="62"/>
        <v>-1321.7</v>
      </c>
      <c r="M200" s="2"/>
      <c r="N200" s="6">
        <f t="shared" si="63"/>
        <v>-0.72421917808219183</v>
      </c>
      <c r="O200" s="11"/>
      <c r="P200" s="7">
        <v>503.3</v>
      </c>
      <c r="Q200" s="2"/>
      <c r="R200" s="6">
        <f t="shared" si="64"/>
        <v>3.3399442507362317E-4</v>
      </c>
      <c r="S200" s="2"/>
      <c r="T200" s="7">
        <v>1825</v>
      </c>
      <c r="U200" s="2"/>
      <c r="V200" s="6">
        <f t="shared" si="65"/>
        <v>1.112238846264885E-3</v>
      </c>
      <c r="W200" s="2"/>
      <c r="X200" s="7">
        <f t="shared" si="66"/>
        <v>-1321.7</v>
      </c>
      <c r="Y200" s="2"/>
      <c r="Z200" s="6">
        <f t="shared" si="67"/>
        <v>-0.72421917808219183</v>
      </c>
    </row>
    <row r="201" spans="1:26" s="27" customFormat="1" outlineLevel="1" collapsed="1" x14ac:dyDescent="0.25">
      <c r="A201" s="28"/>
      <c r="B201" s="14" t="str">
        <f>CONCATENATE("     ","Equipment Rental                                  ")</f>
        <v xml:space="preserve">     Equipment Rental                                  </v>
      </c>
      <c r="C201" s="14"/>
      <c r="D201" s="1">
        <f>SUM(OSRRefD22_9x_0)</f>
        <v>3233.01</v>
      </c>
      <c r="E201" s="1"/>
      <c r="F201" s="5">
        <f t="shared" si="60"/>
        <v>2.1454546318443761E-3</v>
      </c>
      <c r="G201" s="1"/>
      <c r="H201" s="1">
        <f>SUM(OSRRefH22_9x_0)</f>
        <v>5765</v>
      </c>
      <c r="I201" s="1"/>
      <c r="J201" s="5">
        <f t="shared" si="61"/>
        <v>3.5134558623107189E-3</v>
      </c>
      <c r="K201" s="1"/>
      <c r="L201" s="1">
        <f t="shared" si="62"/>
        <v>-2531.9899999999998</v>
      </c>
      <c r="M201" s="1"/>
      <c r="N201" s="5">
        <f t="shared" si="63"/>
        <v>-0.4392003469210754</v>
      </c>
      <c r="O201" s="14"/>
      <c r="P201" s="1">
        <f>SUM(OSRRefP22_9x_0)</f>
        <v>3233.01</v>
      </c>
      <c r="Q201" s="1"/>
      <c r="R201" s="5">
        <f t="shared" si="64"/>
        <v>2.1454546318443761E-3</v>
      </c>
      <c r="S201" s="1"/>
      <c r="T201" s="1">
        <f>SUM(OSRRefT22_9x_0)</f>
        <v>5765</v>
      </c>
      <c r="U201" s="1"/>
      <c r="V201" s="5">
        <f t="shared" si="65"/>
        <v>3.5134558623107189E-3</v>
      </c>
      <c r="W201" s="1"/>
      <c r="X201" s="1">
        <f t="shared" si="66"/>
        <v>-2531.9899999999998</v>
      </c>
      <c r="Y201" s="1"/>
      <c r="Z201" s="5">
        <f t="shared" si="67"/>
        <v>-0.4392003469210754</v>
      </c>
    </row>
    <row r="202" spans="1:26" s="24" customFormat="1" hidden="1" outlineLevel="2" x14ac:dyDescent="0.25">
      <c r="A202" s="29"/>
      <c r="B202" s="11" t="str">
        <f>CONCATENATE("          ", "6351", " - ", "EQUIPMENT RENTAL")</f>
        <v xml:space="preserve">          6351 - EQUIPMENT RENTAL</v>
      </c>
      <c r="C202" s="11"/>
      <c r="D202" s="7">
        <v>3233.01</v>
      </c>
      <c r="E202" s="2"/>
      <c r="F202" s="6">
        <f t="shared" si="60"/>
        <v>2.1454546318443761E-3</v>
      </c>
      <c r="G202" s="2"/>
      <c r="H202" s="7">
        <v>5765</v>
      </c>
      <c r="I202" s="2"/>
      <c r="J202" s="6">
        <f t="shared" si="61"/>
        <v>3.5134558623107189E-3</v>
      </c>
      <c r="K202" s="2"/>
      <c r="L202" s="7">
        <f t="shared" si="62"/>
        <v>-2531.9899999999998</v>
      </c>
      <c r="M202" s="2"/>
      <c r="N202" s="6">
        <f t="shared" si="63"/>
        <v>-0.4392003469210754</v>
      </c>
      <c r="O202" s="11"/>
      <c r="P202" s="7">
        <v>3233.01</v>
      </c>
      <c r="Q202" s="2"/>
      <c r="R202" s="6">
        <f t="shared" si="64"/>
        <v>2.1454546318443761E-3</v>
      </c>
      <c r="S202" s="2"/>
      <c r="T202" s="7">
        <v>5765</v>
      </c>
      <c r="U202" s="2"/>
      <c r="V202" s="6">
        <f t="shared" si="65"/>
        <v>3.5134558623107189E-3</v>
      </c>
      <c r="W202" s="2"/>
      <c r="X202" s="7">
        <f t="shared" si="66"/>
        <v>-2531.9899999999998</v>
      </c>
      <c r="Y202" s="2"/>
      <c r="Z202" s="6">
        <f t="shared" si="67"/>
        <v>-0.4392003469210754</v>
      </c>
    </row>
    <row r="203" spans="1:26" s="27" customFormat="1" outlineLevel="1" collapsed="1" x14ac:dyDescent="0.25">
      <c r="A203" s="28"/>
      <c r="B203" s="14" t="str">
        <f>CONCATENATE("     ","Freight out/Postage                               ")</f>
        <v xml:space="preserve">     Freight out/Postage                               </v>
      </c>
      <c r="C203" s="14"/>
      <c r="D203" s="1">
        <f>SUM(OSRRefD22_10x_0)</f>
        <v>-2160.1400000000003</v>
      </c>
      <c r="E203" s="1"/>
      <c r="F203" s="5">
        <f t="shared" si="60"/>
        <v>-1.43348841124287E-3</v>
      </c>
      <c r="G203" s="1"/>
      <c r="H203" s="1">
        <f>SUM(OSRRefH22_10x_0)</f>
        <v>-674</v>
      </c>
      <c r="I203" s="1"/>
      <c r="J203" s="5">
        <f t="shared" si="61"/>
        <v>-4.1076656568905887E-4</v>
      </c>
      <c r="K203" s="1"/>
      <c r="L203" s="1">
        <f t="shared" si="62"/>
        <v>-1486.1400000000003</v>
      </c>
      <c r="M203" s="1"/>
      <c r="N203" s="5">
        <f t="shared" si="63"/>
        <v>2.2049554896142438</v>
      </c>
      <c r="O203" s="14"/>
      <c r="P203" s="1">
        <f>SUM(OSRRefP22_10x_0)</f>
        <v>-2160.1400000000003</v>
      </c>
      <c r="Q203" s="1"/>
      <c r="R203" s="5">
        <f t="shared" si="64"/>
        <v>-1.43348841124287E-3</v>
      </c>
      <c r="S203" s="1"/>
      <c r="T203" s="1">
        <f>SUM(OSRRefT22_10x_0)</f>
        <v>-674</v>
      </c>
      <c r="U203" s="1"/>
      <c r="V203" s="5">
        <f t="shared" si="65"/>
        <v>-4.1076656568905887E-4</v>
      </c>
      <c r="W203" s="1"/>
      <c r="X203" s="1">
        <f t="shared" si="66"/>
        <v>-1486.1400000000003</v>
      </c>
      <c r="Y203" s="1"/>
      <c r="Z203" s="5">
        <f t="shared" si="67"/>
        <v>2.2049554896142438</v>
      </c>
    </row>
    <row r="204" spans="1:26" s="24" customFormat="1" hidden="1" outlineLevel="2" x14ac:dyDescent="0.25">
      <c r="A204" s="29"/>
      <c r="B204" s="11" t="str">
        <f>CONCATENATE("          ", "6305", " - ", "FREIGHT OUT")</f>
        <v xml:space="preserve">          6305 - FREIGHT OUT</v>
      </c>
      <c r="C204" s="11"/>
      <c r="D204" s="7">
        <v>1489.41</v>
      </c>
      <c r="E204" s="2"/>
      <c r="F204" s="6">
        <f t="shared" si="60"/>
        <v>9.8838592618498942E-4</v>
      </c>
      <c r="G204" s="2"/>
      <c r="H204" s="7">
        <v>-725</v>
      </c>
      <c r="I204" s="2"/>
      <c r="J204" s="6">
        <f t="shared" si="61"/>
        <v>-4.4184830879015979E-4</v>
      </c>
      <c r="K204" s="2"/>
      <c r="L204" s="7">
        <f t="shared" si="62"/>
        <v>2214.41</v>
      </c>
      <c r="M204" s="2"/>
      <c r="N204" s="6">
        <f t="shared" si="63"/>
        <v>-3.0543586206896549</v>
      </c>
      <c r="O204" s="11"/>
      <c r="P204" s="7">
        <v>1489.41</v>
      </c>
      <c r="Q204" s="2"/>
      <c r="R204" s="6">
        <f t="shared" si="64"/>
        <v>9.8838592618498942E-4</v>
      </c>
      <c r="S204" s="2"/>
      <c r="T204" s="7">
        <v>-725</v>
      </c>
      <c r="U204" s="2"/>
      <c r="V204" s="6">
        <f t="shared" si="65"/>
        <v>-4.4184830879015979E-4</v>
      </c>
      <c r="W204" s="2"/>
      <c r="X204" s="7">
        <f t="shared" si="66"/>
        <v>2214.41</v>
      </c>
      <c r="Y204" s="2"/>
      <c r="Z204" s="6">
        <f t="shared" si="67"/>
        <v>-3.0543586206896549</v>
      </c>
    </row>
    <row r="205" spans="1:26" s="24" customFormat="1" hidden="1" outlineLevel="2" x14ac:dyDescent="0.25">
      <c r="A205" s="29"/>
      <c r="B205" s="11" t="str">
        <f>CONCATENATE("          ", "6307", " - ", "POSTAGE")</f>
        <v xml:space="preserve">          6307 - POSTAGE</v>
      </c>
      <c r="C205" s="11"/>
      <c r="D205" s="7">
        <v>-3649.55</v>
      </c>
      <c r="E205" s="2"/>
      <c r="F205" s="6">
        <f t="shared" si="60"/>
        <v>-2.4218743374278592E-3</v>
      </c>
      <c r="G205" s="2"/>
      <c r="H205" s="7">
        <v>51</v>
      </c>
      <c r="I205" s="2"/>
      <c r="J205" s="6">
        <f t="shared" si="61"/>
        <v>3.1081743101100892E-5</v>
      </c>
      <c r="K205" s="2"/>
      <c r="L205" s="7">
        <f t="shared" si="62"/>
        <v>-3700.55</v>
      </c>
      <c r="M205" s="2"/>
      <c r="N205" s="6">
        <f t="shared" si="63"/>
        <v>-72.55980392156863</v>
      </c>
      <c r="O205" s="11"/>
      <c r="P205" s="7">
        <v>-3649.55</v>
      </c>
      <c r="Q205" s="2"/>
      <c r="R205" s="6">
        <f t="shared" si="64"/>
        <v>-2.4218743374278592E-3</v>
      </c>
      <c r="S205" s="2"/>
      <c r="T205" s="7">
        <v>51</v>
      </c>
      <c r="U205" s="2"/>
      <c r="V205" s="6">
        <f t="shared" si="65"/>
        <v>3.1081743101100892E-5</v>
      </c>
      <c r="W205" s="2"/>
      <c r="X205" s="7">
        <f t="shared" si="66"/>
        <v>-3700.55</v>
      </c>
      <c r="Y205" s="2"/>
      <c r="Z205" s="6">
        <f t="shared" si="67"/>
        <v>-72.55980392156863</v>
      </c>
    </row>
    <row r="206" spans="1:26" s="27" customFormat="1" outlineLevel="1" collapsed="1" x14ac:dyDescent="0.25">
      <c r="A206" s="28"/>
      <c r="B206" s="14" t="str">
        <f>CONCATENATE("     ","General                                           ")</f>
        <v xml:space="preserve">     General                                           </v>
      </c>
      <c r="C206" s="14"/>
      <c r="D206" s="1">
        <f>SUM(OSRRefD22_11x_0)</f>
        <v>28443.89</v>
      </c>
      <c r="E206" s="1"/>
      <c r="F206" s="5">
        <f t="shared" ref="F206:F208" si="68">IF(D$12=0,0,D206/D$12)</f>
        <v>1.8875622267846968E-2</v>
      </c>
      <c r="G206" s="1"/>
      <c r="H206" s="1">
        <f>SUM(OSRRefH22_11x_0)</f>
        <v>15570</v>
      </c>
      <c r="I206" s="1"/>
      <c r="J206" s="5">
        <f t="shared" ref="J206:J208" si="69">IF(H$12=0,0,H206/H$12)</f>
        <v>9.4890733349831547E-3</v>
      </c>
      <c r="K206" s="1"/>
      <c r="L206" s="1">
        <f t="shared" ref="L206:L208" si="70">+D206-H206</f>
        <v>12873.89</v>
      </c>
      <c r="M206" s="1"/>
      <c r="N206" s="5">
        <f t="shared" ref="N206:N208" si="71">IF(H206=0,0,L206/H206)</f>
        <v>0.82683943481053301</v>
      </c>
      <c r="O206" s="14"/>
      <c r="P206" s="1">
        <f>SUM(OSRRefP22_11x_0)</f>
        <v>28443.89</v>
      </c>
      <c r="Q206" s="1"/>
      <c r="R206" s="5">
        <f t="shared" ref="R206:R208" si="72">IF(P$12=0,0,P206/P$12)</f>
        <v>1.8875622267846968E-2</v>
      </c>
      <c r="S206" s="1"/>
      <c r="T206" s="1">
        <f>SUM(OSRRefT22_11x_0)</f>
        <v>15570</v>
      </c>
      <c r="U206" s="1"/>
      <c r="V206" s="5">
        <f t="shared" ref="V206:V208" si="73">IF(T$12=0,0,T206/T$12)</f>
        <v>9.4890733349831547E-3</v>
      </c>
      <c r="W206" s="1"/>
      <c r="X206" s="1">
        <f t="shared" ref="X206:X208" si="74">+P206-T206</f>
        <v>12873.89</v>
      </c>
      <c r="Y206" s="1"/>
      <c r="Z206" s="5">
        <f t="shared" ref="Z206:Z208" si="75">IF(T206=0,0,X206/T206)</f>
        <v>0.82683943481053301</v>
      </c>
    </row>
    <row r="207" spans="1:26" s="24" customFormat="1" hidden="1" outlineLevel="2" x14ac:dyDescent="0.25">
      <c r="A207" s="29"/>
      <c r="B207" s="11" t="str">
        <f>CONCATENATE("          ", "6269", " - ", "ENTERTAINMENT")</f>
        <v xml:space="preserve">          6269 - ENTERTAINMENT</v>
      </c>
      <c r="C207" s="11"/>
      <c r="D207" s="7"/>
      <c r="E207" s="2"/>
      <c r="F207" s="6">
        <f t="shared" si="68"/>
        <v>0</v>
      </c>
      <c r="G207" s="2"/>
      <c r="H207" s="7">
        <v>1150</v>
      </c>
      <c r="I207" s="2"/>
      <c r="J207" s="6">
        <f t="shared" si="69"/>
        <v>7.0086283463266725E-4</v>
      </c>
      <c r="K207" s="2"/>
      <c r="L207" s="7">
        <f t="shared" si="70"/>
        <v>-1150</v>
      </c>
      <c r="M207" s="2"/>
      <c r="N207" s="6">
        <f t="shared" si="71"/>
        <v>-1</v>
      </c>
      <c r="O207" s="11"/>
      <c r="P207" s="7"/>
      <c r="Q207" s="2"/>
      <c r="R207" s="6">
        <f t="shared" si="72"/>
        <v>0</v>
      </c>
      <c r="S207" s="2"/>
      <c r="T207" s="7">
        <v>1150</v>
      </c>
      <c r="U207" s="2"/>
      <c r="V207" s="6">
        <f t="shared" si="73"/>
        <v>7.0086283463266725E-4</v>
      </c>
      <c r="W207" s="2"/>
      <c r="X207" s="7">
        <f t="shared" si="74"/>
        <v>-1150</v>
      </c>
      <c r="Y207" s="2"/>
      <c r="Z207" s="6">
        <f t="shared" si="75"/>
        <v>-1</v>
      </c>
    </row>
    <row r="208" spans="1:26" s="24" customFormat="1" hidden="1" outlineLevel="2" x14ac:dyDescent="0.25">
      <c r="A208" s="29"/>
      <c r="B208" s="11" t="str">
        <f>CONCATENATE("          ", "6279", " - ", "GENERAL EXPENSE")</f>
        <v xml:space="preserve">          6279 - GENERAL EXPENSE</v>
      </c>
      <c r="C208" s="11"/>
      <c r="D208" s="7">
        <v>28443.89</v>
      </c>
      <c r="E208" s="2"/>
      <c r="F208" s="6">
        <f t="shared" si="68"/>
        <v>1.8875622267846968E-2</v>
      </c>
      <c r="G208" s="2"/>
      <c r="H208" s="7">
        <v>14420</v>
      </c>
      <c r="I208" s="2"/>
      <c r="J208" s="6">
        <f t="shared" si="69"/>
        <v>8.7882105003504879E-3</v>
      </c>
      <c r="K208" s="2"/>
      <c r="L208" s="7">
        <f t="shared" si="70"/>
        <v>14023.89</v>
      </c>
      <c r="M208" s="2"/>
      <c r="N208" s="6">
        <f t="shared" si="71"/>
        <v>0.97253051317614425</v>
      </c>
      <c r="O208" s="11"/>
      <c r="P208" s="7">
        <v>28443.89</v>
      </c>
      <c r="Q208" s="2"/>
      <c r="R208" s="6">
        <f t="shared" si="72"/>
        <v>1.8875622267846968E-2</v>
      </c>
      <c r="S208" s="2"/>
      <c r="T208" s="7">
        <v>14420</v>
      </c>
      <c r="U208" s="2"/>
      <c r="V208" s="6">
        <f t="shared" si="73"/>
        <v>8.7882105003504879E-3</v>
      </c>
      <c r="W208" s="2"/>
      <c r="X208" s="7">
        <f t="shared" si="74"/>
        <v>14023.89</v>
      </c>
      <c r="Y208" s="2"/>
      <c r="Z208" s="6">
        <f t="shared" si="75"/>
        <v>0.97253051317614425</v>
      </c>
    </row>
    <row r="209" spans="1:26" s="27" customFormat="1" outlineLevel="1" collapsed="1" x14ac:dyDescent="0.25">
      <c r="A209" s="28"/>
      <c r="B209" s="14" t="str">
        <f>CONCATENATE("     ","Insurance                                         ")</f>
        <v xml:space="preserve">     Insurance                                         </v>
      </c>
      <c r="C209" s="14"/>
      <c r="D209" s="1">
        <f>SUM(OSRRefD22_12x_0)</f>
        <v>8563.32</v>
      </c>
      <c r="E209" s="1"/>
      <c r="F209" s="5">
        <f t="shared" ref="F209:F225" si="76">IF(D$12=0,0,D209/D$12)</f>
        <v>5.6826964834521335E-3</v>
      </c>
      <c r="G209" s="1"/>
      <c r="H209" s="1">
        <f>SUM(OSRRefH22_12x_0)</f>
        <v>8081</v>
      </c>
      <c r="I209" s="1"/>
      <c r="J209" s="5">
        <f t="shared" ref="J209:J225" si="77">IF(H$12=0,0,H209/H$12)</f>
        <v>4.9249326666665942E-3</v>
      </c>
      <c r="K209" s="1"/>
      <c r="L209" s="1">
        <f t="shared" ref="L209:L225" si="78">+D209-H209</f>
        <v>482.31999999999971</v>
      </c>
      <c r="M209" s="1"/>
      <c r="N209" s="5">
        <f t="shared" ref="N209:N225" si="79">IF(H209=0,0,L209/H209)</f>
        <v>5.9685682465041419E-2</v>
      </c>
      <c r="O209" s="14"/>
      <c r="P209" s="1">
        <f>SUM(OSRRefP22_12x_0)</f>
        <v>8563.32</v>
      </c>
      <c r="Q209" s="1"/>
      <c r="R209" s="5">
        <f t="shared" ref="R209:R225" si="80">IF(P$12=0,0,P209/P$12)</f>
        <v>5.6826964834521335E-3</v>
      </c>
      <c r="S209" s="1"/>
      <c r="T209" s="1">
        <f>SUM(OSRRefT22_12x_0)</f>
        <v>8081</v>
      </c>
      <c r="U209" s="1"/>
      <c r="V209" s="5">
        <f t="shared" ref="V209:V225" si="81">IF(T$12=0,0,T209/T$12)</f>
        <v>4.9249326666665942E-3</v>
      </c>
      <c r="W209" s="1"/>
      <c r="X209" s="1">
        <f t="shared" ref="X209:X225" si="82">+P209-T209</f>
        <v>482.31999999999971</v>
      </c>
      <c r="Y209" s="1"/>
      <c r="Z209" s="5">
        <f t="shared" ref="Z209:Z225" si="83">IF(T209=0,0,X209/T209)</f>
        <v>5.9685682465041419E-2</v>
      </c>
    </row>
    <row r="210" spans="1:26" s="24" customFormat="1" hidden="1" outlineLevel="2" x14ac:dyDescent="0.25">
      <c r="A210" s="29"/>
      <c r="B210" s="11" t="str">
        <f>CONCATENATE("          ", "6314", " - ", "LIABILITY INSURANCE")</f>
        <v xml:space="preserve">          6314 - LIABILITY INSURANCE</v>
      </c>
      <c r="C210" s="11"/>
      <c r="D210" s="7">
        <v>8563.32</v>
      </c>
      <c r="E210" s="2"/>
      <c r="F210" s="6">
        <f t="shared" si="76"/>
        <v>5.6826964834521335E-3</v>
      </c>
      <c r="G210" s="2"/>
      <c r="H210" s="7">
        <v>8081</v>
      </c>
      <c r="I210" s="2"/>
      <c r="J210" s="6">
        <f t="shared" si="77"/>
        <v>4.9249326666665942E-3</v>
      </c>
      <c r="K210" s="2"/>
      <c r="L210" s="7">
        <f t="shared" si="78"/>
        <v>482.31999999999971</v>
      </c>
      <c r="M210" s="2"/>
      <c r="N210" s="6">
        <f t="shared" si="79"/>
        <v>5.9685682465041419E-2</v>
      </c>
      <c r="O210" s="11"/>
      <c r="P210" s="7">
        <v>8563.32</v>
      </c>
      <c r="Q210" s="2"/>
      <c r="R210" s="6">
        <f t="shared" si="80"/>
        <v>5.6826964834521335E-3</v>
      </c>
      <c r="S210" s="2"/>
      <c r="T210" s="7">
        <v>8081</v>
      </c>
      <c r="U210" s="2"/>
      <c r="V210" s="6">
        <f t="shared" si="81"/>
        <v>4.9249326666665942E-3</v>
      </c>
      <c r="W210" s="2"/>
      <c r="X210" s="7">
        <f t="shared" si="82"/>
        <v>482.31999999999971</v>
      </c>
      <c r="Y210" s="2"/>
      <c r="Z210" s="6">
        <f t="shared" si="83"/>
        <v>5.9685682465041419E-2</v>
      </c>
    </row>
    <row r="211" spans="1:26" s="27" customFormat="1" outlineLevel="1" collapsed="1" x14ac:dyDescent="0.25">
      <c r="A211" s="28"/>
      <c r="B211" s="14" t="str">
        <f>CONCATENATE("     ","Interest                                          ")</f>
        <v xml:space="preserve">     Interest                                          </v>
      </c>
      <c r="C211" s="14"/>
      <c r="D211" s="1">
        <f>SUM(OSRRefD22_13x_0)</f>
        <v>11740</v>
      </c>
      <c r="E211" s="1"/>
      <c r="F211" s="5">
        <f t="shared" si="76"/>
        <v>7.7907700186058736E-3</v>
      </c>
      <c r="G211" s="1"/>
      <c r="H211" s="1">
        <f>SUM(OSRRefH22_13x_0)</f>
        <v>11929</v>
      </c>
      <c r="I211" s="1"/>
      <c r="J211" s="5">
        <f t="shared" si="77"/>
        <v>7.2700806559418147E-3</v>
      </c>
      <c r="K211" s="1"/>
      <c r="L211" s="1">
        <f t="shared" si="78"/>
        <v>-189</v>
      </c>
      <c r="M211" s="1"/>
      <c r="N211" s="5">
        <f t="shared" si="79"/>
        <v>-1.5843742141000924E-2</v>
      </c>
      <c r="O211" s="14"/>
      <c r="P211" s="1">
        <f>SUM(OSRRefP22_13x_0)</f>
        <v>11740</v>
      </c>
      <c r="Q211" s="1"/>
      <c r="R211" s="5">
        <f t="shared" si="80"/>
        <v>7.7907700186058736E-3</v>
      </c>
      <c r="S211" s="1"/>
      <c r="T211" s="1">
        <f>SUM(OSRRefT22_13x_0)</f>
        <v>11929</v>
      </c>
      <c r="U211" s="1"/>
      <c r="V211" s="5">
        <f t="shared" si="81"/>
        <v>7.2700806559418147E-3</v>
      </c>
      <c r="W211" s="1"/>
      <c r="X211" s="1">
        <f t="shared" si="82"/>
        <v>-189</v>
      </c>
      <c r="Y211" s="1"/>
      <c r="Z211" s="5">
        <f t="shared" si="83"/>
        <v>-1.5843742141000924E-2</v>
      </c>
    </row>
    <row r="212" spans="1:26" s="24" customFormat="1" hidden="1" outlineLevel="2" x14ac:dyDescent="0.25">
      <c r="A212" s="29"/>
      <c r="B212" s="11" t="str">
        <f>CONCATENATE("          ", "6401", " - ", "INTEREST EXPENSE")</f>
        <v xml:space="preserve">          6401 - INTEREST EXPENSE</v>
      </c>
      <c r="C212" s="11"/>
      <c r="D212" s="7">
        <v>11740</v>
      </c>
      <c r="E212" s="2"/>
      <c r="F212" s="6">
        <f t="shared" si="76"/>
        <v>7.7907700186058736E-3</v>
      </c>
      <c r="G212" s="2"/>
      <c r="H212" s="7">
        <v>11929</v>
      </c>
      <c r="I212" s="2"/>
      <c r="J212" s="6">
        <f t="shared" si="77"/>
        <v>7.2700806559418147E-3</v>
      </c>
      <c r="K212" s="2"/>
      <c r="L212" s="7">
        <f t="shared" si="78"/>
        <v>-189</v>
      </c>
      <c r="M212" s="2"/>
      <c r="N212" s="6">
        <f t="shared" si="79"/>
        <v>-1.5843742141000924E-2</v>
      </c>
      <c r="O212" s="11"/>
      <c r="P212" s="7">
        <v>11740</v>
      </c>
      <c r="Q212" s="2"/>
      <c r="R212" s="6">
        <f t="shared" si="80"/>
        <v>7.7907700186058736E-3</v>
      </c>
      <c r="S212" s="2"/>
      <c r="T212" s="7">
        <v>11929</v>
      </c>
      <c r="U212" s="2"/>
      <c r="V212" s="6">
        <f t="shared" si="81"/>
        <v>7.2700806559418147E-3</v>
      </c>
      <c r="W212" s="2"/>
      <c r="X212" s="7">
        <f t="shared" si="82"/>
        <v>-189</v>
      </c>
      <c r="Y212" s="2"/>
      <c r="Z212" s="6">
        <f t="shared" si="83"/>
        <v>-1.5843742141000924E-2</v>
      </c>
    </row>
    <row r="213" spans="1:26" s="27" customFormat="1" outlineLevel="1" x14ac:dyDescent="0.25">
      <c r="A213" s="28"/>
      <c r="B213" s="14" t="str">
        <f>CONCATENATE("     ","Inventory Adjustment                              ")</f>
        <v xml:space="preserve">     Inventory Adjustment                              </v>
      </c>
      <c r="C213" s="14"/>
      <c r="D213" s="1">
        <f>SUM(OSRRefD22_14x_0)</f>
        <v>4150</v>
      </c>
      <c r="E213" s="1"/>
      <c r="F213" s="5">
        <f t="shared" si="76"/>
        <v>2.7539774767644273E-3</v>
      </c>
      <c r="G213" s="1"/>
      <c r="H213" s="1">
        <f>SUM(OSRRefH22_14x_0)</f>
        <v>4150</v>
      </c>
      <c r="I213" s="1"/>
      <c r="J213" s="5">
        <f t="shared" si="77"/>
        <v>2.5292006641091905E-3</v>
      </c>
      <c r="K213" s="1"/>
      <c r="L213" s="1">
        <f t="shared" si="78"/>
        <v>0</v>
      </c>
      <c r="M213" s="1"/>
      <c r="N213" s="5">
        <f t="shared" si="79"/>
        <v>0</v>
      </c>
      <c r="O213" s="14"/>
      <c r="P213" s="1">
        <f>SUM(OSRRefP22_14x_0)</f>
        <v>4150</v>
      </c>
      <c r="Q213" s="1"/>
      <c r="R213" s="5">
        <f t="shared" si="80"/>
        <v>2.7539774767644273E-3</v>
      </c>
      <c r="S213" s="1"/>
      <c r="T213" s="1">
        <f>SUM(OSRRefT22_14x_0)</f>
        <v>4150</v>
      </c>
      <c r="U213" s="1"/>
      <c r="V213" s="5">
        <f t="shared" si="81"/>
        <v>2.5292006641091905E-3</v>
      </c>
      <c r="W213" s="1"/>
      <c r="X213" s="1">
        <f t="shared" si="82"/>
        <v>0</v>
      </c>
      <c r="Y213" s="1"/>
      <c r="Z213" s="5">
        <f t="shared" si="83"/>
        <v>0</v>
      </c>
    </row>
    <row r="214" spans="1:26" s="24" customFormat="1" outlineLevel="2" x14ac:dyDescent="0.25">
      <c r="A214" s="29"/>
      <c r="B214" s="11" t="str">
        <f>CONCATENATE("          ", "6408", " - ", "INVENTORY ADJUSTMENT")</f>
        <v xml:space="preserve">          6408 - INVENTORY ADJUSTMENT</v>
      </c>
      <c r="C214" s="11"/>
      <c r="D214" s="7">
        <v>4150</v>
      </c>
      <c r="E214" s="2"/>
      <c r="F214" s="6">
        <f t="shared" si="76"/>
        <v>2.7539774767644273E-3</v>
      </c>
      <c r="G214" s="2"/>
      <c r="H214" s="7">
        <v>4150</v>
      </c>
      <c r="I214" s="2"/>
      <c r="J214" s="6">
        <f t="shared" si="77"/>
        <v>2.5292006641091905E-3</v>
      </c>
      <c r="K214" s="2"/>
      <c r="L214" s="7">
        <f t="shared" si="78"/>
        <v>0</v>
      </c>
      <c r="M214" s="2"/>
      <c r="N214" s="6">
        <f t="shared" si="79"/>
        <v>0</v>
      </c>
      <c r="O214" s="11"/>
      <c r="P214" s="7">
        <v>4150</v>
      </c>
      <c r="Q214" s="2"/>
      <c r="R214" s="6">
        <f t="shared" si="80"/>
        <v>2.7539774767644273E-3</v>
      </c>
      <c r="S214" s="2"/>
      <c r="T214" s="7">
        <v>4150</v>
      </c>
      <c r="U214" s="2"/>
      <c r="V214" s="6">
        <f t="shared" si="81"/>
        <v>2.5292006641091905E-3</v>
      </c>
      <c r="W214" s="2"/>
      <c r="X214" s="7">
        <f t="shared" si="82"/>
        <v>0</v>
      </c>
      <c r="Y214" s="2"/>
      <c r="Z214" s="6">
        <f t="shared" si="83"/>
        <v>0</v>
      </c>
    </row>
    <row r="215" spans="1:26" s="27" customFormat="1" outlineLevel="1" collapsed="1" x14ac:dyDescent="0.25">
      <c r="A215" s="28"/>
      <c r="B215" s="14" t="str">
        <f>CONCATENATE("     ","Professional Services                             ")</f>
        <v xml:space="preserve">     Professional Services                             </v>
      </c>
      <c r="C215" s="14"/>
      <c r="D215" s="1">
        <f>SUM(OSRRefD22_15x_0)</f>
        <v>6158.41</v>
      </c>
      <c r="E215" s="1"/>
      <c r="F215" s="5">
        <f t="shared" si="76"/>
        <v>4.0867764898026059E-3</v>
      </c>
      <c r="G215" s="1"/>
      <c r="H215" s="1">
        <f>SUM(OSRRefH22_15x_0)</f>
        <v>3815</v>
      </c>
      <c r="I215" s="1"/>
      <c r="J215" s="5">
        <f t="shared" si="77"/>
        <v>2.3250362731509788E-3</v>
      </c>
      <c r="K215" s="1"/>
      <c r="L215" s="1">
        <f t="shared" si="78"/>
        <v>2343.41</v>
      </c>
      <c r="M215" s="1"/>
      <c r="N215" s="5">
        <f t="shared" si="79"/>
        <v>0.61426212319790297</v>
      </c>
      <c r="O215" s="14"/>
      <c r="P215" s="1">
        <f>SUM(OSRRefP22_15x_0)</f>
        <v>6158.41</v>
      </c>
      <c r="Q215" s="1"/>
      <c r="R215" s="5">
        <f t="shared" si="80"/>
        <v>4.0867764898026059E-3</v>
      </c>
      <c r="S215" s="1"/>
      <c r="T215" s="1">
        <f>SUM(OSRRefT22_15x_0)</f>
        <v>3815</v>
      </c>
      <c r="U215" s="1"/>
      <c r="V215" s="5">
        <f t="shared" si="81"/>
        <v>2.3250362731509788E-3</v>
      </c>
      <c r="W215" s="1"/>
      <c r="X215" s="1">
        <f t="shared" si="82"/>
        <v>2343.41</v>
      </c>
      <c r="Y215" s="1"/>
      <c r="Z215" s="5">
        <f t="shared" si="83"/>
        <v>0.61426212319790297</v>
      </c>
    </row>
    <row r="216" spans="1:26" s="24" customFormat="1" hidden="1" outlineLevel="2" x14ac:dyDescent="0.25">
      <c r="A216" s="29"/>
      <c r="B216" s="11" t="str">
        <f>CONCATENATE("          ", "6336", " - ", "PROFESSIONAL SERVICES")</f>
        <v xml:space="preserve">          6336 - PROFESSIONAL SERVICES</v>
      </c>
      <c r="C216" s="11"/>
      <c r="D216" s="7">
        <v>6158.41</v>
      </c>
      <c r="E216" s="2"/>
      <c r="F216" s="6">
        <f t="shared" si="76"/>
        <v>4.0867764898026059E-3</v>
      </c>
      <c r="G216" s="2"/>
      <c r="H216" s="7">
        <v>3815</v>
      </c>
      <c r="I216" s="2"/>
      <c r="J216" s="6">
        <f t="shared" si="77"/>
        <v>2.3250362731509788E-3</v>
      </c>
      <c r="K216" s="2"/>
      <c r="L216" s="7">
        <f t="shared" si="78"/>
        <v>2343.41</v>
      </c>
      <c r="M216" s="2"/>
      <c r="N216" s="6">
        <f t="shared" si="79"/>
        <v>0.61426212319790297</v>
      </c>
      <c r="O216" s="11"/>
      <c r="P216" s="7">
        <v>6158.41</v>
      </c>
      <c r="Q216" s="2"/>
      <c r="R216" s="6">
        <f t="shared" si="80"/>
        <v>4.0867764898026059E-3</v>
      </c>
      <c r="S216" s="2"/>
      <c r="T216" s="7">
        <v>3815</v>
      </c>
      <c r="U216" s="2"/>
      <c r="V216" s="6">
        <f t="shared" si="81"/>
        <v>2.3250362731509788E-3</v>
      </c>
      <c r="W216" s="2"/>
      <c r="X216" s="7">
        <f t="shared" si="82"/>
        <v>2343.41</v>
      </c>
      <c r="Y216" s="2"/>
      <c r="Z216" s="6">
        <f t="shared" si="83"/>
        <v>0.61426212319790297</v>
      </c>
    </row>
    <row r="217" spans="1:26" s="27" customFormat="1" outlineLevel="1" collapsed="1" x14ac:dyDescent="0.25">
      <c r="A217" s="28"/>
      <c r="B217" s="14" t="str">
        <f>CONCATENATE("     ","R/H Commissions                                   ")</f>
        <v xml:space="preserve">     R/H Commissions                                   </v>
      </c>
      <c r="C217" s="14"/>
      <c r="D217" s="1">
        <f>SUM(OSRRefD22_16x_0)</f>
        <v>39712.65</v>
      </c>
      <c r="E217" s="1"/>
      <c r="F217" s="5">
        <f t="shared" si="76"/>
        <v>2.6353673166898513E-2</v>
      </c>
      <c r="G217" s="1"/>
      <c r="H217" s="1">
        <f>SUM(OSRRefH22_16x_0)</f>
        <v>39824</v>
      </c>
      <c r="I217" s="1"/>
      <c r="J217" s="5">
        <f t="shared" si="77"/>
        <v>2.4270575240357688E-2</v>
      </c>
      <c r="K217" s="1"/>
      <c r="L217" s="1">
        <f t="shared" si="78"/>
        <v>-111.34999999999854</v>
      </c>
      <c r="M217" s="1"/>
      <c r="N217" s="5">
        <f t="shared" si="79"/>
        <v>-2.796052631578911E-3</v>
      </c>
      <c r="O217" s="14"/>
      <c r="P217" s="1">
        <f>SUM(OSRRefP22_16x_0)</f>
        <v>39712.65</v>
      </c>
      <c r="Q217" s="1"/>
      <c r="R217" s="5">
        <f t="shared" si="80"/>
        <v>2.6353673166898513E-2</v>
      </c>
      <c r="S217" s="1"/>
      <c r="T217" s="1">
        <f>SUM(OSRRefT22_16x_0)</f>
        <v>39824</v>
      </c>
      <c r="U217" s="1"/>
      <c r="V217" s="5">
        <f t="shared" si="81"/>
        <v>2.4270575240357688E-2</v>
      </c>
      <c r="W217" s="1"/>
      <c r="X217" s="1">
        <f t="shared" si="82"/>
        <v>-111.34999999999854</v>
      </c>
      <c r="Y217" s="1"/>
      <c r="Z217" s="5">
        <f t="shared" si="83"/>
        <v>-2.796052631578911E-3</v>
      </c>
    </row>
    <row r="218" spans="1:26" s="24" customFormat="1" hidden="1" outlineLevel="2" x14ac:dyDescent="0.25">
      <c r="A218" s="29"/>
      <c r="B218" s="11" t="str">
        <f>CONCATENATE("          ", "6387", " - ", "COMMISSION DUE HOUSING")</f>
        <v xml:space="preserve">          6387 - COMMISSION DUE HOUSING</v>
      </c>
      <c r="C218" s="11"/>
      <c r="D218" s="7">
        <v>39712.65</v>
      </c>
      <c r="E218" s="2"/>
      <c r="F218" s="6">
        <f t="shared" si="76"/>
        <v>2.6353673166898513E-2</v>
      </c>
      <c r="G218" s="2"/>
      <c r="H218" s="7">
        <v>39824</v>
      </c>
      <c r="I218" s="2"/>
      <c r="J218" s="6">
        <f t="shared" si="77"/>
        <v>2.4270575240357688E-2</v>
      </c>
      <c r="K218" s="2"/>
      <c r="L218" s="7">
        <f t="shared" si="78"/>
        <v>-111.34999999999854</v>
      </c>
      <c r="M218" s="2"/>
      <c r="N218" s="6">
        <f t="shared" si="79"/>
        <v>-2.796052631578911E-3</v>
      </c>
      <c r="O218" s="11"/>
      <c r="P218" s="7">
        <v>39712.65</v>
      </c>
      <c r="Q218" s="2"/>
      <c r="R218" s="6">
        <f t="shared" si="80"/>
        <v>2.6353673166898513E-2</v>
      </c>
      <c r="S218" s="2"/>
      <c r="T218" s="7">
        <v>39824</v>
      </c>
      <c r="U218" s="2"/>
      <c r="V218" s="6">
        <f t="shared" si="81"/>
        <v>2.4270575240357688E-2</v>
      </c>
      <c r="W218" s="2"/>
      <c r="X218" s="7">
        <f t="shared" si="82"/>
        <v>-111.34999999999854</v>
      </c>
      <c r="Y218" s="2"/>
      <c r="Z218" s="6">
        <f t="shared" si="83"/>
        <v>-2.796052631578911E-3</v>
      </c>
    </row>
    <row r="219" spans="1:26" s="27" customFormat="1" outlineLevel="1" collapsed="1" x14ac:dyDescent="0.25">
      <c r="A219" s="28"/>
      <c r="B219" s="14" t="str">
        <f>CONCATENATE("     ","Rent                                              ")</f>
        <v xml:space="preserve">     Rent                                              </v>
      </c>
      <c r="C219" s="14"/>
      <c r="D219" s="1">
        <f>SUM(OSRRefD22_17x_0)</f>
        <v>9900</v>
      </c>
      <c r="E219" s="1"/>
      <c r="F219" s="5">
        <f t="shared" si="76"/>
        <v>6.5697294024018868E-3</v>
      </c>
      <c r="G219" s="1"/>
      <c r="H219" s="1">
        <f>SUM(OSRRefH22_17x_0)</f>
        <v>10200</v>
      </c>
      <c r="I219" s="1"/>
      <c r="J219" s="5">
        <f t="shared" si="77"/>
        <v>6.216348620220179E-3</v>
      </c>
      <c r="K219" s="1"/>
      <c r="L219" s="1">
        <f t="shared" si="78"/>
        <v>-300</v>
      </c>
      <c r="M219" s="1"/>
      <c r="N219" s="5">
        <f t="shared" si="79"/>
        <v>-2.9411764705882353E-2</v>
      </c>
      <c r="O219" s="14"/>
      <c r="P219" s="1">
        <f>SUM(OSRRefP22_17x_0)</f>
        <v>9900</v>
      </c>
      <c r="Q219" s="1"/>
      <c r="R219" s="5">
        <f t="shared" si="80"/>
        <v>6.5697294024018868E-3</v>
      </c>
      <c r="S219" s="1"/>
      <c r="T219" s="1">
        <f>SUM(OSRRefT22_17x_0)</f>
        <v>10200</v>
      </c>
      <c r="U219" s="1"/>
      <c r="V219" s="5">
        <f t="shared" si="81"/>
        <v>6.216348620220179E-3</v>
      </c>
      <c r="W219" s="1"/>
      <c r="X219" s="1">
        <f t="shared" si="82"/>
        <v>-300</v>
      </c>
      <c r="Y219" s="1"/>
      <c r="Z219" s="5">
        <f t="shared" si="83"/>
        <v>-2.9411764705882353E-2</v>
      </c>
    </row>
    <row r="220" spans="1:26" s="24" customFormat="1" hidden="1" outlineLevel="2" x14ac:dyDescent="0.25">
      <c r="A220" s="29"/>
      <c r="B220" s="11" t="str">
        <f>CONCATENATE("          ", "6273", " - ", "RENT")</f>
        <v xml:space="preserve">          6273 - RENT</v>
      </c>
      <c r="C220" s="11"/>
      <c r="D220" s="7">
        <v>9900</v>
      </c>
      <c r="E220" s="2"/>
      <c r="F220" s="6">
        <f t="shared" si="76"/>
        <v>6.5697294024018868E-3</v>
      </c>
      <c r="G220" s="2"/>
      <c r="H220" s="7">
        <v>10200</v>
      </c>
      <c r="I220" s="2"/>
      <c r="J220" s="6">
        <f t="shared" si="77"/>
        <v>6.216348620220179E-3</v>
      </c>
      <c r="K220" s="2"/>
      <c r="L220" s="7">
        <f t="shared" si="78"/>
        <v>-300</v>
      </c>
      <c r="M220" s="2"/>
      <c r="N220" s="6">
        <f t="shared" si="79"/>
        <v>-2.9411764705882353E-2</v>
      </c>
      <c r="O220" s="11"/>
      <c r="P220" s="7">
        <v>9900</v>
      </c>
      <c r="Q220" s="2"/>
      <c r="R220" s="6">
        <f t="shared" si="80"/>
        <v>6.5697294024018868E-3</v>
      </c>
      <c r="S220" s="2"/>
      <c r="T220" s="7">
        <v>10200</v>
      </c>
      <c r="U220" s="2"/>
      <c r="V220" s="6">
        <f t="shared" si="81"/>
        <v>6.216348620220179E-3</v>
      </c>
      <c r="W220" s="2"/>
      <c r="X220" s="7">
        <f t="shared" si="82"/>
        <v>-300</v>
      </c>
      <c r="Y220" s="2"/>
      <c r="Z220" s="6">
        <f t="shared" si="83"/>
        <v>-2.9411764705882353E-2</v>
      </c>
    </row>
    <row r="221" spans="1:26" s="27" customFormat="1" outlineLevel="1" collapsed="1" x14ac:dyDescent="0.25">
      <c r="A221" s="28"/>
      <c r="B221" s="14" t="str">
        <f>CONCATENATE("     ","Repair and Maintenance                            ")</f>
        <v xml:space="preserve">     Repair and Maintenance                            </v>
      </c>
      <c r="C221" s="14"/>
      <c r="D221" s="1">
        <f>SUM(OSRRefD22_18x_0)</f>
        <v>50384.47</v>
      </c>
      <c r="E221" s="1"/>
      <c r="F221" s="5">
        <f t="shared" si="76"/>
        <v>3.3435589291256139E-2</v>
      </c>
      <c r="G221" s="1"/>
      <c r="H221" s="1">
        <f>SUM(OSRRefH22_18x_0)</f>
        <v>82192</v>
      </c>
      <c r="I221" s="1"/>
      <c r="J221" s="5">
        <f t="shared" si="77"/>
        <v>5.0091580960111466E-2</v>
      </c>
      <c r="K221" s="1"/>
      <c r="L221" s="1">
        <f t="shared" si="78"/>
        <v>-31807.53</v>
      </c>
      <c r="M221" s="1"/>
      <c r="N221" s="5">
        <f t="shared" si="79"/>
        <v>-0.38699058302511191</v>
      </c>
      <c r="O221" s="14"/>
      <c r="P221" s="1">
        <f>SUM(OSRRefP22_18x_0)</f>
        <v>50384.47</v>
      </c>
      <c r="Q221" s="1"/>
      <c r="R221" s="5">
        <f t="shared" si="80"/>
        <v>3.3435589291256139E-2</v>
      </c>
      <c r="S221" s="1"/>
      <c r="T221" s="1">
        <f>SUM(OSRRefT22_18x_0)</f>
        <v>82192</v>
      </c>
      <c r="U221" s="1"/>
      <c r="V221" s="5">
        <f t="shared" si="81"/>
        <v>5.0091580960111466E-2</v>
      </c>
      <c r="W221" s="1"/>
      <c r="X221" s="1">
        <f t="shared" si="82"/>
        <v>-31807.53</v>
      </c>
      <c r="Y221" s="1"/>
      <c r="Z221" s="5">
        <f t="shared" si="83"/>
        <v>-0.38699058302511191</v>
      </c>
    </row>
    <row r="222" spans="1:26" s="24" customFormat="1" hidden="1" outlineLevel="2" x14ac:dyDescent="0.25">
      <c r="A222" s="29"/>
      <c r="B222" s="11" t="str">
        <f>CONCATENATE("          ", "6371", " - ", "COMPUTER SOFTWARE MAINTENANCE")</f>
        <v xml:space="preserve">          6371 - COMPUTER SOFTWARE MAINTENANCE</v>
      </c>
      <c r="C222" s="11"/>
      <c r="D222" s="7">
        <v>601</v>
      </c>
      <c r="E222" s="2"/>
      <c r="F222" s="6">
        <f t="shared" si="76"/>
        <v>3.9882902735793272E-4</v>
      </c>
      <c r="G222" s="2"/>
      <c r="H222" s="7">
        <v>50582</v>
      </c>
      <c r="I222" s="2"/>
      <c r="J222" s="6">
        <f t="shared" si="77"/>
        <v>3.08269946968605E-2</v>
      </c>
      <c r="K222" s="2"/>
      <c r="L222" s="7">
        <f t="shared" si="78"/>
        <v>-49981</v>
      </c>
      <c r="M222" s="2"/>
      <c r="N222" s="6">
        <f t="shared" si="79"/>
        <v>-0.98811830295361991</v>
      </c>
      <c r="O222" s="11"/>
      <c r="P222" s="7">
        <v>601</v>
      </c>
      <c r="Q222" s="2"/>
      <c r="R222" s="6">
        <f t="shared" si="80"/>
        <v>3.9882902735793272E-4</v>
      </c>
      <c r="S222" s="2"/>
      <c r="T222" s="7">
        <v>50582</v>
      </c>
      <c r="U222" s="2"/>
      <c r="V222" s="6">
        <f t="shared" si="81"/>
        <v>3.08269946968605E-2</v>
      </c>
      <c r="W222" s="2"/>
      <c r="X222" s="7">
        <f t="shared" si="82"/>
        <v>-49981</v>
      </c>
      <c r="Y222" s="2"/>
      <c r="Z222" s="6">
        <f t="shared" si="83"/>
        <v>-0.98811830295361991</v>
      </c>
    </row>
    <row r="223" spans="1:26" s="24" customFormat="1" hidden="1" outlineLevel="2" x14ac:dyDescent="0.25">
      <c r="A223" s="29"/>
      <c r="B223" s="11" t="str">
        <f>CONCATENATE("          ", "6372", " - ", "COMPUTER HARDWARE MAINTENANCE")</f>
        <v xml:space="preserve">          6372 - COMPUTER HARDWARE MAINTENANCE</v>
      </c>
      <c r="C223" s="11"/>
      <c r="D223" s="7"/>
      <c r="E223" s="2"/>
      <c r="F223" s="6">
        <f t="shared" si="76"/>
        <v>0</v>
      </c>
      <c r="G223" s="2"/>
      <c r="H223" s="7">
        <v>2200</v>
      </c>
      <c r="I223" s="2"/>
      <c r="J223" s="6">
        <f t="shared" si="77"/>
        <v>1.3407810749494504E-3</v>
      </c>
      <c r="K223" s="2"/>
      <c r="L223" s="7">
        <f t="shared" si="78"/>
        <v>-2200</v>
      </c>
      <c r="M223" s="2"/>
      <c r="N223" s="6">
        <f t="shared" si="79"/>
        <v>-1</v>
      </c>
      <c r="O223" s="11"/>
      <c r="P223" s="7"/>
      <c r="Q223" s="2"/>
      <c r="R223" s="6">
        <f t="shared" si="80"/>
        <v>0</v>
      </c>
      <c r="S223" s="2"/>
      <c r="T223" s="7">
        <v>2200</v>
      </c>
      <c r="U223" s="2"/>
      <c r="V223" s="6">
        <f t="shared" si="81"/>
        <v>1.3407810749494504E-3</v>
      </c>
      <c r="W223" s="2"/>
      <c r="X223" s="7">
        <f t="shared" si="82"/>
        <v>-2200</v>
      </c>
      <c r="Y223" s="2"/>
      <c r="Z223" s="6">
        <f t="shared" si="83"/>
        <v>-1</v>
      </c>
    </row>
    <row r="224" spans="1:26" s="24" customFormat="1" hidden="1" outlineLevel="2" x14ac:dyDescent="0.25">
      <c r="A224" s="29"/>
      <c r="B224" s="11" t="str">
        <f>CONCATENATE("          ", "6373", " - ", "MAINTENANCE CONTRACTS")</f>
        <v xml:space="preserve">          6373 - MAINTENANCE CONTRACTS</v>
      </c>
      <c r="C224" s="11"/>
      <c r="D224" s="7">
        <v>12516.56</v>
      </c>
      <c r="E224" s="2"/>
      <c r="F224" s="6">
        <f t="shared" si="76"/>
        <v>8.3061022473663992E-3</v>
      </c>
      <c r="G224" s="2"/>
      <c r="H224" s="7">
        <v>9270</v>
      </c>
      <c r="I224" s="2"/>
      <c r="J224" s="6">
        <f t="shared" si="77"/>
        <v>5.6495638930824568E-3</v>
      </c>
      <c r="K224" s="2"/>
      <c r="L224" s="7">
        <f t="shared" si="78"/>
        <v>3246.5599999999995</v>
      </c>
      <c r="M224" s="2"/>
      <c r="N224" s="6">
        <f t="shared" si="79"/>
        <v>0.35022222222222216</v>
      </c>
      <c r="O224" s="11"/>
      <c r="P224" s="7">
        <v>12516.56</v>
      </c>
      <c r="Q224" s="2"/>
      <c r="R224" s="6">
        <f t="shared" si="80"/>
        <v>8.3061022473663992E-3</v>
      </c>
      <c r="S224" s="2"/>
      <c r="T224" s="7">
        <v>9270</v>
      </c>
      <c r="U224" s="2"/>
      <c r="V224" s="6">
        <f t="shared" si="81"/>
        <v>5.6495638930824568E-3</v>
      </c>
      <c r="W224" s="2"/>
      <c r="X224" s="7">
        <f t="shared" si="82"/>
        <v>3246.5599999999995</v>
      </c>
      <c r="Y224" s="2"/>
      <c r="Z224" s="6">
        <f t="shared" si="83"/>
        <v>0.35022222222222216</v>
      </c>
    </row>
    <row r="225" spans="1:26" s="24" customFormat="1" hidden="1" outlineLevel="2" x14ac:dyDescent="0.25">
      <c r="A225" s="29"/>
      <c r="B225" s="11" t="str">
        <f>CONCATENATE("          ", "6375", " - ", "OUTSIDE REPAIRS &amp; MAINTENANCE")</f>
        <v xml:space="preserve">          6375 - OUTSIDE REPAIRS &amp; MAINTENANCE</v>
      </c>
      <c r="C225" s="11"/>
      <c r="D225" s="7">
        <v>37266.910000000003</v>
      </c>
      <c r="E225" s="2"/>
      <c r="F225" s="6">
        <f t="shared" si="76"/>
        <v>2.473065801653181E-2</v>
      </c>
      <c r="G225" s="2"/>
      <c r="H225" s="7">
        <v>20140</v>
      </c>
      <c r="I225" s="2"/>
      <c r="J225" s="6">
        <f t="shared" si="77"/>
        <v>1.2274241295219059E-2</v>
      </c>
      <c r="K225" s="2"/>
      <c r="L225" s="7">
        <f t="shared" si="78"/>
        <v>17126.910000000003</v>
      </c>
      <c r="M225" s="2"/>
      <c r="N225" s="6">
        <f t="shared" si="79"/>
        <v>0.85039275074478671</v>
      </c>
      <c r="O225" s="11"/>
      <c r="P225" s="7">
        <v>37266.910000000003</v>
      </c>
      <c r="Q225" s="2"/>
      <c r="R225" s="6">
        <f t="shared" si="80"/>
        <v>2.473065801653181E-2</v>
      </c>
      <c r="S225" s="2"/>
      <c r="T225" s="7">
        <v>20140</v>
      </c>
      <c r="U225" s="2"/>
      <c r="V225" s="6">
        <f t="shared" si="81"/>
        <v>1.2274241295219059E-2</v>
      </c>
      <c r="W225" s="2"/>
      <c r="X225" s="7">
        <f t="shared" si="82"/>
        <v>17126.910000000003</v>
      </c>
      <c r="Y225" s="2"/>
      <c r="Z225" s="6">
        <f t="shared" si="83"/>
        <v>0.85039275074478671</v>
      </c>
    </row>
    <row r="226" spans="1:26" s="27" customFormat="1" outlineLevel="1" collapsed="1" x14ac:dyDescent="0.25">
      <c r="A226" s="28"/>
      <c r="B226" s="14" t="str">
        <f>CONCATENATE("     ","Royalty &amp; Commissions                             ")</f>
        <v xml:space="preserve">     Royalty &amp; Commissions                             </v>
      </c>
      <c r="C226" s="14"/>
      <c r="D226" s="1">
        <f>SUM(OSRRefD22_19x_0)</f>
        <v>21944.15</v>
      </c>
      <c r="E226" s="1"/>
      <c r="F226" s="5">
        <f t="shared" ref="F226:F230" si="84">IF(D$12=0,0,D226/D$12)</f>
        <v>1.4562336107648219E-2</v>
      </c>
      <c r="G226" s="1"/>
      <c r="H226" s="1">
        <f>SUM(OSRRefH22_19x_0)</f>
        <v>26175</v>
      </c>
      <c r="I226" s="1"/>
      <c r="J226" s="5">
        <f t="shared" ref="J226:J230" si="85">IF(H$12=0,0,H226/H$12)</f>
        <v>1.5952247562182664E-2</v>
      </c>
      <c r="K226" s="1"/>
      <c r="L226" s="1">
        <f t="shared" ref="L226:L230" si="86">+D226-H226</f>
        <v>-4230.8499999999985</v>
      </c>
      <c r="M226" s="1"/>
      <c r="N226" s="5">
        <f t="shared" ref="N226:N230" si="87">IF(H226=0,0,L226/H226)</f>
        <v>-0.16163705826170005</v>
      </c>
      <c r="O226" s="14"/>
      <c r="P226" s="1">
        <f>SUM(OSRRefP22_19x_0)</f>
        <v>21944.15</v>
      </c>
      <c r="Q226" s="1"/>
      <c r="R226" s="5">
        <f t="shared" ref="R226:R230" si="88">IF(P$12=0,0,P226/P$12)</f>
        <v>1.4562336107648219E-2</v>
      </c>
      <c r="S226" s="1"/>
      <c r="T226" s="1">
        <f>SUM(OSRRefT22_19x_0)</f>
        <v>26175</v>
      </c>
      <c r="U226" s="1"/>
      <c r="V226" s="5">
        <f t="shared" ref="V226:V230" si="89">IF(T$12=0,0,T226/T$12)</f>
        <v>1.5952247562182664E-2</v>
      </c>
      <c r="W226" s="1"/>
      <c r="X226" s="1">
        <f t="shared" ref="X226:X230" si="90">+P226-T226</f>
        <v>-4230.8499999999985</v>
      </c>
      <c r="Y226" s="1"/>
      <c r="Z226" s="5">
        <f t="shared" ref="Z226:Z230" si="91">IF(T226=0,0,X226/T226)</f>
        <v>-0.16163705826170005</v>
      </c>
    </row>
    <row r="227" spans="1:26" s="24" customFormat="1" hidden="1" outlineLevel="2" x14ac:dyDescent="0.25">
      <c r="A227" s="29"/>
      <c r="B227" s="11" t="str">
        <f>CONCATENATE("          ", "6252", " - ", "ROYALTY DUE CSTV")</f>
        <v xml:space="preserve">          6252 - ROYALTY DUE CSTV</v>
      </c>
      <c r="C227" s="11"/>
      <c r="D227" s="7"/>
      <c r="E227" s="2"/>
      <c r="F227" s="6">
        <f t="shared" si="84"/>
        <v>0</v>
      </c>
      <c r="G227" s="2"/>
      <c r="H227" s="7">
        <v>1085</v>
      </c>
      <c r="I227" s="2"/>
      <c r="J227" s="6">
        <f t="shared" si="85"/>
        <v>6.6124884832734253E-4</v>
      </c>
      <c r="K227" s="2"/>
      <c r="L227" s="7">
        <f t="shared" si="86"/>
        <v>-1085</v>
      </c>
      <c r="M227" s="2"/>
      <c r="N227" s="6">
        <f t="shared" si="87"/>
        <v>-1</v>
      </c>
      <c r="O227" s="11"/>
      <c r="P227" s="7"/>
      <c r="Q227" s="2"/>
      <c r="R227" s="6">
        <f t="shared" si="88"/>
        <v>0</v>
      </c>
      <c r="S227" s="2"/>
      <c r="T227" s="7">
        <v>1085</v>
      </c>
      <c r="U227" s="2"/>
      <c r="V227" s="6">
        <f t="shared" si="89"/>
        <v>6.6124884832734253E-4</v>
      </c>
      <c r="W227" s="2"/>
      <c r="X227" s="7">
        <f t="shared" si="90"/>
        <v>-1085</v>
      </c>
      <c r="Y227" s="2"/>
      <c r="Z227" s="6">
        <f t="shared" si="91"/>
        <v>-1</v>
      </c>
    </row>
    <row r="228" spans="1:26" s="24" customFormat="1" hidden="1" outlineLevel="2" x14ac:dyDescent="0.25">
      <c r="A228" s="29"/>
      <c r="B228" s="11" t="str">
        <f>CONCATENATE("          ", "6253", " - ", "ROYALTY DUE ATHLETICS-LRG")</f>
        <v xml:space="preserve">          6253 - ROYALTY DUE ATHLETICS-LRG</v>
      </c>
      <c r="C228" s="11"/>
      <c r="D228" s="7">
        <v>4366.95</v>
      </c>
      <c r="E228" s="2"/>
      <c r="F228" s="6">
        <f t="shared" si="84"/>
        <v>2.8979474559413048E-3</v>
      </c>
      <c r="G228" s="2"/>
      <c r="H228" s="7">
        <v>3700</v>
      </c>
      <c r="I228" s="2"/>
      <c r="J228" s="6">
        <f t="shared" si="85"/>
        <v>2.254949989687712E-3</v>
      </c>
      <c r="K228" s="2"/>
      <c r="L228" s="7">
        <f t="shared" si="86"/>
        <v>666.94999999999982</v>
      </c>
      <c r="M228" s="2"/>
      <c r="N228" s="6">
        <f t="shared" si="87"/>
        <v>0.1802567567567567</v>
      </c>
      <c r="O228" s="11"/>
      <c r="P228" s="7">
        <v>4366.95</v>
      </c>
      <c r="Q228" s="2"/>
      <c r="R228" s="6">
        <f t="shared" si="88"/>
        <v>2.8979474559413048E-3</v>
      </c>
      <c r="S228" s="2"/>
      <c r="T228" s="7">
        <v>3700</v>
      </c>
      <c r="U228" s="2"/>
      <c r="V228" s="6">
        <f t="shared" si="89"/>
        <v>2.254949989687712E-3</v>
      </c>
      <c r="W228" s="2"/>
      <c r="X228" s="7">
        <f t="shared" si="90"/>
        <v>666.94999999999982</v>
      </c>
      <c r="Y228" s="2"/>
      <c r="Z228" s="6">
        <f t="shared" si="91"/>
        <v>0.1802567567567567</v>
      </c>
    </row>
    <row r="229" spans="1:26" s="24" customFormat="1" hidden="1" outlineLevel="2" x14ac:dyDescent="0.25">
      <c r="A229" s="29"/>
      <c r="B229" s="11" t="str">
        <f>CONCATENATE("          ", "6254", " - ", "ROYALTY &amp; COMMISSIONS")</f>
        <v xml:space="preserve">          6254 - ROYALTY &amp; COMMISSIONS</v>
      </c>
      <c r="C229" s="11"/>
      <c r="D229" s="7">
        <v>14086.75</v>
      </c>
      <c r="E229" s="2"/>
      <c r="F229" s="6">
        <f t="shared" si="84"/>
        <v>9.348094511038867E-3</v>
      </c>
      <c r="G229" s="2"/>
      <c r="H229" s="7">
        <v>15817</v>
      </c>
      <c r="I229" s="2"/>
      <c r="J229" s="6">
        <f t="shared" si="85"/>
        <v>9.6396064829433886E-3</v>
      </c>
      <c r="K229" s="2"/>
      <c r="L229" s="7">
        <f t="shared" si="86"/>
        <v>-1730.25</v>
      </c>
      <c r="M229" s="2"/>
      <c r="N229" s="6">
        <f t="shared" si="87"/>
        <v>-0.10939179363975469</v>
      </c>
      <c r="O229" s="11"/>
      <c r="P229" s="7">
        <v>14086.75</v>
      </c>
      <c r="Q229" s="2"/>
      <c r="R229" s="6">
        <f t="shared" si="88"/>
        <v>9.348094511038867E-3</v>
      </c>
      <c r="S229" s="2"/>
      <c r="T229" s="7">
        <v>15817</v>
      </c>
      <c r="U229" s="2"/>
      <c r="V229" s="6">
        <f t="shared" si="89"/>
        <v>9.6396064829433886E-3</v>
      </c>
      <c r="W229" s="2"/>
      <c r="X229" s="7">
        <f t="shared" si="90"/>
        <v>-1730.25</v>
      </c>
      <c r="Y229" s="2"/>
      <c r="Z229" s="6">
        <f t="shared" si="91"/>
        <v>-0.10939179363975469</v>
      </c>
    </row>
    <row r="230" spans="1:26" s="24" customFormat="1" hidden="1" outlineLevel="2" x14ac:dyDescent="0.25">
      <c r="A230" s="29"/>
      <c r="B230" s="11" t="str">
        <f>CONCATENATE("          ", "6259", " - ", "ROYALTY &amp; COMMISSIONS")</f>
        <v xml:space="preserve">          6259 - ROYALTY &amp; COMMISSIONS</v>
      </c>
      <c r="C230" s="11"/>
      <c r="D230" s="7">
        <v>3490.45</v>
      </c>
      <c r="E230" s="2"/>
      <c r="F230" s="6">
        <f t="shared" si="84"/>
        <v>2.3162941406680466E-3</v>
      </c>
      <c r="G230" s="2"/>
      <c r="H230" s="7">
        <v>5573</v>
      </c>
      <c r="I230" s="2"/>
      <c r="J230" s="6">
        <f t="shared" si="85"/>
        <v>3.3964422412242211E-3</v>
      </c>
      <c r="K230" s="2"/>
      <c r="L230" s="7">
        <f t="shared" si="86"/>
        <v>-2082.5500000000002</v>
      </c>
      <c r="M230" s="2"/>
      <c r="N230" s="6">
        <f t="shared" si="87"/>
        <v>-0.37368562713080927</v>
      </c>
      <c r="O230" s="11"/>
      <c r="P230" s="7">
        <v>3490.45</v>
      </c>
      <c r="Q230" s="2"/>
      <c r="R230" s="6">
        <f t="shared" si="88"/>
        <v>2.3162941406680466E-3</v>
      </c>
      <c r="S230" s="2"/>
      <c r="T230" s="7">
        <v>5573</v>
      </c>
      <c r="U230" s="2"/>
      <c r="V230" s="6">
        <f t="shared" si="89"/>
        <v>3.3964422412242211E-3</v>
      </c>
      <c r="W230" s="2"/>
      <c r="X230" s="7">
        <f t="shared" si="90"/>
        <v>-2082.5500000000002</v>
      </c>
      <c r="Y230" s="2"/>
      <c r="Z230" s="6">
        <f t="shared" si="91"/>
        <v>-0.37368562713080927</v>
      </c>
    </row>
    <row r="231" spans="1:26" s="27" customFormat="1" outlineLevel="1" collapsed="1" x14ac:dyDescent="0.25">
      <c r="A231" s="28"/>
      <c r="B231" s="14" t="str">
        <f>CONCATENATE("     ","Services                                          ")</f>
        <v xml:space="preserve">     Services                                          </v>
      </c>
      <c r="C231" s="14"/>
      <c r="D231" s="1">
        <f>SUM(OSRRefD22_20x_0)</f>
        <v>47318.460000000006</v>
      </c>
      <c r="E231" s="1"/>
      <c r="F231" s="5">
        <f t="shared" ref="F231:F237" si="92">IF(D$12=0,0,D231/D$12)</f>
        <v>3.1400957367512888E-2</v>
      </c>
      <c r="G231" s="1"/>
      <c r="H231" s="1">
        <f>SUM(OSRRefH22_20x_0)</f>
        <v>42694.5</v>
      </c>
      <c r="I231" s="1"/>
      <c r="J231" s="5">
        <f t="shared" ref="J231:J237" si="93">IF(H$12=0,0,H231/H$12)</f>
        <v>2.6019989820195141E-2</v>
      </c>
      <c r="K231" s="1"/>
      <c r="L231" s="1">
        <f t="shared" ref="L231:L237" si="94">+D231-H231</f>
        <v>4623.9600000000064</v>
      </c>
      <c r="M231" s="1"/>
      <c r="N231" s="5">
        <f t="shared" ref="N231:N237" si="95">IF(H231=0,0,L231/H231)</f>
        <v>0.10830341144643939</v>
      </c>
      <c r="O231" s="14"/>
      <c r="P231" s="1">
        <f>SUM(OSRRefP22_20x_0)</f>
        <v>47318.460000000006</v>
      </c>
      <c r="Q231" s="1"/>
      <c r="R231" s="5">
        <f t="shared" ref="R231:R237" si="96">IF(P$12=0,0,P231/P$12)</f>
        <v>3.1400957367512888E-2</v>
      </c>
      <c r="S231" s="1"/>
      <c r="T231" s="1">
        <f>SUM(OSRRefT22_20x_0)</f>
        <v>42694.5</v>
      </c>
      <c r="U231" s="1"/>
      <c r="V231" s="5">
        <f t="shared" ref="V231:V237" si="97">IF(T$12=0,0,T231/T$12)</f>
        <v>2.6019989820195141E-2</v>
      </c>
      <c r="W231" s="1"/>
      <c r="X231" s="1">
        <f t="shared" ref="X231:X237" si="98">+P231-T231</f>
        <v>4623.9600000000064</v>
      </c>
      <c r="Y231" s="1"/>
      <c r="Z231" s="5">
        <f t="shared" ref="Z231:Z237" si="99">IF(T231=0,0,X231/T231)</f>
        <v>0.10830341144643939</v>
      </c>
    </row>
    <row r="232" spans="1:26" s="24" customFormat="1" hidden="1" outlineLevel="2" x14ac:dyDescent="0.25">
      <c r="A232" s="29"/>
      <c r="B232" s="11" t="str">
        <f>CONCATENATE("          ", "6281", " - ", "STORAGE FEE")</f>
        <v xml:space="preserve">          6281 - STORAGE FEE</v>
      </c>
      <c r="C232" s="11"/>
      <c r="D232" s="7"/>
      <c r="E232" s="2"/>
      <c r="F232" s="6">
        <f t="shared" si="92"/>
        <v>0</v>
      </c>
      <c r="G232" s="2"/>
      <c r="H232" s="7">
        <v>0</v>
      </c>
      <c r="I232" s="2"/>
      <c r="J232" s="6">
        <f t="shared" si="93"/>
        <v>0</v>
      </c>
      <c r="K232" s="2"/>
      <c r="L232" s="7">
        <f t="shared" si="94"/>
        <v>0</v>
      </c>
      <c r="M232" s="2"/>
      <c r="N232" s="6">
        <f t="shared" si="95"/>
        <v>0</v>
      </c>
      <c r="O232" s="11"/>
      <c r="P232" s="7"/>
      <c r="Q232" s="2"/>
      <c r="R232" s="6">
        <f t="shared" si="96"/>
        <v>0</v>
      </c>
      <c r="S232" s="2"/>
      <c r="T232" s="7">
        <v>0</v>
      </c>
      <c r="U232" s="2"/>
      <c r="V232" s="6">
        <f t="shared" si="97"/>
        <v>0</v>
      </c>
      <c r="W232" s="2"/>
      <c r="X232" s="7">
        <f t="shared" si="98"/>
        <v>0</v>
      </c>
      <c r="Y232" s="2"/>
      <c r="Z232" s="6">
        <f t="shared" si="99"/>
        <v>0</v>
      </c>
    </row>
    <row r="233" spans="1:26" s="24" customFormat="1" hidden="1" outlineLevel="2" x14ac:dyDescent="0.25">
      <c r="A233" s="29"/>
      <c r="B233" s="11" t="str">
        <f>CONCATENATE("          ", "6282", " - ", "JANITORIAL/EXTERMINATOR EXPENS")</f>
        <v xml:space="preserve">          6282 - JANITORIAL/EXTERMINATOR EXPENS</v>
      </c>
      <c r="C233" s="11"/>
      <c r="D233" s="7">
        <v>3654.46</v>
      </c>
      <c r="E233" s="2"/>
      <c r="F233" s="6">
        <f t="shared" si="92"/>
        <v>2.4251326577678384E-3</v>
      </c>
      <c r="G233" s="2"/>
      <c r="H233" s="7">
        <v>3035</v>
      </c>
      <c r="I233" s="2"/>
      <c r="J233" s="6">
        <f t="shared" si="93"/>
        <v>1.8496684374870826E-3</v>
      </c>
      <c r="K233" s="2"/>
      <c r="L233" s="7">
        <f t="shared" si="94"/>
        <v>619.46</v>
      </c>
      <c r="M233" s="2"/>
      <c r="N233" s="6">
        <f t="shared" si="95"/>
        <v>0.20410543657331137</v>
      </c>
      <c r="O233" s="11"/>
      <c r="P233" s="7">
        <v>3654.46</v>
      </c>
      <c r="Q233" s="2"/>
      <c r="R233" s="6">
        <f t="shared" si="96"/>
        <v>2.4251326577678384E-3</v>
      </c>
      <c r="S233" s="2"/>
      <c r="T233" s="7">
        <v>3035</v>
      </c>
      <c r="U233" s="2"/>
      <c r="V233" s="6">
        <f t="shared" si="97"/>
        <v>1.8496684374870826E-3</v>
      </c>
      <c r="W233" s="2"/>
      <c r="X233" s="7">
        <f t="shared" si="98"/>
        <v>619.46</v>
      </c>
      <c r="Y233" s="2"/>
      <c r="Z233" s="6">
        <f t="shared" si="99"/>
        <v>0.20410543657331137</v>
      </c>
    </row>
    <row r="234" spans="1:26" s="24" customFormat="1" hidden="1" outlineLevel="2" x14ac:dyDescent="0.25">
      <c r="A234" s="29"/>
      <c r="B234" s="11" t="str">
        <f>CONCATENATE("          ", "6283", " - ", "PLANT SERVICE")</f>
        <v xml:space="preserve">          6283 - PLANT SERVICE</v>
      </c>
      <c r="C234" s="11"/>
      <c r="D234" s="7">
        <v>380.44</v>
      </c>
      <c r="E234" s="2"/>
      <c r="F234" s="6">
        <f t="shared" si="92"/>
        <v>2.5246341958078523E-4</v>
      </c>
      <c r="G234" s="2"/>
      <c r="H234" s="7">
        <v>210</v>
      </c>
      <c r="I234" s="2"/>
      <c r="J234" s="6">
        <f t="shared" si="93"/>
        <v>1.2798364806335661E-4</v>
      </c>
      <c r="K234" s="2"/>
      <c r="L234" s="7">
        <f t="shared" si="94"/>
        <v>170.44</v>
      </c>
      <c r="M234" s="2"/>
      <c r="N234" s="6">
        <f t="shared" si="95"/>
        <v>0.81161904761904757</v>
      </c>
      <c r="O234" s="11"/>
      <c r="P234" s="7">
        <v>380.44</v>
      </c>
      <c r="Q234" s="2"/>
      <c r="R234" s="6">
        <f t="shared" si="96"/>
        <v>2.5246341958078523E-4</v>
      </c>
      <c r="S234" s="2"/>
      <c r="T234" s="7">
        <v>210</v>
      </c>
      <c r="U234" s="2"/>
      <c r="V234" s="6">
        <f t="shared" si="97"/>
        <v>1.2798364806335661E-4</v>
      </c>
      <c r="W234" s="2"/>
      <c r="X234" s="7">
        <f t="shared" si="98"/>
        <v>170.44</v>
      </c>
      <c r="Y234" s="2"/>
      <c r="Z234" s="6">
        <f t="shared" si="99"/>
        <v>0.81161904761904757</v>
      </c>
    </row>
    <row r="235" spans="1:26" s="24" customFormat="1" hidden="1" outlineLevel="2" x14ac:dyDescent="0.25">
      <c r="A235" s="29"/>
      <c r="B235" s="11" t="str">
        <f>CONCATENATE("          ", "6284", " - ", "TRASH REMOVAL EXPENSE")</f>
        <v xml:space="preserve">          6284 - TRASH REMOVAL EXPENSE</v>
      </c>
      <c r="C235" s="11"/>
      <c r="D235" s="7">
        <v>4570.82</v>
      </c>
      <c r="E235" s="2"/>
      <c r="F235" s="6">
        <f t="shared" si="92"/>
        <v>3.0332374289986455E-3</v>
      </c>
      <c r="G235" s="2"/>
      <c r="H235" s="7">
        <v>4277.5</v>
      </c>
      <c r="I235" s="2"/>
      <c r="J235" s="6">
        <f t="shared" si="93"/>
        <v>2.6069050218619425E-3</v>
      </c>
      <c r="K235" s="2"/>
      <c r="L235" s="7">
        <f t="shared" si="94"/>
        <v>293.31999999999971</v>
      </c>
      <c r="M235" s="2"/>
      <c r="N235" s="6">
        <f t="shared" si="95"/>
        <v>6.857276446522495E-2</v>
      </c>
      <c r="O235" s="11"/>
      <c r="P235" s="7">
        <v>4570.82</v>
      </c>
      <c r="Q235" s="2"/>
      <c r="R235" s="6">
        <f t="shared" si="96"/>
        <v>3.0332374289986455E-3</v>
      </c>
      <c r="S235" s="2"/>
      <c r="T235" s="7">
        <v>4277.5</v>
      </c>
      <c r="U235" s="2"/>
      <c r="V235" s="6">
        <f t="shared" si="97"/>
        <v>2.6069050218619425E-3</v>
      </c>
      <c r="W235" s="2"/>
      <c r="X235" s="7">
        <f t="shared" si="98"/>
        <v>293.31999999999971</v>
      </c>
      <c r="Y235" s="2"/>
      <c r="Z235" s="6">
        <f t="shared" si="99"/>
        <v>6.857276446522495E-2</v>
      </c>
    </row>
    <row r="236" spans="1:26" s="24" customFormat="1" hidden="1" outlineLevel="2" x14ac:dyDescent="0.25">
      <c r="A236" s="29"/>
      <c r="B236" s="11" t="str">
        <f>CONCATENATE("          ", "6285", " - ", "JANITORIAL SERVICES")</f>
        <v xml:space="preserve">          6285 - JANITORIAL SERVICES</v>
      </c>
      <c r="C236" s="11"/>
      <c r="D236" s="7">
        <v>29975.190000000002</v>
      </c>
      <c r="E236" s="2"/>
      <c r="F236" s="6">
        <f t="shared" si="92"/>
        <v>1.9891806776321519E-2</v>
      </c>
      <c r="G236" s="2"/>
      <c r="H236" s="7">
        <v>27759</v>
      </c>
      <c r="I236" s="2"/>
      <c r="J236" s="6">
        <f t="shared" si="93"/>
        <v>1.6917609936146268E-2</v>
      </c>
      <c r="K236" s="2"/>
      <c r="L236" s="7">
        <f t="shared" si="94"/>
        <v>2216.1900000000023</v>
      </c>
      <c r="M236" s="2"/>
      <c r="N236" s="6">
        <f t="shared" si="95"/>
        <v>7.9836809683346027E-2</v>
      </c>
      <c r="O236" s="11"/>
      <c r="P236" s="7">
        <v>29975.190000000002</v>
      </c>
      <c r="Q236" s="2"/>
      <c r="R236" s="6">
        <f t="shared" si="96"/>
        <v>1.9891806776321519E-2</v>
      </c>
      <c r="S236" s="2"/>
      <c r="T236" s="7">
        <v>27759</v>
      </c>
      <c r="U236" s="2"/>
      <c r="V236" s="6">
        <f t="shared" si="97"/>
        <v>1.6917609936146268E-2</v>
      </c>
      <c r="W236" s="2"/>
      <c r="X236" s="7">
        <f t="shared" si="98"/>
        <v>2216.1900000000023</v>
      </c>
      <c r="Y236" s="2"/>
      <c r="Z236" s="6">
        <f t="shared" si="99"/>
        <v>7.9836809683346027E-2</v>
      </c>
    </row>
    <row r="237" spans="1:26" s="24" customFormat="1" hidden="1" outlineLevel="2" x14ac:dyDescent="0.25">
      <c r="A237" s="29"/>
      <c r="B237" s="11" t="str">
        <f>CONCATENATE("          ", "6286", " - ", "LAUNDRY EXPENSE")</f>
        <v xml:space="preserve">          6286 - LAUNDRY EXPENSE</v>
      </c>
      <c r="C237" s="11"/>
      <c r="D237" s="7">
        <v>8737.5499999999993</v>
      </c>
      <c r="E237" s="2"/>
      <c r="F237" s="6">
        <f t="shared" si="92"/>
        <v>5.7983170848441012E-3</v>
      </c>
      <c r="G237" s="2"/>
      <c r="H237" s="7">
        <v>7413</v>
      </c>
      <c r="I237" s="2"/>
      <c r="J237" s="6">
        <f t="shared" si="93"/>
        <v>4.517822776636489E-3</v>
      </c>
      <c r="K237" s="2"/>
      <c r="L237" s="7">
        <f t="shared" si="94"/>
        <v>1324.5499999999993</v>
      </c>
      <c r="M237" s="2"/>
      <c r="N237" s="6">
        <f t="shared" si="95"/>
        <v>0.17867934709294472</v>
      </c>
      <c r="O237" s="11"/>
      <c r="P237" s="7">
        <v>8737.5499999999993</v>
      </c>
      <c r="Q237" s="2"/>
      <c r="R237" s="6">
        <f t="shared" si="96"/>
        <v>5.7983170848441012E-3</v>
      </c>
      <c r="S237" s="2"/>
      <c r="T237" s="7">
        <v>7413</v>
      </c>
      <c r="U237" s="2"/>
      <c r="V237" s="6">
        <f t="shared" si="97"/>
        <v>4.517822776636489E-3</v>
      </c>
      <c r="W237" s="2"/>
      <c r="X237" s="7">
        <f t="shared" si="98"/>
        <v>1324.5499999999993</v>
      </c>
      <c r="Y237" s="2"/>
      <c r="Z237" s="6">
        <f t="shared" si="99"/>
        <v>0.17867934709294472</v>
      </c>
    </row>
    <row r="238" spans="1:26" s="27" customFormat="1" outlineLevel="1" collapsed="1" x14ac:dyDescent="0.25">
      <c r="A238" s="28"/>
      <c r="B238" s="14" t="str">
        <f>CONCATENATE("     ","Subscriptions &amp; Dues                              ")</f>
        <v xml:space="preserve">     Subscriptions &amp; Dues                              </v>
      </c>
      <c r="C238" s="14"/>
      <c r="D238" s="1">
        <f>SUM(OSRRefD22_21x_0)</f>
        <v>1032.0700000000002</v>
      </c>
      <c r="E238" s="1"/>
      <c r="F238" s="5">
        <f t="shared" ref="F238:F240" si="100">IF(D$12=0,0,D238/D$12)</f>
        <v>6.8489097215524407E-4</v>
      </c>
      <c r="G238" s="1"/>
      <c r="H238" s="1">
        <f>SUM(OSRRefH22_21x_0)</f>
        <v>3259</v>
      </c>
      <c r="I238" s="1"/>
      <c r="J238" s="5">
        <f t="shared" ref="J238:J240" si="101">IF(H$12=0,0,H238/H$12)</f>
        <v>1.986184328754663E-3</v>
      </c>
      <c r="K238" s="1"/>
      <c r="L238" s="1">
        <f t="shared" ref="L238:L240" si="102">+D238-H238</f>
        <v>-2226.9299999999998</v>
      </c>
      <c r="M238" s="1"/>
      <c r="N238" s="5">
        <f t="shared" ref="N238:N240" si="103">IF(H238=0,0,L238/H238)</f>
        <v>-0.68331696839521316</v>
      </c>
      <c r="O238" s="14"/>
      <c r="P238" s="1">
        <f>SUM(OSRRefP22_21x_0)</f>
        <v>1032.0700000000002</v>
      </c>
      <c r="Q238" s="1"/>
      <c r="R238" s="5">
        <f t="shared" ref="R238:R240" si="104">IF(P$12=0,0,P238/P$12)</f>
        <v>6.8489097215524407E-4</v>
      </c>
      <c r="S238" s="1"/>
      <c r="T238" s="1">
        <f>SUM(OSRRefT22_21x_0)</f>
        <v>3259</v>
      </c>
      <c r="U238" s="1"/>
      <c r="V238" s="5">
        <f t="shared" ref="V238:V240" si="105">IF(T$12=0,0,T238/T$12)</f>
        <v>1.986184328754663E-3</v>
      </c>
      <c r="W238" s="1"/>
      <c r="X238" s="1">
        <f t="shared" ref="X238:X240" si="106">+P238-T238</f>
        <v>-2226.9299999999998</v>
      </c>
      <c r="Y238" s="1"/>
      <c r="Z238" s="5">
        <f t="shared" ref="Z238:Z240" si="107">IF(T238=0,0,X238/T238)</f>
        <v>-0.68331696839521316</v>
      </c>
    </row>
    <row r="239" spans="1:26" s="24" customFormat="1" hidden="1" outlineLevel="2" x14ac:dyDescent="0.25">
      <c r="A239" s="29"/>
      <c r="B239" s="11" t="str">
        <f>CONCATENATE("          ", "6258", " - ", "MEMBERSHIP DUES")</f>
        <v xml:space="preserve">          6258 - MEMBERSHIP DUES</v>
      </c>
      <c r="C239" s="11"/>
      <c r="D239" s="7">
        <v>288.85000000000002</v>
      </c>
      <c r="E239" s="2"/>
      <c r="F239" s="6">
        <f t="shared" si="100"/>
        <v>1.9168346847310962E-4</v>
      </c>
      <c r="G239" s="2"/>
      <c r="H239" s="7">
        <v>1895</v>
      </c>
      <c r="I239" s="2"/>
      <c r="J239" s="6">
        <f t="shared" si="101"/>
        <v>1.1549000622860038E-3</v>
      </c>
      <c r="K239" s="2"/>
      <c r="L239" s="7">
        <f t="shared" si="102"/>
        <v>-1606.15</v>
      </c>
      <c r="M239" s="2"/>
      <c r="N239" s="6">
        <f t="shared" si="103"/>
        <v>-0.84757255936675469</v>
      </c>
      <c r="O239" s="11"/>
      <c r="P239" s="7">
        <v>288.85000000000002</v>
      </c>
      <c r="Q239" s="2"/>
      <c r="R239" s="6">
        <f t="shared" si="104"/>
        <v>1.9168346847310962E-4</v>
      </c>
      <c r="S239" s="2"/>
      <c r="T239" s="7">
        <v>1895</v>
      </c>
      <c r="U239" s="2"/>
      <c r="V239" s="6">
        <f t="shared" si="105"/>
        <v>1.1549000622860038E-3</v>
      </c>
      <c r="W239" s="2"/>
      <c r="X239" s="7">
        <f t="shared" si="106"/>
        <v>-1606.15</v>
      </c>
      <c r="Y239" s="2"/>
      <c r="Z239" s="6">
        <f t="shared" si="107"/>
        <v>-0.84757255936675469</v>
      </c>
    </row>
    <row r="240" spans="1:26" s="24" customFormat="1" hidden="1" outlineLevel="2" x14ac:dyDescent="0.25">
      <c r="A240" s="29"/>
      <c r="B240" s="11" t="str">
        <f>CONCATENATE("          ", "6275", " - ", "SUBSCRIPTIONS")</f>
        <v xml:space="preserve">          6275 - SUBSCRIPTIONS</v>
      </c>
      <c r="C240" s="11"/>
      <c r="D240" s="7">
        <v>743.22</v>
      </c>
      <c r="E240" s="2"/>
      <c r="F240" s="6">
        <f t="shared" si="100"/>
        <v>4.9320750368213437E-4</v>
      </c>
      <c r="G240" s="2"/>
      <c r="H240" s="7">
        <v>1364</v>
      </c>
      <c r="I240" s="2"/>
      <c r="J240" s="6">
        <f t="shared" si="101"/>
        <v>8.3128426646865926E-4</v>
      </c>
      <c r="K240" s="2"/>
      <c r="L240" s="7">
        <f t="shared" si="102"/>
        <v>-620.78</v>
      </c>
      <c r="M240" s="2"/>
      <c r="N240" s="6">
        <f t="shared" si="103"/>
        <v>-0.45511730205278589</v>
      </c>
      <c r="O240" s="11"/>
      <c r="P240" s="7">
        <v>743.22</v>
      </c>
      <c r="Q240" s="2"/>
      <c r="R240" s="6">
        <f t="shared" si="104"/>
        <v>4.9320750368213437E-4</v>
      </c>
      <c r="S240" s="2"/>
      <c r="T240" s="7">
        <v>1364</v>
      </c>
      <c r="U240" s="2"/>
      <c r="V240" s="6">
        <f t="shared" si="105"/>
        <v>8.3128426646865926E-4</v>
      </c>
      <c r="W240" s="2"/>
      <c r="X240" s="7">
        <f t="shared" si="106"/>
        <v>-620.78</v>
      </c>
      <c r="Y240" s="2"/>
      <c r="Z240" s="6">
        <f t="shared" si="107"/>
        <v>-0.45511730205278589</v>
      </c>
    </row>
    <row r="241" spans="1:26" s="27" customFormat="1" outlineLevel="1" collapsed="1" x14ac:dyDescent="0.25">
      <c r="A241" s="28"/>
      <c r="B241" s="14" t="str">
        <f>CONCATENATE("     ","Supplies                                          ")</f>
        <v xml:space="preserve">     Supplies                                          </v>
      </c>
      <c r="C241" s="14"/>
      <c r="D241" s="1">
        <f>SUM(OSRRefD22_22x_0)</f>
        <v>74362.23</v>
      </c>
      <c r="E241" s="1"/>
      <c r="F241" s="5">
        <f t="shared" ref="F241:F251" si="108">IF(D$12=0,0,D241/D$12)</f>
        <v>4.9347447359512284E-2</v>
      </c>
      <c r="G241" s="1"/>
      <c r="H241" s="1">
        <f>SUM(OSRRefH22_22x_0)</f>
        <v>74704.899999999994</v>
      </c>
      <c r="I241" s="1"/>
      <c r="J241" s="5">
        <f t="shared" ref="J241:J251" si="109">IF(H$12=0,0,H241/H$12)</f>
        <v>4.55285982390869E-2</v>
      </c>
      <c r="K241" s="1"/>
      <c r="L241" s="1">
        <f t="shared" ref="L241:L251" si="110">+D241-H241</f>
        <v>-342.66999999999825</v>
      </c>
      <c r="M241" s="1"/>
      <c r="N241" s="5">
        <f t="shared" ref="N241:N251" si="111">IF(H241=0,0,L241/H241)</f>
        <v>-4.586981576844334E-3</v>
      </c>
      <c r="O241" s="14"/>
      <c r="P241" s="1">
        <f>SUM(OSRRefP22_22x_0)</f>
        <v>74362.23</v>
      </c>
      <c r="Q241" s="1"/>
      <c r="R241" s="5">
        <f t="shared" ref="R241:R251" si="112">IF(P$12=0,0,P241/P$12)</f>
        <v>4.9347447359512284E-2</v>
      </c>
      <c r="S241" s="1"/>
      <c r="T241" s="1">
        <f>SUM(OSRRefT22_22x_0)</f>
        <v>74704.899999999994</v>
      </c>
      <c r="U241" s="1"/>
      <c r="V241" s="5">
        <f t="shared" ref="V241:V251" si="113">IF(T$12=0,0,T241/T$12)</f>
        <v>4.55285982390869E-2</v>
      </c>
      <c r="W241" s="1"/>
      <c r="X241" s="1">
        <f t="shared" ref="X241:X251" si="114">+P241-T241</f>
        <v>-342.66999999999825</v>
      </c>
      <c r="Y241" s="1"/>
      <c r="Z241" s="5">
        <f t="shared" ref="Z241:Z251" si="115">IF(T241=0,0,X241/T241)</f>
        <v>-4.586981576844334E-3</v>
      </c>
    </row>
    <row r="242" spans="1:26" s="24" customFormat="1" hidden="1" outlineLevel="2" x14ac:dyDescent="0.25">
      <c r="A242" s="29"/>
      <c r="B242" s="11" t="str">
        <f>CONCATENATE("          ", "6234", " - ", "EXPENDABLE SUPPLIES &amp; EQUIPMEN")</f>
        <v xml:space="preserve">          6234 - EXPENDABLE SUPPLIES &amp; EQUIPMEN</v>
      </c>
      <c r="C242" s="11"/>
      <c r="D242" s="7">
        <v>702.08</v>
      </c>
      <c r="E242" s="2"/>
      <c r="F242" s="6">
        <f t="shared" si="108"/>
        <v>4.6590662816548657E-4</v>
      </c>
      <c r="G242" s="2"/>
      <c r="H242" s="7">
        <v>12300</v>
      </c>
      <c r="I242" s="2"/>
      <c r="J242" s="6">
        <f t="shared" si="109"/>
        <v>7.4961851008537453E-3</v>
      </c>
      <c r="K242" s="2"/>
      <c r="L242" s="7">
        <f t="shared" si="110"/>
        <v>-11597.92</v>
      </c>
      <c r="M242" s="2"/>
      <c r="N242" s="6">
        <f t="shared" si="111"/>
        <v>-0.94292032520325209</v>
      </c>
      <c r="O242" s="11"/>
      <c r="P242" s="7">
        <v>702.08</v>
      </c>
      <c r="Q242" s="2"/>
      <c r="R242" s="6">
        <f t="shared" si="112"/>
        <v>4.6590662816548657E-4</v>
      </c>
      <c r="S242" s="2"/>
      <c r="T242" s="7">
        <v>12300</v>
      </c>
      <c r="U242" s="2"/>
      <c r="V242" s="6">
        <f t="shared" si="113"/>
        <v>7.4961851008537453E-3</v>
      </c>
      <c r="W242" s="2"/>
      <c r="X242" s="7">
        <f t="shared" si="114"/>
        <v>-11597.92</v>
      </c>
      <c r="Y242" s="2"/>
      <c r="Z242" s="6">
        <f t="shared" si="115"/>
        <v>-0.94292032520325209</v>
      </c>
    </row>
    <row r="243" spans="1:26" s="24" customFormat="1" hidden="1" outlineLevel="2" x14ac:dyDescent="0.25">
      <c r="A243" s="29"/>
      <c r="B243" s="11" t="str">
        <f>CONCATENATE("          ", "6237", " - ", "JANITORIAL SUPPLIES")</f>
        <v xml:space="preserve">          6237 - JANITORIAL SUPPLIES</v>
      </c>
      <c r="C243" s="11"/>
      <c r="D243" s="7">
        <v>11951.92</v>
      </c>
      <c r="E243" s="2"/>
      <c r="F243" s="6">
        <f t="shared" si="108"/>
        <v>7.9314020443591073E-3</v>
      </c>
      <c r="G243" s="2"/>
      <c r="H243" s="7">
        <v>13396</v>
      </c>
      <c r="I243" s="2"/>
      <c r="J243" s="6">
        <f t="shared" si="109"/>
        <v>8.1641378545558342E-3</v>
      </c>
      <c r="K243" s="2"/>
      <c r="L243" s="7">
        <f t="shared" si="110"/>
        <v>-1444.08</v>
      </c>
      <c r="M243" s="2"/>
      <c r="N243" s="6">
        <f t="shared" si="111"/>
        <v>-0.1077993430874888</v>
      </c>
      <c r="O243" s="11"/>
      <c r="P243" s="7">
        <v>11951.92</v>
      </c>
      <c r="Q243" s="2"/>
      <c r="R243" s="6">
        <f t="shared" si="112"/>
        <v>7.9314020443591073E-3</v>
      </c>
      <c r="S243" s="2"/>
      <c r="T243" s="7">
        <v>13396</v>
      </c>
      <c r="U243" s="2"/>
      <c r="V243" s="6">
        <f t="shared" si="113"/>
        <v>8.1641378545558342E-3</v>
      </c>
      <c r="W243" s="2"/>
      <c r="X243" s="7">
        <f t="shared" si="114"/>
        <v>-1444.08</v>
      </c>
      <c r="Y243" s="2"/>
      <c r="Z243" s="6">
        <f t="shared" si="115"/>
        <v>-0.1077993430874888</v>
      </c>
    </row>
    <row r="244" spans="1:26" s="24" customFormat="1" hidden="1" outlineLevel="2" x14ac:dyDescent="0.25">
      <c r="A244" s="29"/>
      <c r="B244" s="11" t="str">
        <f>CONCATENATE("          ", "6239", " - ", "KITCHEN SUPPLIES")</f>
        <v xml:space="preserve">          6239 - KITCHEN SUPPLIES</v>
      </c>
      <c r="C244" s="11"/>
      <c r="D244" s="7">
        <v>7252.5</v>
      </c>
      <c r="E244" s="2"/>
      <c r="F244" s="6">
        <f t="shared" si="108"/>
        <v>4.812824494032291E-3</v>
      </c>
      <c r="G244" s="2"/>
      <c r="H244" s="7">
        <v>14916</v>
      </c>
      <c r="I244" s="2"/>
      <c r="J244" s="6">
        <f t="shared" si="109"/>
        <v>9.090495688157273E-3</v>
      </c>
      <c r="K244" s="2"/>
      <c r="L244" s="7">
        <f t="shared" si="110"/>
        <v>-7663.5</v>
      </c>
      <c r="M244" s="2"/>
      <c r="N244" s="6">
        <f t="shared" si="111"/>
        <v>-0.51377715205148833</v>
      </c>
      <c r="O244" s="11"/>
      <c r="P244" s="7">
        <v>7252.5</v>
      </c>
      <c r="Q244" s="2"/>
      <c r="R244" s="6">
        <f t="shared" si="112"/>
        <v>4.812824494032291E-3</v>
      </c>
      <c r="S244" s="2"/>
      <c r="T244" s="7">
        <v>14916</v>
      </c>
      <c r="U244" s="2"/>
      <c r="V244" s="6">
        <f t="shared" si="113"/>
        <v>9.090495688157273E-3</v>
      </c>
      <c r="W244" s="2"/>
      <c r="X244" s="7">
        <f t="shared" si="114"/>
        <v>-7663.5</v>
      </c>
      <c r="Y244" s="2"/>
      <c r="Z244" s="6">
        <f t="shared" si="115"/>
        <v>-0.51377715205148833</v>
      </c>
    </row>
    <row r="245" spans="1:26" s="24" customFormat="1" hidden="1" outlineLevel="2" x14ac:dyDescent="0.25">
      <c r="A245" s="29"/>
      <c r="B245" s="11" t="str">
        <f>CONCATENATE("          ", "6241", " - ", "OFFICE EXPENSE")</f>
        <v xml:space="preserve">          6241 - OFFICE EXPENSE</v>
      </c>
      <c r="C245" s="11"/>
      <c r="D245" s="7">
        <v>40775.32</v>
      </c>
      <c r="E245" s="2"/>
      <c r="F245" s="6">
        <f t="shared" si="108"/>
        <v>2.7058870575388454E-2</v>
      </c>
      <c r="G245" s="2"/>
      <c r="H245" s="7">
        <v>3556.25</v>
      </c>
      <c r="I245" s="2"/>
      <c r="J245" s="6">
        <f t="shared" si="109"/>
        <v>2.1673421353586284E-3</v>
      </c>
      <c r="K245" s="2"/>
      <c r="L245" s="7">
        <f t="shared" si="110"/>
        <v>37219.07</v>
      </c>
      <c r="M245" s="2"/>
      <c r="N245" s="6">
        <f t="shared" si="111"/>
        <v>10.465819332161686</v>
      </c>
      <c r="O245" s="11"/>
      <c r="P245" s="7">
        <v>40775.32</v>
      </c>
      <c r="Q245" s="2"/>
      <c r="R245" s="6">
        <f t="shared" si="112"/>
        <v>2.7058870575388454E-2</v>
      </c>
      <c r="S245" s="2"/>
      <c r="T245" s="7">
        <v>3556.25</v>
      </c>
      <c r="U245" s="2"/>
      <c r="V245" s="6">
        <f t="shared" si="113"/>
        <v>2.1673421353586284E-3</v>
      </c>
      <c r="W245" s="2"/>
      <c r="X245" s="7">
        <f t="shared" si="114"/>
        <v>37219.07</v>
      </c>
      <c r="Y245" s="2"/>
      <c r="Z245" s="6">
        <f t="shared" si="115"/>
        <v>10.465819332161686</v>
      </c>
    </row>
    <row r="246" spans="1:26" s="24" customFormat="1" hidden="1" outlineLevel="2" x14ac:dyDescent="0.25">
      <c r="A246" s="29"/>
      <c r="B246" s="11" t="str">
        <f>CONCATENATE("          ", "6243", " - ", "PAPER SUPPLIES")</f>
        <v xml:space="preserve">          6243 - PAPER SUPPLIES</v>
      </c>
      <c r="C246" s="11"/>
      <c r="D246" s="7">
        <v>8596.7800000000007</v>
      </c>
      <c r="E246" s="2"/>
      <c r="F246" s="6">
        <f t="shared" si="108"/>
        <v>5.7049008416141913E-3</v>
      </c>
      <c r="G246" s="2"/>
      <c r="H246" s="7">
        <v>7580</v>
      </c>
      <c r="I246" s="2"/>
      <c r="J246" s="6">
        <f t="shared" si="109"/>
        <v>4.6196002491440151E-3</v>
      </c>
      <c r="K246" s="2"/>
      <c r="L246" s="7">
        <f t="shared" si="110"/>
        <v>1016.7800000000007</v>
      </c>
      <c r="M246" s="2"/>
      <c r="N246" s="6">
        <f t="shared" si="111"/>
        <v>0.13413984168865445</v>
      </c>
      <c r="O246" s="11"/>
      <c r="P246" s="7">
        <v>8596.7800000000007</v>
      </c>
      <c r="Q246" s="2"/>
      <c r="R246" s="6">
        <f t="shared" si="112"/>
        <v>5.7049008416141913E-3</v>
      </c>
      <c r="S246" s="2"/>
      <c r="T246" s="7">
        <v>7580</v>
      </c>
      <c r="U246" s="2"/>
      <c r="V246" s="6">
        <f t="shared" si="113"/>
        <v>4.6196002491440151E-3</v>
      </c>
      <c r="W246" s="2"/>
      <c r="X246" s="7">
        <f t="shared" si="114"/>
        <v>1016.7800000000007</v>
      </c>
      <c r="Y246" s="2"/>
      <c r="Z246" s="6">
        <f t="shared" si="115"/>
        <v>0.13413984168865445</v>
      </c>
    </row>
    <row r="247" spans="1:26" s="24" customFormat="1" hidden="1" outlineLevel="2" x14ac:dyDescent="0.25">
      <c r="A247" s="29"/>
      <c r="B247" s="11" t="str">
        <f>CONCATENATE("          ", "6244", " - ", "SAFETY SUPPLY EXPENSE")</f>
        <v xml:space="preserve">          6244 - SAFETY SUPPLY EXPENSE</v>
      </c>
      <c r="C247" s="11"/>
      <c r="D247" s="7"/>
      <c r="E247" s="2"/>
      <c r="F247" s="6">
        <f t="shared" si="108"/>
        <v>0</v>
      </c>
      <c r="G247" s="2"/>
      <c r="H247" s="7">
        <v>265</v>
      </c>
      <c r="I247" s="2"/>
      <c r="J247" s="6">
        <f t="shared" si="109"/>
        <v>1.6150317493709288E-4</v>
      </c>
      <c r="K247" s="2"/>
      <c r="L247" s="7">
        <f t="shared" si="110"/>
        <v>-265</v>
      </c>
      <c r="M247" s="2"/>
      <c r="N247" s="6">
        <f t="shared" si="111"/>
        <v>-1</v>
      </c>
      <c r="O247" s="11"/>
      <c r="P247" s="7"/>
      <c r="Q247" s="2"/>
      <c r="R247" s="6">
        <f t="shared" si="112"/>
        <v>0</v>
      </c>
      <c r="S247" s="2"/>
      <c r="T247" s="7">
        <v>265</v>
      </c>
      <c r="U247" s="2"/>
      <c r="V247" s="6">
        <f t="shared" si="113"/>
        <v>1.6150317493709288E-4</v>
      </c>
      <c r="W247" s="2"/>
      <c r="X247" s="7">
        <f t="shared" si="114"/>
        <v>-265</v>
      </c>
      <c r="Y247" s="2"/>
      <c r="Z247" s="6">
        <f t="shared" si="115"/>
        <v>-1</v>
      </c>
    </row>
    <row r="248" spans="1:26" s="24" customFormat="1" hidden="1" outlineLevel="2" x14ac:dyDescent="0.25">
      <c r="A248" s="29"/>
      <c r="B248" s="11" t="str">
        <f>CONCATENATE("          ", "6245", " - ", "PRINTING")</f>
        <v xml:space="preserve">          6245 - PRINTING</v>
      </c>
      <c r="C248" s="11"/>
      <c r="D248" s="7">
        <v>137.76</v>
      </c>
      <c r="E248" s="2"/>
      <c r="F248" s="6">
        <f t="shared" si="108"/>
        <v>9.141878004796807E-5</v>
      </c>
      <c r="G248" s="2"/>
      <c r="H248" s="7">
        <v>300</v>
      </c>
      <c r="I248" s="2"/>
      <c r="J248" s="6">
        <f t="shared" si="109"/>
        <v>1.8283378294765232E-4</v>
      </c>
      <c r="K248" s="2"/>
      <c r="L248" s="7">
        <f t="shared" si="110"/>
        <v>-162.24</v>
      </c>
      <c r="M248" s="2"/>
      <c r="N248" s="6">
        <f t="shared" si="111"/>
        <v>-0.54080000000000006</v>
      </c>
      <c r="O248" s="11"/>
      <c r="P248" s="7">
        <v>137.76</v>
      </c>
      <c r="Q248" s="2"/>
      <c r="R248" s="6">
        <f t="shared" si="112"/>
        <v>9.141878004796807E-5</v>
      </c>
      <c r="S248" s="2"/>
      <c r="T248" s="7">
        <v>300</v>
      </c>
      <c r="U248" s="2"/>
      <c r="V248" s="6">
        <f t="shared" si="113"/>
        <v>1.8283378294765232E-4</v>
      </c>
      <c r="W248" s="2"/>
      <c r="X248" s="7">
        <f t="shared" si="114"/>
        <v>-162.24</v>
      </c>
      <c r="Y248" s="2"/>
      <c r="Z248" s="6">
        <f t="shared" si="115"/>
        <v>-0.54080000000000006</v>
      </c>
    </row>
    <row r="249" spans="1:26" s="24" customFormat="1" hidden="1" outlineLevel="2" x14ac:dyDescent="0.25">
      <c r="A249" s="29"/>
      <c r="B249" s="11" t="str">
        <f>CONCATENATE("          ", "6246", " - ", "REPLACEMENTS")</f>
        <v xml:space="preserve">          6246 - REPLACEMENTS</v>
      </c>
      <c r="C249" s="11"/>
      <c r="D249" s="7"/>
      <c r="E249" s="2"/>
      <c r="F249" s="6">
        <f t="shared" si="108"/>
        <v>0</v>
      </c>
      <c r="G249" s="2"/>
      <c r="H249" s="7">
        <v>2400</v>
      </c>
      <c r="I249" s="2"/>
      <c r="J249" s="6">
        <f t="shared" si="109"/>
        <v>1.4626702635812186E-3</v>
      </c>
      <c r="K249" s="2"/>
      <c r="L249" s="7">
        <f t="shared" si="110"/>
        <v>-2400</v>
      </c>
      <c r="M249" s="2"/>
      <c r="N249" s="6">
        <f t="shared" si="111"/>
        <v>-1</v>
      </c>
      <c r="O249" s="11"/>
      <c r="P249" s="7"/>
      <c r="Q249" s="2"/>
      <c r="R249" s="6">
        <f t="shared" si="112"/>
        <v>0</v>
      </c>
      <c r="S249" s="2"/>
      <c r="T249" s="7">
        <v>2400</v>
      </c>
      <c r="U249" s="2"/>
      <c r="V249" s="6">
        <f t="shared" si="113"/>
        <v>1.4626702635812186E-3</v>
      </c>
      <c r="W249" s="2"/>
      <c r="X249" s="7">
        <f t="shared" si="114"/>
        <v>-2400</v>
      </c>
      <c r="Y249" s="2"/>
      <c r="Z249" s="6">
        <f t="shared" si="115"/>
        <v>-1</v>
      </c>
    </row>
    <row r="250" spans="1:26" s="24" customFormat="1" hidden="1" outlineLevel="2" x14ac:dyDescent="0.25">
      <c r="A250" s="29"/>
      <c r="B250" s="11" t="str">
        <f>CONCATENATE("          ", "6247", " - ", "STORE SUPPLIES")</f>
        <v xml:space="preserve">          6247 - STORE SUPPLIES</v>
      </c>
      <c r="C250" s="11"/>
      <c r="D250" s="7">
        <v>9935.7800000000007</v>
      </c>
      <c r="E250" s="2"/>
      <c r="F250" s="6">
        <f t="shared" si="108"/>
        <v>6.5934733335148103E-3</v>
      </c>
      <c r="G250" s="2"/>
      <c r="H250" s="7">
        <v>8716.65</v>
      </c>
      <c r="I250" s="2"/>
      <c r="J250" s="6">
        <f t="shared" si="109"/>
        <v>5.3123269804355115E-3</v>
      </c>
      <c r="K250" s="2"/>
      <c r="L250" s="7">
        <f t="shared" si="110"/>
        <v>1219.130000000001</v>
      </c>
      <c r="M250" s="2"/>
      <c r="N250" s="6">
        <f t="shared" si="111"/>
        <v>0.13986221770978541</v>
      </c>
      <c r="O250" s="11"/>
      <c r="P250" s="7">
        <v>9935.7800000000007</v>
      </c>
      <c r="Q250" s="2"/>
      <c r="R250" s="6">
        <f t="shared" si="112"/>
        <v>6.5934733335148103E-3</v>
      </c>
      <c r="S250" s="2"/>
      <c r="T250" s="7">
        <v>8716.65</v>
      </c>
      <c r="U250" s="2"/>
      <c r="V250" s="6">
        <f t="shared" si="113"/>
        <v>5.3123269804355115E-3</v>
      </c>
      <c r="W250" s="2"/>
      <c r="X250" s="7">
        <f t="shared" si="114"/>
        <v>1219.130000000001</v>
      </c>
      <c r="Y250" s="2"/>
      <c r="Z250" s="6">
        <f t="shared" si="115"/>
        <v>0.13986221770978541</v>
      </c>
    </row>
    <row r="251" spans="1:26" s="24" customFormat="1" hidden="1" outlineLevel="2" x14ac:dyDescent="0.25">
      <c r="A251" s="29"/>
      <c r="B251" s="11" t="str">
        <f>CONCATENATE("          ", "6248", " - ", "UNIFORMS")</f>
        <v xml:space="preserve">          6248 - UNIFORMS</v>
      </c>
      <c r="C251" s="11"/>
      <c r="D251" s="7">
        <v>-4989.91</v>
      </c>
      <c r="E251" s="2"/>
      <c r="F251" s="6">
        <f t="shared" si="108"/>
        <v>-3.3113493376100197E-3</v>
      </c>
      <c r="G251" s="2"/>
      <c r="H251" s="7">
        <v>11275</v>
      </c>
      <c r="I251" s="2"/>
      <c r="J251" s="6">
        <f t="shared" si="109"/>
        <v>6.871503009115933E-3</v>
      </c>
      <c r="K251" s="2"/>
      <c r="L251" s="7">
        <f t="shared" si="110"/>
        <v>-16264.91</v>
      </c>
      <c r="M251" s="2"/>
      <c r="N251" s="6">
        <f t="shared" si="111"/>
        <v>-1.4425640798226165</v>
      </c>
      <c r="O251" s="11"/>
      <c r="P251" s="7">
        <v>-4989.91</v>
      </c>
      <c r="Q251" s="2"/>
      <c r="R251" s="6">
        <f t="shared" si="112"/>
        <v>-3.3113493376100197E-3</v>
      </c>
      <c r="S251" s="2"/>
      <c r="T251" s="7">
        <v>11275</v>
      </c>
      <c r="U251" s="2"/>
      <c r="V251" s="6">
        <f t="shared" si="113"/>
        <v>6.871503009115933E-3</v>
      </c>
      <c r="W251" s="2"/>
      <c r="X251" s="7">
        <f t="shared" si="114"/>
        <v>-16264.91</v>
      </c>
      <c r="Y251" s="2"/>
      <c r="Z251" s="6">
        <f t="shared" si="115"/>
        <v>-1.4425640798226165</v>
      </c>
    </row>
    <row r="252" spans="1:26" s="27" customFormat="1" outlineLevel="1" collapsed="1" x14ac:dyDescent="0.25">
      <c r="A252" s="28"/>
      <c r="B252" s="14" t="str">
        <f>CONCATENATE("     ","Telephone/Data Lines                              ")</f>
        <v xml:space="preserve">     Telephone/Data Lines                              </v>
      </c>
      <c r="C252" s="14"/>
      <c r="D252" s="1">
        <f>SUM(OSRRefD22_23x_0)</f>
        <v>2693.77</v>
      </c>
      <c r="E252" s="1"/>
      <c r="F252" s="5">
        <f t="shared" ref="F252:F254" si="116">IF(D$12=0,0,D252/D$12)</f>
        <v>1.7876100982129424E-3</v>
      </c>
      <c r="G252" s="1"/>
      <c r="H252" s="1">
        <f>SUM(OSRRefH22_23x_0)</f>
        <v>5751</v>
      </c>
      <c r="I252" s="1"/>
      <c r="J252" s="5">
        <f t="shared" ref="J252:J254" si="117">IF(H$12=0,0,H252/H$12)</f>
        <v>3.5049236191064949E-3</v>
      </c>
      <c r="K252" s="1"/>
      <c r="L252" s="1">
        <f t="shared" ref="L252:L254" si="118">+D252-H252</f>
        <v>-3057.23</v>
      </c>
      <c r="M252" s="1"/>
      <c r="N252" s="5">
        <f t="shared" ref="N252:N254" si="119">IF(H252=0,0,L252/H252)</f>
        <v>-0.53159972178751524</v>
      </c>
      <c r="O252" s="14"/>
      <c r="P252" s="1">
        <f>SUM(OSRRefP22_23x_0)</f>
        <v>2693.77</v>
      </c>
      <c r="Q252" s="1"/>
      <c r="R252" s="5">
        <f t="shared" ref="R252:R254" si="120">IF(P$12=0,0,P252/P$12)</f>
        <v>1.7876100982129424E-3</v>
      </c>
      <c r="S252" s="1"/>
      <c r="T252" s="1">
        <f>SUM(OSRRefT22_23x_0)</f>
        <v>5751</v>
      </c>
      <c r="U252" s="1"/>
      <c r="V252" s="5">
        <f t="shared" ref="V252:V254" si="121">IF(T$12=0,0,T252/T$12)</f>
        <v>3.5049236191064949E-3</v>
      </c>
      <c r="W252" s="1"/>
      <c r="X252" s="1">
        <f t="shared" ref="X252:X254" si="122">+P252-T252</f>
        <v>-3057.23</v>
      </c>
      <c r="Y252" s="1"/>
      <c r="Z252" s="5">
        <f t="shared" ref="Z252:Z254" si="123">IF(T252=0,0,X252/T252)</f>
        <v>-0.53159972178751524</v>
      </c>
    </row>
    <row r="253" spans="1:26" s="24" customFormat="1" hidden="1" outlineLevel="2" x14ac:dyDescent="0.25">
      <c r="A253" s="29"/>
      <c r="B253" s="11" t="str">
        <f>CONCATENATE("          ", "6303", " - ", "DATA PHONE LINES")</f>
        <v xml:space="preserve">          6303 - DATA PHONE LINES</v>
      </c>
      <c r="C253" s="11"/>
      <c r="D253" s="7">
        <v>295</v>
      </c>
      <c r="E253" s="2"/>
      <c r="F253" s="6">
        <f t="shared" si="116"/>
        <v>1.9576466401096532E-4</v>
      </c>
      <c r="G253" s="2"/>
      <c r="H253" s="7">
        <v>1528</v>
      </c>
      <c r="I253" s="2"/>
      <c r="J253" s="6">
        <f t="shared" si="117"/>
        <v>9.3123340114670912E-4</v>
      </c>
      <c r="K253" s="2"/>
      <c r="L253" s="7">
        <f t="shared" si="118"/>
        <v>-1233</v>
      </c>
      <c r="M253" s="2"/>
      <c r="N253" s="6">
        <f t="shared" si="119"/>
        <v>-0.80693717277486909</v>
      </c>
      <c r="O253" s="11"/>
      <c r="P253" s="7">
        <v>295</v>
      </c>
      <c r="Q253" s="2"/>
      <c r="R253" s="6">
        <f t="shared" si="120"/>
        <v>1.9576466401096532E-4</v>
      </c>
      <c r="S253" s="2"/>
      <c r="T253" s="7">
        <v>1528</v>
      </c>
      <c r="U253" s="2"/>
      <c r="V253" s="6">
        <f t="shared" si="121"/>
        <v>9.3123340114670912E-4</v>
      </c>
      <c r="W253" s="2"/>
      <c r="X253" s="7">
        <f t="shared" si="122"/>
        <v>-1233</v>
      </c>
      <c r="Y253" s="2"/>
      <c r="Z253" s="6">
        <f t="shared" si="123"/>
        <v>-0.80693717277486909</v>
      </c>
    </row>
    <row r="254" spans="1:26" s="24" customFormat="1" hidden="1" outlineLevel="2" x14ac:dyDescent="0.25">
      <c r="A254" s="29"/>
      <c r="B254" s="11" t="str">
        <f>CONCATENATE("          ", "6309", " - ", "TELEPHONE")</f>
        <v xml:space="preserve">          6309 - TELEPHONE</v>
      </c>
      <c r="C254" s="11"/>
      <c r="D254" s="7">
        <v>2398.77</v>
      </c>
      <c r="E254" s="2"/>
      <c r="F254" s="6">
        <f t="shared" si="116"/>
        <v>1.591845434201977E-3</v>
      </c>
      <c r="G254" s="2"/>
      <c r="H254" s="7">
        <v>4223</v>
      </c>
      <c r="I254" s="2"/>
      <c r="J254" s="6">
        <f t="shared" si="117"/>
        <v>2.5736902179597856E-3</v>
      </c>
      <c r="K254" s="2"/>
      <c r="L254" s="7">
        <f t="shared" si="118"/>
        <v>-1824.23</v>
      </c>
      <c r="M254" s="2"/>
      <c r="N254" s="6">
        <f t="shared" si="119"/>
        <v>-0.43197489936064409</v>
      </c>
      <c r="O254" s="11"/>
      <c r="P254" s="7">
        <v>2398.77</v>
      </c>
      <c r="Q254" s="2"/>
      <c r="R254" s="6">
        <f t="shared" si="120"/>
        <v>1.591845434201977E-3</v>
      </c>
      <c r="S254" s="2"/>
      <c r="T254" s="7">
        <v>4223</v>
      </c>
      <c r="U254" s="2"/>
      <c r="V254" s="6">
        <f t="shared" si="121"/>
        <v>2.5736902179597856E-3</v>
      </c>
      <c r="W254" s="2"/>
      <c r="X254" s="7">
        <f t="shared" si="122"/>
        <v>-1824.23</v>
      </c>
      <c r="Y254" s="2"/>
      <c r="Z254" s="6">
        <f t="shared" si="123"/>
        <v>-0.43197489936064409</v>
      </c>
    </row>
    <row r="255" spans="1:26" s="27" customFormat="1" outlineLevel="1" collapsed="1" x14ac:dyDescent="0.25">
      <c r="A255" s="28"/>
      <c r="B255" s="14" t="str">
        <f>CONCATENATE("     ","Training                                          ")</f>
        <v xml:space="preserve">     Training                                          </v>
      </c>
      <c r="C255" s="14"/>
      <c r="D255" s="1">
        <f>SUM(OSRRefD22_24x_0)</f>
        <v>4866.8900000000003</v>
      </c>
      <c r="E255" s="1"/>
      <c r="F255" s="5">
        <f t="shared" ref="F255:F260" si="124">IF(D$12=0,0,D255/D$12)</f>
        <v>3.229712154672295E-3</v>
      </c>
      <c r="G255" s="1"/>
      <c r="H255" s="1">
        <f>SUM(OSRRefH22_24x_0)</f>
        <v>4994</v>
      </c>
      <c r="I255" s="1"/>
      <c r="J255" s="5">
        <f t="shared" ref="J255:J260" si="125">IF(H$12=0,0,H255/H$12)</f>
        <v>3.0435730401352523E-3</v>
      </c>
      <c r="K255" s="1"/>
      <c r="L255" s="1">
        <f t="shared" ref="L255:L260" si="126">+D255-H255</f>
        <v>-127.10999999999967</v>
      </c>
      <c r="M255" s="1"/>
      <c r="N255" s="5">
        <f t="shared" ref="N255:N260" si="127">IF(H255=0,0,L255/H255)</f>
        <v>-2.5452543051661929E-2</v>
      </c>
      <c r="O255" s="14"/>
      <c r="P255" s="1">
        <f>SUM(OSRRefP22_24x_0)</f>
        <v>4866.8900000000003</v>
      </c>
      <c r="Q255" s="1"/>
      <c r="R255" s="5">
        <f t="shared" ref="R255:R260" si="128">IF(P$12=0,0,P255/P$12)</f>
        <v>3.229712154672295E-3</v>
      </c>
      <c r="S255" s="1"/>
      <c r="T255" s="1">
        <f>SUM(OSRRefT22_24x_0)</f>
        <v>4994</v>
      </c>
      <c r="U255" s="1"/>
      <c r="V255" s="5">
        <f t="shared" ref="V255:V260" si="129">IF(T$12=0,0,T255/T$12)</f>
        <v>3.0435730401352523E-3</v>
      </c>
      <c r="W255" s="1"/>
      <c r="X255" s="1">
        <f t="shared" ref="X255:X260" si="130">+P255-T255</f>
        <v>-127.10999999999967</v>
      </c>
      <c r="Y255" s="1"/>
      <c r="Z255" s="5">
        <f t="shared" ref="Z255:Z260" si="131">IF(T255=0,0,X255/T255)</f>
        <v>-2.5452543051661929E-2</v>
      </c>
    </row>
    <row r="256" spans="1:26" s="24" customFormat="1" hidden="1" outlineLevel="2" x14ac:dyDescent="0.25">
      <c r="A256" s="29"/>
      <c r="B256" s="11" t="str">
        <f>CONCATENATE("          ", "6376", " - ", "TRAINING")</f>
        <v xml:space="preserve">          6376 - TRAINING</v>
      </c>
      <c r="C256" s="11"/>
      <c r="D256" s="7">
        <v>4866.8900000000003</v>
      </c>
      <c r="E256" s="2"/>
      <c r="F256" s="6">
        <f t="shared" si="124"/>
        <v>3.229712154672295E-3</v>
      </c>
      <c r="G256" s="2"/>
      <c r="H256" s="7">
        <v>4994</v>
      </c>
      <c r="I256" s="2"/>
      <c r="J256" s="6">
        <f t="shared" si="125"/>
        <v>3.0435730401352523E-3</v>
      </c>
      <c r="K256" s="2"/>
      <c r="L256" s="7">
        <f t="shared" si="126"/>
        <v>-127.10999999999967</v>
      </c>
      <c r="M256" s="2"/>
      <c r="N256" s="6">
        <f t="shared" si="127"/>
        <v>-2.5452543051661929E-2</v>
      </c>
      <c r="O256" s="11"/>
      <c r="P256" s="7">
        <v>4866.8900000000003</v>
      </c>
      <c r="Q256" s="2"/>
      <c r="R256" s="6">
        <f t="shared" si="128"/>
        <v>3.229712154672295E-3</v>
      </c>
      <c r="S256" s="2"/>
      <c r="T256" s="7">
        <v>4994</v>
      </c>
      <c r="U256" s="2"/>
      <c r="V256" s="6">
        <f t="shared" si="129"/>
        <v>3.0435730401352523E-3</v>
      </c>
      <c r="W256" s="2"/>
      <c r="X256" s="7">
        <f t="shared" si="130"/>
        <v>-127.10999999999967</v>
      </c>
      <c r="Y256" s="2"/>
      <c r="Z256" s="6">
        <f t="shared" si="131"/>
        <v>-2.5452543051661929E-2</v>
      </c>
    </row>
    <row r="257" spans="1:26" s="27" customFormat="1" outlineLevel="1" collapsed="1" x14ac:dyDescent="0.25">
      <c r="A257" s="28"/>
      <c r="B257" s="14" t="str">
        <f>CONCATENATE("     ","Travel                                            ")</f>
        <v xml:space="preserve">     Travel                                            </v>
      </c>
      <c r="C257" s="14"/>
      <c r="D257" s="1">
        <f>SUM(OSRRefD22_25x_0)</f>
        <v>2554.5099999999998</v>
      </c>
      <c r="E257" s="1"/>
      <c r="F257" s="5">
        <f t="shared" si="124"/>
        <v>1.6951959046191557E-3</v>
      </c>
      <c r="G257" s="1"/>
      <c r="H257" s="1">
        <f>SUM(OSRRefH22_25x_0)</f>
        <v>6170</v>
      </c>
      <c r="I257" s="1"/>
      <c r="J257" s="5">
        <f t="shared" si="125"/>
        <v>3.7602814692900494E-3</v>
      </c>
      <c r="K257" s="1"/>
      <c r="L257" s="1">
        <f t="shared" si="126"/>
        <v>-3615.4900000000002</v>
      </c>
      <c r="M257" s="1"/>
      <c r="N257" s="5">
        <f t="shared" si="127"/>
        <v>-0.58597893030794168</v>
      </c>
      <c r="O257" s="14"/>
      <c r="P257" s="1">
        <f>SUM(OSRRefP22_25x_0)</f>
        <v>2554.5099999999998</v>
      </c>
      <c r="Q257" s="1"/>
      <c r="R257" s="5">
        <f t="shared" si="128"/>
        <v>1.6951959046191557E-3</v>
      </c>
      <c r="S257" s="1"/>
      <c r="T257" s="1">
        <f>SUM(OSRRefT22_25x_0)</f>
        <v>6170</v>
      </c>
      <c r="U257" s="1"/>
      <c r="V257" s="5">
        <f t="shared" si="129"/>
        <v>3.7602814692900494E-3</v>
      </c>
      <c r="W257" s="1"/>
      <c r="X257" s="1">
        <f t="shared" si="130"/>
        <v>-3615.4900000000002</v>
      </c>
      <c r="Y257" s="1"/>
      <c r="Z257" s="5">
        <f t="shared" si="131"/>
        <v>-0.58597893030794168</v>
      </c>
    </row>
    <row r="258" spans="1:26" s="24" customFormat="1" hidden="1" outlineLevel="2" x14ac:dyDescent="0.25">
      <c r="A258" s="29"/>
      <c r="B258" s="11" t="str">
        <f>CONCATENATE("          ", "6292", " - ", "TRAVEL/CONFERENCE")</f>
        <v xml:space="preserve">          6292 - TRAVEL/CONFERENCE</v>
      </c>
      <c r="C258" s="11"/>
      <c r="D258" s="7">
        <v>2224.2199999999998</v>
      </c>
      <c r="E258" s="2"/>
      <c r="F258" s="6">
        <f t="shared" si="124"/>
        <v>1.4760124779202347E-3</v>
      </c>
      <c r="G258" s="2"/>
      <c r="H258" s="7">
        <v>5500</v>
      </c>
      <c r="I258" s="2"/>
      <c r="J258" s="6">
        <f t="shared" si="125"/>
        <v>3.351952687373626E-3</v>
      </c>
      <c r="K258" s="2"/>
      <c r="L258" s="7">
        <f t="shared" si="126"/>
        <v>-3275.78</v>
      </c>
      <c r="M258" s="2"/>
      <c r="N258" s="6">
        <f t="shared" si="127"/>
        <v>-0.5955963636363637</v>
      </c>
      <c r="O258" s="11"/>
      <c r="P258" s="7">
        <v>2224.2199999999998</v>
      </c>
      <c r="Q258" s="2"/>
      <c r="R258" s="6">
        <f t="shared" si="128"/>
        <v>1.4760124779202347E-3</v>
      </c>
      <c r="S258" s="2"/>
      <c r="T258" s="7">
        <v>5500</v>
      </c>
      <c r="U258" s="2"/>
      <c r="V258" s="6">
        <f t="shared" si="129"/>
        <v>3.351952687373626E-3</v>
      </c>
      <c r="W258" s="2"/>
      <c r="X258" s="7">
        <f t="shared" si="130"/>
        <v>-3275.78</v>
      </c>
      <c r="Y258" s="2"/>
      <c r="Z258" s="6">
        <f t="shared" si="131"/>
        <v>-0.5955963636363637</v>
      </c>
    </row>
    <row r="259" spans="1:26" s="24" customFormat="1" hidden="1" outlineLevel="2" x14ac:dyDescent="0.25">
      <c r="A259" s="29"/>
      <c r="B259" s="11" t="str">
        <f>CONCATENATE("          ", "6294", " - ", "TRAVEL OPERATIONAL")</f>
        <v xml:space="preserve">          6294 - TRAVEL OPERATIONAL</v>
      </c>
      <c r="C259" s="11"/>
      <c r="D259" s="7">
        <v>45.49</v>
      </c>
      <c r="E259" s="2"/>
      <c r="F259" s="6">
        <f t="shared" si="124"/>
        <v>3.0187574799521396E-5</v>
      </c>
      <c r="G259" s="2"/>
      <c r="H259" s="7">
        <v>110</v>
      </c>
      <c r="I259" s="2"/>
      <c r="J259" s="6">
        <f t="shared" si="125"/>
        <v>6.7039053747472516E-5</v>
      </c>
      <c r="K259" s="2"/>
      <c r="L259" s="7">
        <f t="shared" si="126"/>
        <v>-64.509999999999991</v>
      </c>
      <c r="M259" s="2"/>
      <c r="N259" s="6">
        <f t="shared" si="127"/>
        <v>-0.58645454545454534</v>
      </c>
      <c r="O259" s="11"/>
      <c r="P259" s="7">
        <v>45.49</v>
      </c>
      <c r="Q259" s="2"/>
      <c r="R259" s="6">
        <f t="shared" si="128"/>
        <v>3.0187574799521396E-5</v>
      </c>
      <c r="S259" s="2"/>
      <c r="T259" s="7">
        <v>110</v>
      </c>
      <c r="U259" s="2"/>
      <c r="V259" s="6">
        <f t="shared" si="129"/>
        <v>6.7039053747472516E-5</v>
      </c>
      <c r="W259" s="2"/>
      <c r="X259" s="7">
        <f t="shared" si="130"/>
        <v>-64.509999999999991</v>
      </c>
      <c r="Y259" s="2"/>
      <c r="Z259" s="6">
        <f t="shared" si="131"/>
        <v>-0.58645454545454534</v>
      </c>
    </row>
    <row r="260" spans="1:26" s="24" customFormat="1" hidden="1" outlineLevel="2" x14ac:dyDescent="0.25">
      <c r="A260" s="29"/>
      <c r="B260" s="11" t="str">
        <f>CONCATENATE("          ", "6298", " - ", "VEHICLE MILEAGE")</f>
        <v xml:space="preserve">          6298 - VEHICLE MILEAGE</v>
      </c>
      <c r="C260" s="11"/>
      <c r="D260" s="7">
        <v>284.8</v>
      </c>
      <c r="E260" s="2"/>
      <c r="F260" s="6">
        <f t="shared" si="124"/>
        <v>1.8899585189939973E-4</v>
      </c>
      <c r="G260" s="2"/>
      <c r="H260" s="7">
        <v>560</v>
      </c>
      <c r="I260" s="2"/>
      <c r="J260" s="6">
        <f t="shared" si="125"/>
        <v>3.4128972816895102E-4</v>
      </c>
      <c r="K260" s="2"/>
      <c r="L260" s="7">
        <f t="shared" si="126"/>
        <v>-275.2</v>
      </c>
      <c r="M260" s="2"/>
      <c r="N260" s="6">
        <f t="shared" si="127"/>
        <v>-0.49142857142857138</v>
      </c>
      <c r="O260" s="11"/>
      <c r="P260" s="7">
        <v>284.8</v>
      </c>
      <c r="Q260" s="2"/>
      <c r="R260" s="6">
        <f t="shared" si="128"/>
        <v>1.8899585189939973E-4</v>
      </c>
      <c r="S260" s="2"/>
      <c r="T260" s="7">
        <v>560</v>
      </c>
      <c r="U260" s="2"/>
      <c r="V260" s="6">
        <f t="shared" si="129"/>
        <v>3.4128972816895102E-4</v>
      </c>
      <c r="W260" s="2"/>
      <c r="X260" s="7">
        <f t="shared" si="130"/>
        <v>-275.2</v>
      </c>
      <c r="Y260" s="2"/>
      <c r="Z260" s="6">
        <f t="shared" si="131"/>
        <v>-0.49142857142857138</v>
      </c>
    </row>
    <row r="261" spans="1:26" s="27" customFormat="1" outlineLevel="1" collapsed="1" x14ac:dyDescent="0.25">
      <c r="A261" s="28"/>
      <c r="B261" s="14" t="str">
        <f>CONCATENATE("     ","Utilities                                         ")</f>
        <v xml:space="preserve">     Utilities                                         </v>
      </c>
      <c r="C261" s="14"/>
      <c r="D261" s="1">
        <f>SUM(OSRRefD22_26x_0)</f>
        <v>20286</v>
      </c>
      <c r="E261" s="1"/>
      <c r="F261" s="5">
        <f t="shared" ref="F261:F262" si="132">IF(D$12=0,0,D261/D$12)</f>
        <v>1.3461972793648956E-2</v>
      </c>
      <c r="G261" s="1"/>
      <c r="H261" s="1">
        <f>SUM(OSRRefH22_26x_0)</f>
        <v>23656</v>
      </c>
      <c r="I261" s="1"/>
      <c r="J261" s="5">
        <f t="shared" ref="J261:J262" si="133">IF(H$12=0,0,H261/H$12)</f>
        <v>1.4417053231365544E-2</v>
      </c>
      <c r="K261" s="1"/>
      <c r="L261" s="1">
        <f t="shared" ref="L261:L262" si="134">+D261-H261</f>
        <v>-3370</v>
      </c>
      <c r="M261" s="1"/>
      <c r="N261" s="5">
        <f t="shared" ref="N261:N262" si="135">IF(H261=0,0,L261/H261)</f>
        <v>-0.1424585728779168</v>
      </c>
      <c r="O261" s="14"/>
      <c r="P261" s="1">
        <f>SUM(OSRRefP22_26x_0)</f>
        <v>20286</v>
      </c>
      <c r="Q261" s="1"/>
      <c r="R261" s="5">
        <f t="shared" ref="R261:R262" si="136">IF(P$12=0,0,P261/P$12)</f>
        <v>1.3461972793648956E-2</v>
      </c>
      <c r="S261" s="1"/>
      <c r="T261" s="1">
        <f>SUM(OSRRefT22_26x_0)</f>
        <v>23656</v>
      </c>
      <c r="U261" s="1"/>
      <c r="V261" s="5">
        <f t="shared" ref="V261:V262" si="137">IF(T$12=0,0,T261/T$12)</f>
        <v>1.4417053231365544E-2</v>
      </c>
      <c r="W261" s="1"/>
      <c r="X261" s="1">
        <f t="shared" ref="X261:X262" si="138">+P261-T261</f>
        <v>-3370</v>
      </c>
      <c r="Y261" s="1"/>
      <c r="Z261" s="5">
        <f t="shared" ref="Z261:Z262" si="139">IF(T261=0,0,X261/T261)</f>
        <v>-0.1424585728779168</v>
      </c>
    </row>
    <row r="262" spans="1:26" s="24" customFormat="1" hidden="1" outlineLevel="2" x14ac:dyDescent="0.25">
      <c r="A262" s="29"/>
      <c r="B262" s="11" t="str">
        <f>CONCATENATE("          ", "6274", " - ", "UTILITIES")</f>
        <v xml:space="preserve">          6274 - UTILITIES</v>
      </c>
      <c r="C262" s="11"/>
      <c r="D262" s="7">
        <v>20286</v>
      </c>
      <c r="E262" s="2"/>
      <c r="F262" s="6">
        <f t="shared" si="132"/>
        <v>1.3461972793648956E-2</v>
      </c>
      <c r="G262" s="2"/>
      <c r="H262" s="7">
        <v>23656</v>
      </c>
      <c r="I262" s="2"/>
      <c r="J262" s="6">
        <f t="shared" si="133"/>
        <v>1.4417053231365544E-2</v>
      </c>
      <c r="K262" s="2"/>
      <c r="L262" s="7">
        <f t="shared" si="134"/>
        <v>-3370</v>
      </c>
      <c r="M262" s="2"/>
      <c r="N262" s="6">
        <f t="shared" si="135"/>
        <v>-0.1424585728779168</v>
      </c>
      <c r="O262" s="11"/>
      <c r="P262" s="7">
        <v>20286</v>
      </c>
      <c r="Q262" s="2"/>
      <c r="R262" s="6">
        <f t="shared" si="136"/>
        <v>1.3461972793648956E-2</v>
      </c>
      <c r="S262" s="2"/>
      <c r="T262" s="7">
        <v>23656</v>
      </c>
      <c r="U262" s="2"/>
      <c r="V262" s="6">
        <f t="shared" si="137"/>
        <v>1.4417053231365544E-2</v>
      </c>
      <c r="W262" s="2"/>
      <c r="X262" s="7">
        <f t="shared" si="138"/>
        <v>-3370</v>
      </c>
      <c r="Y262" s="2"/>
      <c r="Z262" s="6">
        <f t="shared" si="139"/>
        <v>-0.1424585728779168</v>
      </c>
    </row>
    <row r="263" spans="1:26" s="57" customFormat="1" x14ac:dyDescent="0.25">
      <c r="A263" s="36"/>
      <c r="B263" s="36"/>
      <c r="C263" s="36"/>
      <c r="D263" s="1"/>
      <c r="E263" s="1"/>
      <c r="F263" s="5"/>
      <c r="G263" s="1"/>
      <c r="H263" s="1"/>
      <c r="I263" s="1"/>
      <c r="J263" s="5"/>
      <c r="K263" s="1"/>
      <c r="L263" s="1"/>
      <c r="M263" s="1"/>
      <c r="N263" s="5"/>
      <c r="O263" s="36"/>
      <c r="P263" s="1"/>
      <c r="Q263" s="1"/>
      <c r="R263" s="5"/>
      <c r="S263" s="1"/>
      <c r="T263" s="1"/>
      <c r="U263" s="1"/>
      <c r="V263" s="5"/>
      <c r="W263" s="1"/>
      <c r="X263" s="1"/>
      <c r="Y263" s="1"/>
      <c r="Z263" s="5"/>
    </row>
    <row r="264" spans="1:26" s="23" customFormat="1" collapsed="1" x14ac:dyDescent="0.25">
      <c r="A264" s="10"/>
      <c r="B264" s="25" t="s">
        <v>0</v>
      </c>
      <c r="C264" s="10"/>
      <c r="D264" s="4">
        <f>SUM(OSRRefD25x_0)</f>
        <v>122669.41</v>
      </c>
      <c r="E264" s="4"/>
      <c r="F264" s="12">
        <f t="shared" ref="F264:F272" si="140">IF(D$12=0,0,D264/D$12)</f>
        <v>8.1404528247706262E-2</v>
      </c>
      <c r="G264" s="4"/>
      <c r="H264" s="4">
        <f>SUM(OSRRefH25x_0)</f>
        <v>92028</v>
      </c>
      <c r="I264" s="4"/>
      <c r="J264" s="12">
        <f t="shared" ref="J264:J272" si="141">IF(H$12=0,0,H264/H$12)</f>
        <v>5.6086091257021825E-2</v>
      </c>
      <c r="K264" s="4"/>
      <c r="L264" s="4">
        <f t="shared" ref="L264:L272" si="142">+D264-H264</f>
        <v>30641.410000000003</v>
      </c>
      <c r="M264" s="4"/>
      <c r="N264" s="12">
        <f t="shared" ref="N264:N272" si="143">IF(H264=0,0,L264/H264)</f>
        <v>0.33295746946581478</v>
      </c>
      <c r="O264" s="10"/>
      <c r="P264" s="4">
        <f>SUM(OSRRefP25x_0)</f>
        <v>122669.41</v>
      </c>
      <c r="Q264" s="4"/>
      <c r="R264" s="12">
        <f t="shared" ref="R264:R272" si="144">IF(P$12=0,0,P264/P$12)</f>
        <v>8.1404528247706262E-2</v>
      </c>
      <c r="S264" s="4"/>
      <c r="T264" s="4">
        <f>SUM(OSRRefT25x_0)</f>
        <v>92028</v>
      </c>
      <c r="U264" s="4"/>
      <c r="V264" s="12">
        <f t="shared" ref="V264:V272" si="145">IF(T$12=0,0,T264/T$12)</f>
        <v>5.6086091257021825E-2</v>
      </c>
      <c r="W264" s="4"/>
      <c r="X264" s="4">
        <f t="shared" ref="X264:X272" si="146">+P264-T264</f>
        <v>30641.410000000003</v>
      </c>
      <c r="Y264" s="4"/>
      <c r="Z264" s="12">
        <f t="shared" ref="Z264:Z272" si="147">IF(T264=0,0,X264/T264)</f>
        <v>0.33295746946581478</v>
      </c>
    </row>
    <row r="265" spans="1:26" s="24" customFormat="1" hidden="1" outlineLevel="1" x14ac:dyDescent="0.25">
      <c r="A265" s="51"/>
      <c r="B265" s="11" t="str">
        <f>CONCATENATE("          ", "4098", " - ", "TAXABLE SALES-GRAD RENTALS")</f>
        <v xml:space="preserve">          4098 - TAXABLE SALES-GRAD RENTALS</v>
      </c>
      <c r="C265" s="11"/>
      <c r="D265" s="2">
        <f>--74.7</f>
        <v>74.7</v>
      </c>
      <c r="E265" s="2"/>
      <c r="F265" s="22">
        <f t="shared" si="140"/>
        <v>4.9571594581759692E-5</v>
      </c>
      <c r="G265" s="2"/>
      <c r="H265" s="2"/>
      <c r="I265" s="2"/>
      <c r="J265" s="22">
        <f t="shared" si="141"/>
        <v>0</v>
      </c>
      <c r="K265" s="2"/>
      <c r="L265" s="2">
        <f t="shared" si="142"/>
        <v>74.7</v>
      </c>
      <c r="M265" s="2"/>
      <c r="N265" s="22">
        <f t="shared" si="143"/>
        <v>0</v>
      </c>
      <c r="O265" s="11"/>
      <c r="P265" s="2">
        <f>--74.7</f>
        <v>74.7</v>
      </c>
      <c r="Q265" s="2"/>
      <c r="R265" s="22">
        <f t="shared" si="144"/>
        <v>4.9571594581759692E-5</v>
      </c>
      <c r="S265" s="2"/>
      <c r="T265" s="2"/>
      <c r="U265" s="2"/>
      <c r="V265" s="22">
        <f t="shared" si="145"/>
        <v>0</v>
      </c>
      <c r="W265" s="2"/>
      <c r="X265" s="2">
        <f t="shared" si="146"/>
        <v>74.7</v>
      </c>
      <c r="Y265" s="2"/>
      <c r="Z265" s="22">
        <f t="shared" si="147"/>
        <v>0</v>
      </c>
    </row>
    <row r="266" spans="1:26" s="24" customFormat="1" hidden="1" outlineLevel="1" x14ac:dyDescent="0.25">
      <c r="A266" s="51"/>
      <c r="B266" s="11" t="str">
        <f>CONCATENATE("          ", "4187", " - ", "NON-TAXABLE SALES-COMPUTER REP")</f>
        <v xml:space="preserve">          4187 - NON-TAXABLE SALES-COMPUTER REP</v>
      </c>
      <c r="C266" s="11"/>
      <c r="D266" s="2">
        <f>--781.89</f>
        <v>781.89</v>
      </c>
      <c r="E266" s="2"/>
      <c r="F266" s="22">
        <f t="shared" si="140"/>
        <v>5.1886926489333441E-4</v>
      </c>
      <c r="G266" s="2"/>
      <c r="H266" s="2"/>
      <c r="I266" s="2"/>
      <c r="J266" s="22">
        <f t="shared" si="141"/>
        <v>0</v>
      </c>
      <c r="K266" s="2"/>
      <c r="L266" s="2">
        <f t="shared" si="142"/>
        <v>781.89</v>
      </c>
      <c r="M266" s="2"/>
      <c r="N266" s="22">
        <f t="shared" si="143"/>
        <v>0</v>
      </c>
      <c r="O266" s="11"/>
      <c r="P266" s="2">
        <f>--781.89</f>
        <v>781.89</v>
      </c>
      <c r="Q266" s="2"/>
      <c r="R266" s="22">
        <f t="shared" si="144"/>
        <v>5.1886926489333441E-4</v>
      </c>
      <c r="S266" s="2"/>
      <c r="T266" s="2"/>
      <c r="U266" s="2"/>
      <c r="V266" s="22">
        <f t="shared" si="145"/>
        <v>0</v>
      </c>
      <c r="W266" s="2"/>
      <c r="X266" s="2">
        <f t="shared" si="146"/>
        <v>781.89</v>
      </c>
      <c r="Y266" s="2"/>
      <c r="Z266" s="22">
        <f t="shared" si="147"/>
        <v>0</v>
      </c>
    </row>
    <row r="267" spans="1:26" s="24" customFormat="1" hidden="1" outlineLevel="1" x14ac:dyDescent="0.25">
      <c r="A267" s="51"/>
      <c r="B267" s="11" t="str">
        <f>CONCATENATE("          ", "4198", " - ", "NON-TAXABLE SALES-GRAD RENTALS")</f>
        <v xml:space="preserve">          4198 - NON-TAXABLE SALES-GRAD RENTALS</v>
      </c>
      <c r="C267" s="11"/>
      <c r="D267" s="2">
        <f>--255</f>
        <v>255</v>
      </c>
      <c r="E267" s="2"/>
      <c r="F267" s="22">
        <f t="shared" si="140"/>
        <v>1.692203027891395E-4</v>
      </c>
      <c r="G267" s="2"/>
      <c r="H267" s="2"/>
      <c r="I267" s="2"/>
      <c r="J267" s="22">
        <f t="shared" si="141"/>
        <v>0</v>
      </c>
      <c r="K267" s="2"/>
      <c r="L267" s="2">
        <f t="shared" si="142"/>
        <v>255</v>
      </c>
      <c r="M267" s="2"/>
      <c r="N267" s="22">
        <f t="shared" si="143"/>
        <v>0</v>
      </c>
      <c r="O267" s="11"/>
      <c r="P267" s="2">
        <f>--255</f>
        <v>255</v>
      </c>
      <c r="Q267" s="2"/>
      <c r="R267" s="22">
        <f t="shared" si="144"/>
        <v>1.692203027891395E-4</v>
      </c>
      <c r="S267" s="2"/>
      <c r="T267" s="2"/>
      <c r="U267" s="2"/>
      <c r="V267" s="22">
        <f t="shared" si="145"/>
        <v>0</v>
      </c>
      <c r="W267" s="2"/>
      <c r="X267" s="2">
        <f t="shared" si="146"/>
        <v>255</v>
      </c>
      <c r="Y267" s="2"/>
      <c r="Z267" s="22">
        <f t="shared" si="147"/>
        <v>0</v>
      </c>
    </row>
    <row r="268" spans="1:26" s="24" customFormat="1" hidden="1" outlineLevel="1" x14ac:dyDescent="0.25">
      <c r="A268" s="51"/>
      <c r="B268" s="11" t="str">
        <f>CONCATENATE("          ", "4387", " - ", "SALES RETURN NON TAXABLE-COMPU")</f>
        <v xml:space="preserve">          4387 - SALES RETURN NON TAXABLE-COMPU</v>
      </c>
      <c r="C268" s="11"/>
      <c r="D268" s="2">
        <f>-630.8</f>
        <v>-630.79999999999995</v>
      </c>
      <c r="E268" s="2"/>
      <c r="F268" s="22">
        <f t="shared" si="140"/>
        <v>-4.1860457646819289E-4</v>
      </c>
      <c r="G268" s="2"/>
      <c r="H268" s="2"/>
      <c r="I268" s="2"/>
      <c r="J268" s="22">
        <f t="shared" si="141"/>
        <v>0</v>
      </c>
      <c r="K268" s="2"/>
      <c r="L268" s="2">
        <f t="shared" si="142"/>
        <v>-630.79999999999995</v>
      </c>
      <c r="M268" s="2"/>
      <c r="N268" s="22">
        <f t="shared" si="143"/>
        <v>0</v>
      </c>
      <c r="O268" s="11"/>
      <c r="P268" s="2">
        <f>-630.8</f>
        <v>-630.79999999999995</v>
      </c>
      <c r="Q268" s="2"/>
      <c r="R268" s="22">
        <f t="shared" si="144"/>
        <v>-4.1860457646819289E-4</v>
      </c>
      <c r="S268" s="2"/>
      <c r="T268" s="2"/>
      <c r="U268" s="2"/>
      <c r="V268" s="22">
        <f t="shared" si="145"/>
        <v>0</v>
      </c>
      <c r="W268" s="2"/>
      <c r="X268" s="2">
        <f t="shared" si="146"/>
        <v>-630.79999999999995</v>
      </c>
      <c r="Y268" s="2"/>
      <c r="Z268" s="22">
        <f t="shared" si="147"/>
        <v>0</v>
      </c>
    </row>
    <row r="269" spans="1:26" s="24" customFormat="1" hidden="1" outlineLevel="1" x14ac:dyDescent="0.25">
      <c r="A269" s="51"/>
      <c r="B269" s="11" t="str">
        <f>CONCATENATE("          ", "9150", " - ", "MISC. INCOME")</f>
        <v xml:space="preserve">          9150 - MISC. INCOME</v>
      </c>
      <c r="C269" s="11"/>
      <c r="D269" s="2">
        <f>--112609.96</f>
        <v>112609.96</v>
      </c>
      <c r="E269" s="2"/>
      <c r="F269" s="22">
        <f t="shared" si="140"/>
        <v>7.4728986385383875E-2</v>
      </c>
      <c r="G269" s="2"/>
      <c r="H269" s="2">
        <v>49497</v>
      </c>
      <c r="I269" s="2"/>
      <c r="J269" s="22">
        <f t="shared" si="141"/>
        <v>3.0165745848533158E-2</v>
      </c>
      <c r="K269" s="2"/>
      <c r="L269" s="2">
        <f t="shared" si="142"/>
        <v>63112.960000000006</v>
      </c>
      <c r="M269" s="2"/>
      <c r="N269" s="22">
        <f t="shared" si="143"/>
        <v>1.2750865709032873</v>
      </c>
      <c r="O269" s="11"/>
      <c r="P269" s="2">
        <f>--112609.96</f>
        <v>112609.96</v>
      </c>
      <c r="Q269" s="2"/>
      <c r="R269" s="22">
        <f t="shared" si="144"/>
        <v>7.4728986385383875E-2</v>
      </c>
      <c r="S269" s="2"/>
      <c r="T269" s="2">
        <v>49497</v>
      </c>
      <c r="U269" s="2"/>
      <c r="V269" s="22">
        <f t="shared" si="145"/>
        <v>3.0165745848533158E-2</v>
      </c>
      <c r="W269" s="2"/>
      <c r="X269" s="2">
        <f t="shared" si="146"/>
        <v>63112.960000000006</v>
      </c>
      <c r="Y269" s="2"/>
      <c r="Z269" s="22">
        <f t="shared" si="147"/>
        <v>1.2750865709032873</v>
      </c>
    </row>
    <row r="270" spans="1:26" s="24" customFormat="1" hidden="1" outlineLevel="1" x14ac:dyDescent="0.25">
      <c r="A270" s="51"/>
      <c r="B270" s="11" t="str">
        <f>CONCATENATE("          ", "9151", " - ", "MISC. INCOME")</f>
        <v xml:space="preserve">          9151 - MISC. INCOME</v>
      </c>
      <c r="C270" s="11"/>
      <c r="D270" s="2">
        <f>-94.49</f>
        <v>-94.49</v>
      </c>
      <c r="E270" s="2"/>
      <c r="F270" s="22">
        <f t="shared" si="140"/>
        <v>-6.2704417296258002E-5</v>
      </c>
      <c r="G270" s="2"/>
      <c r="H270" s="2">
        <v>24931</v>
      </c>
      <c r="I270" s="2"/>
      <c r="J270" s="22">
        <f t="shared" si="141"/>
        <v>1.5194096808893066E-2</v>
      </c>
      <c r="K270" s="2"/>
      <c r="L270" s="2">
        <f t="shared" si="142"/>
        <v>-25025.49</v>
      </c>
      <c r="M270" s="2"/>
      <c r="N270" s="22">
        <f t="shared" si="143"/>
        <v>-1.0037900605671655</v>
      </c>
      <c r="O270" s="11"/>
      <c r="P270" s="2">
        <f>-94.49</f>
        <v>-94.49</v>
      </c>
      <c r="Q270" s="2"/>
      <c r="R270" s="22">
        <f t="shared" si="144"/>
        <v>-6.2704417296258002E-5</v>
      </c>
      <c r="S270" s="2"/>
      <c r="T270" s="2">
        <v>24931</v>
      </c>
      <c r="U270" s="2"/>
      <c r="V270" s="22">
        <f t="shared" si="145"/>
        <v>1.5194096808893066E-2</v>
      </c>
      <c r="W270" s="2"/>
      <c r="X270" s="2">
        <f t="shared" si="146"/>
        <v>-25025.49</v>
      </c>
      <c r="Y270" s="2"/>
      <c r="Z270" s="22">
        <f t="shared" si="147"/>
        <v>-1.0037900605671655</v>
      </c>
    </row>
    <row r="271" spans="1:26" s="24" customFormat="1" hidden="1" outlineLevel="1" x14ac:dyDescent="0.25">
      <c r="A271" s="51"/>
      <c r="B271" s="11" t="str">
        <f>CONCATENATE("          ", "9160", " - ", "MISC. INCOME")</f>
        <v xml:space="preserve">          9160 - MISC. INCOME</v>
      </c>
      <c r="C271" s="11"/>
      <c r="D271" s="2">
        <f>--5992.1</f>
        <v>5992.1</v>
      </c>
      <c r="E271" s="2"/>
      <c r="F271" s="22">
        <f t="shared" si="140"/>
        <v>3.9764116719325599E-3</v>
      </c>
      <c r="G271" s="2"/>
      <c r="H271" s="2">
        <v>17600</v>
      </c>
      <c r="I271" s="2"/>
      <c r="J271" s="22">
        <f t="shared" si="141"/>
        <v>1.0726248599595603E-2</v>
      </c>
      <c r="K271" s="2"/>
      <c r="L271" s="2">
        <f t="shared" si="142"/>
        <v>-11607.9</v>
      </c>
      <c r="M271" s="2"/>
      <c r="N271" s="22">
        <f t="shared" si="143"/>
        <v>-0.65953977272727271</v>
      </c>
      <c r="O271" s="11"/>
      <c r="P271" s="2">
        <f>--5992.1</f>
        <v>5992.1</v>
      </c>
      <c r="Q271" s="2"/>
      <c r="R271" s="22">
        <f t="shared" si="144"/>
        <v>3.9764116719325599E-3</v>
      </c>
      <c r="S271" s="2"/>
      <c r="T271" s="2">
        <v>17600</v>
      </c>
      <c r="U271" s="2"/>
      <c r="V271" s="22">
        <f t="shared" si="145"/>
        <v>1.0726248599595603E-2</v>
      </c>
      <c r="W271" s="2"/>
      <c r="X271" s="2">
        <f t="shared" si="146"/>
        <v>-11607.9</v>
      </c>
      <c r="Y271" s="2"/>
      <c r="Z271" s="22">
        <f t="shared" si="147"/>
        <v>-0.65953977272727271</v>
      </c>
    </row>
    <row r="272" spans="1:26" s="24" customFormat="1" hidden="1" outlineLevel="1" x14ac:dyDescent="0.25">
      <c r="A272" s="51"/>
      <c r="B272" s="11" t="str">
        <f>CONCATENATE("          ", "9165", " - ", "OTHER INCOME")</f>
        <v xml:space="preserve">          9165 - OTHER INCOME</v>
      </c>
      <c r="C272" s="11"/>
      <c r="D272" s="2">
        <f>--3681.05</f>
        <v>3681.05</v>
      </c>
      <c r="E272" s="2"/>
      <c r="F272" s="22">
        <f t="shared" si="140"/>
        <v>2.4427780218900471E-3</v>
      </c>
      <c r="G272" s="2"/>
      <c r="H272" s="2"/>
      <c r="I272" s="2"/>
      <c r="J272" s="22">
        <f t="shared" si="141"/>
        <v>0</v>
      </c>
      <c r="K272" s="2"/>
      <c r="L272" s="2">
        <f t="shared" si="142"/>
        <v>3681.05</v>
      </c>
      <c r="M272" s="2"/>
      <c r="N272" s="22">
        <f t="shared" si="143"/>
        <v>0</v>
      </c>
      <c r="O272" s="11"/>
      <c r="P272" s="2">
        <f>--3681.05</f>
        <v>3681.05</v>
      </c>
      <c r="Q272" s="2"/>
      <c r="R272" s="22">
        <f t="shared" si="144"/>
        <v>2.4427780218900471E-3</v>
      </c>
      <c r="S272" s="2"/>
      <c r="T272" s="2"/>
      <c r="U272" s="2"/>
      <c r="V272" s="22">
        <f t="shared" si="145"/>
        <v>0</v>
      </c>
      <c r="W272" s="2"/>
      <c r="X272" s="2">
        <f t="shared" si="146"/>
        <v>3681.05</v>
      </c>
      <c r="Y272" s="2"/>
      <c r="Z272" s="22">
        <f t="shared" si="147"/>
        <v>0</v>
      </c>
    </row>
    <row r="273" spans="1:26" x14ac:dyDescent="0.25">
      <c r="A273" s="9"/>
      <c r="B273" s="10"/>
      <c r="C273" s="10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O273" s="10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x14ac:dyDescent="0.25">
      <c r="A274" s="10"/>
      <c r="B274" s="26" t="s">
        <v>3</v>
      </c>
      <c r="C274" s="26"/>
      <c r="D274" s="21">
        <f>+D155-D157+D264</f>
        <v>-472616.02000000025</v>
      </c>
      <c r="E274" s="13"/>
      <c r="F274" s="19">
        <f>IF(D$12=0,0,D274/D$12)</f>
        <v>-0.31363225885254137</v>
      </c>
      <c r="G274" s="13"/>
      <c r="H274" s="21">
        <f>+H155-H157+H264</f>
        <v>-419038.98971158091</v>
      </c>
      <c r="I274" s="13"/>
      <c r="J274" s="19">
        <f>IF(H$12=0,0,H274/H$12)</f>
        <v>-0.25538161230510231</v>
      </c>
      <c r="K274" s="15"/>
      <c r="L274" s="21">
        <f>+D274-H274</f>
        <v>-53577.030288419337</v>
      </c>
      <c r="M274" s="15"/>
      <c r="N274" s="19">
        <f>IF(H274=0,0,L274/H274)</f>
        <v>0.1278569097479347</v>
      </c>
      <c r="O274" s="25"/>
      <c r="P274" s="21">
        <f>+P155-P157+P264</f>
        <v>-472616.02000000025</v>
      </c>
      <c r="Q274" s="13"/>
      <c r="R274" s="19">
        <f>IF(P$12=0,0,P274/P$12)</f>
        <v>-0.31363225885254137</v>
      </c>
      <c r="S274" s="13"/>
      <c r="T274" s="21">
        <f>+T155-T157+T264</f>
        <v>-419038.98971158091</v>
      </c>
      <c r="U274" s="13"/>
      <c r="V274" s="19">
        <f>IF(T$12=0,0,T274/T$12)</f>
        <v>-0.25538161230510231</v>
      </c>
      <c r="W274" s="15"/>
      <c r="X274" s="21">
        <f>+P274-T274</f>
        <v>-53577.030288419337</v>
      </c>
      <c r="Y274" s="15"/>
      <c r="Z274" s="19">
        <f>IF(T274=0,0,X274/T274)</f>
        <v>0.1278569097479347</v>
      </c>
    </row>
    <row r="275" spans="1:26" x14ac:dyDescent="0.25">
      <c r="A275" s="9"/>
      <c r="B275" s="10"/>
      <c r="C275" s="9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x14ac:dyDescent="0.25">
      <c r="A276" s="52"/>
      <c r="B276" s="10" t="s">
        <v>14</v>
      </c>
      <c r="C276" s="10"/>
      <c r="D276" s="4">
        <v>313331.27</v>
      </c>
      <c r="E276" s="4"/>
      <c r="F276" s="12">
        <f>IF(D$12=0,0,D276/D$12)</f>
        <v>0.20792946032433579</v>
      </c>
      <c r="G276" s="4"/>
      <c r="H276" s="4">
        <v>399883</v>
      </c>
      <c r="I276" s="4"/>
      <c r="J276" s="12">
        <f>IF(H$12=0,0,H276/H$12)</f>
        <v>0.24370707208818684</v>
      </c>
      <c r="K276" s="4"/>
      <c r="L276" s="4">
        <f>+D276-H276</f>
        <v>-86551.729999999981</v>
      </c>
      <c r="M276" s="4"/>
      <c r="N276" s="12">
        <f>IF(H276=0,0,L276/H276)</f>
        <v>-0.2164426344705826</v>
      </c>
      <c r="O276" s="10"/>
      <c r="P276" s="4">
        <v>313331.27</v>
      </c>
      <c r="Q276" s="4"/>
      <c r="R276" s="12">
        <f>IF(P$12=0,0,P276/P$12)</f>
        <v>0.20792946032433579</v>
      </c>
      <c r="S276" s="4"/>
      <c r="T276" s="4">
        <v>399883</v>
      </c>
      <c r="U276" s="4"/>
      <c r="V276" s="12">
        <f>IF(T$12=0,0,T276/T$12)</f>
        <v>0.24370707208818684</v>
      </c>
      <c r="W276" s="4"/>
      <c r="X276" s="4">
        <f>+P276-T276</f>
        <v>-86551.729999999981</v>
      </c>
      <c r="Y276" s="4"/>
      <c r="Z276" s="12">
        <f>IF(T276=0,0,X276/T276)</f>
        <v>-0.2164426344705826</v>
      </c>
    </row>
    <row r="277" spans="1:26" x14ac:dyDescent="0.25">
      <c r="A277" s="9"/>
      <c r="B277" s="10"/>
      <c r="C277" s="10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O277" s="10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s="23" customFormat="1" ht="15.75" thickBot="1" x14ac:dyDescent="0.3">
      <c r="A278" s="10"/>
      <c r="B278" s="26" t="s">
        <v>4</v>
      </c>
      <c r="C278" s="26"/>
      <c r="D278" s="32">
        <f>+D274-D276</f>
        <v>-785947.29000000027</v>
      </c>
      <c r="E278" s="13"/>
      <c r="F278" s="31">
        <f>IF(D$12=0,0,D278/D$12)</f>
        <v>-0.52156171917687721</v>
      </c>
      <c r="G278" s="13"/>
      <c r="H278" s="32">
        <f>+H274-H276</f>
        <v>-818921.98971158091</v>
      </c>
      <c r="I278" s="13"/>
      <c r="J278" s="31">
        <f>IF(H$12=0,0,H278/H$12)</f>
        <v>-0.49908868439328918</v>
      </c>
      <c r="K278" s="15"/>
      <c r="L278" s="32">
        <f>D278-H278</f>
        <v>32974.699711580644</v>
      </c>
      <c r="M278" s="15"/>
      <c r="N278" s="31">
        <f>IF(H278=0,0,L278/H278)</f>
        <v>-4.0265983971433134E-2</v>
      </c>
      <c r="O278" s="25"/>
      <c r="P278" s="32">
        <f>+P274-P276</f>
        <v>-785947.29000000027</v>
      </c>
      <c r="Q278" s="13"/>
      <c r="R278" s="31">
        <f>IF(P$12=0,0,P278/P$12)</f>
        <v>-0.52156171917687721</v>
      </c>
      <c r="S278" s="13"/>
      <c r="T278" s="32">
        <f>+T274-T276</f>
        <v>-818921.98971158091</v>
      </c>
      <c r="U278" s="13"/>
      <c r="V278" s="31">
        <f>IF(T$12=0,0,T278/T$12)</f>
        <v>-0.49908868439328918</v>
      </c>
      <c r="W278" s="15"/>
      <c r="X278" s="32">
        <f>P278-T278</f>
        <v>32974.699711580644</v>
      </c>
      <c r="Y278" s="15"/>
      <c r="Z278" s="31">
        <f>IF(T278=0,0,X278/T278)</f>
        <v>-4.0265983971433134E-2</v>
      </c>
    </row>
    <row r="279" spans="1:26" ht="15.75" thickTop="1" x14ac:dyDescent="0.25">
      <c r="A279" s="9"/>
      <c r="B279" s="9"/>
      <c r="C279" s="9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3" customFormat="1" x14ac:dyDescent="0.25">
      <c r="A280" s="52"/>
      <c r="B280" s="10" t="s">
        <v>2</v>
      </c>
      <c r="C280" s="10"/>
      <c r="D280" s="4">
        <f>--29008.14</f>
        <v>29008.14</v>
      </c>
      <c r="E280" s="4"/>
      <c r="F280" s="12">
        <f t="shared" ref="F280:F281" si="148">IF(D$12=0,0,D280/D$12)</f>
        <v>1.9250063663332349E-2</v>
      </c>
      <c r="G280" s="4"/>
      <c r="H280" s="4">
        <f t="shared" ref="H280:H281" si="149">--25000</f>
        <v>25000</v>
      </c>
      <c r="I280" s="4"/>
      <c r="J280" s="12">
        <f t="shared" ref="J280:J281" si="150">IF(H$12=0,0,H280/H$12)</f>
        <v>1.5236148578971027E-2</v>
      </c>
      <c r="K280" s="4"/>
      <c r="L280" s="4">
        <f t="shared" ref="L280:L281" si="151">+D280-H280</f>
        <v>4008.1399999999994</v>
      </c>
      <c r="M280" s="4"/>
      <c r="N280" s="12">
        <f t="shared" ref="N280:N281" si="152">IF(H280=0,0,L280/H280)</f>
        <v>0.16032559999999998</v>
      </c>
      <c r="O280" s="10"/>
      <c r="P280" s="4">
        <f>--29008.14</f>
        <v>29008.14</v>
      </c>
      <c r="Q280" s="4"/>
      <c r="R280" s="12">
        <f t="shared" ref="R280:R281" si="153">IF(P$12=0,0,P280/P$12)</f>
        <v>1.9250063663332349E-2</v>
      </c>
      <c r="S280" s="4"/>
      <c r="T280" s="4">
        <f t="shared" ref="T280:T281" si="154">--25000</f>
        <v>25000</v>
      </c>
      <c r="U280" s="4"/>
      <c r="V280" s="12">
        <f t="shared" ref="V280:V281" si="155">IF(T$12=0,0,T280/T$12)</f>
        <v>1.5236148578971027E-2</v>
      </c>
      <c r="W280" s="4"/>
      <c r="X280" s="4">
        <f t="shared" ref="X280:X281" si="156">+P280-T280</f>
        <v>4008.1399999999994</v>
      </c>
      <c r="Y280" s="4"/>
      <c r="Z280" s="12">
        <f t="shared" ref="Z280:Z281" si="157">IF(T280=0,0,X280/T280)</f>
        <v>0.16032559999999998</v>
      </c>
    </row>
    <row r="281" spans="1:26" s="23" customFormat="1" x14ac:dyDescent="0.25">
      <c r="A281" s="52"/>
      <c r="B281" s="10" t="s">
        <v>1</v>
      </c>
      <c r="C281" s="10"/>
      <c r="D281" s="4">
        <f>--16534.29</f>
        <v>16534.29</v>
      </c>
      <c r="E281" s="4"/>
      <c r="F281" s="12">
        <f t="shared" si="148"/>
        <v>1.0972304157660555E-2</v>
      </c>
      <c r="G281" s="4"/>
      <c r="H281" s="4">
        <f t="shared" si="149"/>
        <v>25000</v>
      </c>
      <c r="I281" s="4"/>
      <c r="J281" s="12">
        <f t="shared" si="150"/>
        <v>1.5236148578971027E-2</v>
      </c>
      <c r="K281" s="4"/>
      <c r="L281" s="4">
        <f t="shared" si="151"/>
        <v>-8465.7099999999991</v>
      </c>
      <c r="M281" s="4"/>
      <c r="N281" s="12">
        <f t="shared" si="152"/>
        <v>-0.33862839999999994</v>
      </c>
      <c r="O281" s="10"/>
      <c r="P281" s="4">
        <f>--16534.29</f>
        <v>16534.29</v>
      </c>
      <c r="Q281" s="4"/>
      <c r="R281" s="12">
        <f t="shared" si="153"/>
        <v>1.0972304157660555E-2</v>
      </c>
      <c r="S281" s="4"/>
      <c r="T281" s="4">
        <f t="shared" si="154"/>
        <v>25000</v>
      </c>
      <c r="U281" s="4"/>
      <c r="V281" s="12">
        <f t="shared" si="155"/>
        <v>1.5236148578971027E-2</v>
      </c>
      <c r="W281" s="4"/>
      <c r="X281" s="4">
        <f t="shared" si="156"/>
        <v>-8465.7099999999991</v>
      </c>
      <c r="Y281" s="4"/>
      <c r="Z281" s="12">
        <f t="shared" si="157"/>
        <v>-0.33862839999999994</v>
      </c>
    </row>
    <row r="282" spans="1:26" x14ac:dyDescent="0.25">
      <c r="A282" s="9"/>
      <c r="B282" s="9"/>
      <c r="C282" s="9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3" customFormat="1" ht="15.75" thickBot="1" x14ac:dyDescent="0.3">
      <c r="A283" s="10"/>
      <c r="B283" s="26" t="s">
        <v>5</v>
      </c>
      <c r="C283" s="26"/>
      <c r="D283" s="33">
        <f>SUM(D278:D282)</f>
        <v>-740404.86000000022</v>
      </c>
      <c r="E283" s="13"/>
      <c r="F283" s="34">
        <f>IF(D$12=0,0,D283/D$12)</f>
        <v>-0.49133935135588425</v>
      </c>
      <c r="G283" s="13"/>
      <c r="H283" s="33">
        <f>SUM(H278:H282)</f>
        <v>-768921.98971158091</v>
      </c>
      <c r="I283" s="13"/>
      <c r="J283" s="34">
        <f>IF(H$12=0,0,H283/H$12)</f>
        <v>-0.4686163872353471</v>
      </c>
      <c r="K283" s="15"/>
      <c r="L283" s="33">
        <f>+D283-H283</f>
        <v>28517.129711580696</v>
      </c>
      <c r="M283" s="15"/>
      <c r="N283" s="34">
        <f>IF(H283=0,0,L283/H283)</f>
        <v>-3.7087155905474026E-2</v>
      </c>
      <c r="O283" s="25"/>
      <c r="P283" s="33">
        <f>SUM(P278:P282)</f>
        <v>-740404.86000000022</v>
      </c>
      <c r="Q283" s="13"/>
      <c r="R283" s="34">
        <f>IF(P$12=0,0,P283/P$12)</f>
        <v>-0.49133935135588425</v>
      </c>
      <c r="S283" s="13"/>
      <c r="T283" s="33">
        <f>SUM(T278:T282)</f>
        <v>-768921.98971158091</v>
      </c>
      <c r="U283" s="13"/>
      <c r="V283" s="34">
        <f>IF(T$12=0,0,T283/T$12)</f>
        <v>-0.4686163872353471</v>
      </c>
      <c r="W283" s="15"/>
      <c r="X283" s="33">
        <f>+P283-T283</f>
        <v>28517.129711580696</v>
      </c>
      <c r="Y283" s="15"/>
      <c r="Z283" s="34">
        <f>IF(T283=0,0,X283/T283)</f>
        <v>-3.7087155905474026E-2</v>
      </c>
    </row>
    <row r="284" spans="1:26" ht="15.75" thickTop="1" x14ac:dyDescent="0.25">
      <c r="A284" s="9"/>
      <c r="C284" s="9"/>
      <c r="D284" s="17"/>
      <c r="E284" s="17"/>
      <c r="G284" s="17"/>
      <c r="H284" s="17"/>
      <c r="I284" s="17"/>
      <c r="J284" s="42"/>
      <c r="K284" s="17"/>
      <c r="L284" s="17"/>
      <c r="M284" s="17"/>
      <c r="P284" s="17"/>
      <c r="Q284" s="17"/>
      <c r="R284" s="42"/>
      <c r="S284" s="17"/>
      <c r="T284" s="17"/>
      <c r="U284" s="17"/>
      <c r="V284" s="42"/>
      <c r="W284" s="17"/>
      <c r="X284" s="17"/>
    </row>
    <row r="285" spans="1:26" x14ac:dyDescent="0.25">
      <c r="A285" s="9"/>
      <c r="B285" s="61">
        <v>43726.678071527778</v>
      </c>
      <c r="D285" s="17"/>
      <c r="E285" s="17"/>
      <c r="G285" s="17"/>
      <c r="H285" s="17"/>
      <c r="I285" s="17"/>
      <c r="J285" s="42"/>
      <c r="K285" s="17"/>
      <c r="L285" s="17"/>
      <c r="M285" s="17"/>
      <c r="P285" s="17"/>
      <c r="Q285" s="17"/>
      <c r="R285" s="42"/>
      <c r="S285" s="17"/>
      <c r="T285" s="17"/>
      <c r="U285" s="17"/>
      <c r="V285" s="42"/>
      <c r="W285" s="17"/>
      <c r="X285" s="17"/>
    </row>
    <row r="286" spans="1:26" x14ac:dyDescent="0.25">
      <c r="A286" s="9"/>
      <c r="B286" s="56" t="s">
        <v>314</v>
      </c>
      <c r="D286" s="17"/>
      <c r="E286" s="17"/>
      <c r="G286" s="17"/>
      <c r="H286" s="17"/>
      <c r="I286" s="17"/>
      <c r="J286" s="42"/>
      <c r="K286" s="17"/>
      <c r="L286" s="17"/>
      <c r="M286" s="17"/>
      <c r="P286" s="17"/>
      <c r="Q286" s="17"/>
      <c r="R286" s="42"/>
      <c r="S286" s="17"/>
      <c r="T286" s="17"/>
      <c r="U286" s="17"/>
      <c r="V286" s="42"/>
      <c r="W286" s="17"/>
      <c r="X286" s="17"/>
    </row>
    <row r="287" spans="1:26" x14ac:dyDescent="0.25">
      <c r="A287" s="9"/>
      <c r="B287" s="53"/>
      <c r="D287" s="17"/>
      <c r="E287" s="17"/>
      <c r="G287" s="17"/>
      <c r="H287" s="17"/>
      <c r="I287" s="17"/>
      <c r="J287" s="42"/>
      <c r="K287" s="17"/>
      <c r="L287" s="17"/>
      <c r="M287" s="17"/>
      <c r="P287" s="17"/>
      <c r="Q287" s="17"/>
      <c r="R287" s="42"/>
      <c r="S287" s="17"/>
      <c r="T287" s="17"/>
      <c r="U287" s="17"/>
      <c r="V287" s="42"/>
      <c r="W287" s="17"/>
      <c r="X287" s="17"/>
    </row>
    <row r="288" spans="1:26" x14ac:dyDescent="0.25">
      <c r="D288" s="17"/>
      <c r="E288" s="17"/>
      <c r="G288" s="17"/>
      <c r="H288" s="17"/>
      <c r="I288" s="17"/>
      <c r="J288" s="42"/>
      <c r="K288" s="17"/>
      <c r="L288" s="17"/>
      <c r="M288" s="17"/>
      <c r="P288" s="17"/>
      <c r="Q288" s="17"/>
      <c r="R288" s="42"/>
      <c r="S288" s="17"/>
      <c r="T288" s="17"/>
      <c r="U288" s="17"/>
      <c r="V288" s="42"/>
      <c r="W288" s="17"/>
      <c r="X288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298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298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299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7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1">
        <f>+D16-D18+D20</f>
        <v>0</v>
      </c>
      <c r="E22" s="13"/>
      <c r="F22" s="19">
        <f>IF(D$12=0,0,D22/D$12)</f>
        <v>0</v>
      </c>
      <c r="G22" s="13"/>
      <c r="H22" s="21">
        <f>+H16-H18+H20</f>
        <v>0</v>
      </c>
      <c r="I22" s="13"/>
      <c r="J22" s="19">
        <f>IF(H$12=0,0,H22/H$12)</f>
        <v>0</v>
      </c>
      <c r="K22" s="15"/>
      <c r="L22" s="21">
        <f>+D22-H22</f>
        <v>0</v>
      </c>
      <c r="M22" s="15"/>
      <c r="N22" s="19">
        <f>IF(H22=0,0,L22/H22)</f>
        <v>0</v>
      </c>
      <c r="O22" s="25"/>
      <c r="P22" s="21">
        <f>+P16-P18+P20</f>
        <v>0</v>
      </c>
      <c r="Q22" s="13"/>
      <c r="R22" s="19">
        <f>IF(P$12=0,0,P22/P$12)</f>
        <v>0</v>
      </c>
      <c r="S22" s="13"/>
      <c r="T22" s="21">
        <f>+T16-T18+T20</f>
        <v>0</v>
      </c>
      <c r="U22" s="13"/>
      <c r="V22" s="19">
        <f>IF(T$12=0,0,T22/T$12)</f>
        <v>0</v>
      </c>
      <c r="W22" s="15"/>
      <c r="X22" s="21">
        <f>+P22-T22</f>
        <v>0</v>
      </c>
      <c r="Y22" s="15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2">
        <f>+D22-D24</f>
        <v>0</v>
      </c>
      <c r="E26" s="13"/>
      <c r="F26" s="31">
        <f>IF(D$12=0,0,D26/D$12)</f>
        <v>0</v>
      </c>
      <c r="G26" s="13"/>
      <c r="H26" s="32">
        <f>+H22-H24</f>
        <v>0</v>
      </c>
      <c r="I26" s="13"/>
      <c r="J26" s="31">
        <f>IF(H$12=0,0,H26/H$12)</f>
        <v>0</v>
      </c>
      <c r="K26" s="15"/>
      <c r="L26" s="32">
        <f>D26-H26</f>
        <v>0</v>
      </c>
      <c r="M26" s="15"/>
      <c r="N26" s="31">
        <f>IF(H26=0,0,L26/H26)</f>
        <v>0</v>
      </c>
      <c r="O26" s="25"/>
      <c r="P26" s="32">
        <f>+P22-P24</f>
        <v>0</v>
      </c>
      <c r="Q26" s="13"/>
      <c r="R26" s="31">
        <f>IF(P$12=0,0,P26/P$12)</f>
        <v>0</v>
      </c>
      <c r="S26" s="13"/>
      <c r="T26" s="32">
        <f>+T22-T24</f>
        <v>0</v>
      </c>
      <c r="U26" s="13"/>
      <c r="V26" s="31">
        <f>IF(T$12=0,0,T26/T$12)</f>
        <v>0</v>
      </c>
      <c r="W26" s="15"/>
      <c r="X26" s="32">
        <f>P26-T26</f>
        <v>0</v>
      </c>
      <c r="Y26" s="15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--29008.14</f>
        <v>29008.14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4008.1399999999994</v>
      </c>
      <c r="M28" s="4"/>
      <c r="N28" s="12">
        <f t="shared" ref="N28:N29" si="4">IF(H28=0,0,L28/H28)</f>
        <v>0.16032559999999998</v>
      </c>
      <c r="O28" s="10"/>
      <c r="P28" s="4">
        <f>--29008.14</f>
        <v>29008.14</v>
      </c>
      <c r="Q28" s="4"/>
      <c r="R28" s="12">
        <f t="shared" ref="R28:R29" si="5">IF(P$12=0,0,P28/P$12)</f>
        <v>0</v>
      </c>
      <c r="S28" s="4"/>
      <c r="T28" s="4">
        <f t="shared" ref="T28:T29" si="6">--25000</f>
        <v>25000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4008.1399999999994</v>
      </c>
      <c r="Y28" s="4"/>
      <c r="Z28" s="12">
        <f t="shared" ref="Z28:Z29" si="9">IF(T28=0,0,X28/T28)</f>
        <v>0.16032559999999998</v>
      </c>
    </row>
    <row r="29" spans="1:26" s="23" customFormat="1" x14ac:dyDescent="0.25">
      <c r="A29" s="52"/>
      <c r="B29" s="10" t="s">
        <v>1</v>
      </c>
      <c r="C29" s="10"/>
      <c r="D29" s="4">
        <f>--16534.29</f>
        <v>16534.29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-8465.7099999999991</v>
      </c>
      <c r="M29" s="4"/>
      <c r="N29" s="12">
        <f t="shared" si="4"/>
        <v>-0.33862839999999994</v>
      </c>
      <c r="O29" s="10"/>
      <c r="P29" s="4">
        <f>--16534.29</f>
        <v>16534.29</v>
      </c>
      <c r="Q29" s="4"/>
      <c r="R29" s="12">
        <f t="shared" si="5"/>
        <v>0</v>
      </c>
      <c r="S29" s="4"/>
      <c r="T29" s="4">
        <f t="shared" si="6"/>
        <v>25000</v>
      </c>
      <c r="U29" s="4"/>
      <c r="V29" s="12">
        <f t="shared" si="7"/>
        <v>0</v>
      </c>
      <c r="W29" s="4"/>
      <c r="X29" s="4">
        <f t="shared" si="8"/>
        <v>-8465.7099999999991</v>
      </c>
      <c r="Y29" s="4"/>
      <c r="Z29" s="12">
        <f t="shared" si="9"/>
        <v>-0.33862839999999994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3">
        <f>SUM(D26:D30)</f>
        <v>45542.43</v>
      </c>
      <c r="E31" s="13"/>
      <c r="F31" s="34">
        <f>IF(D$12=0,0,D31/D$12)</f>
        <v>0</v>
      </c>
      <c r="G31" s="13"/>
      <c r="H31" s="33">
        <f>SUM(H26:H30)</f>
        <v>50000</v>
      </c>
      <c r="I31" s="13"/>
      <c r="J31" s="34">
        <f>IF(H$12=0,0,H31/H$12)</f>
        <v>0</v>
      </c>
      <c r="K31" s="15"/>
      <c r="L31" s="33">
        <f>+D31-H31</f>
        <v>-4457.57</v>
      </c>
      <c r="M31" s="15"/>
      <c r="N31" s="34">
        <f>IF(H31=0,0,L31/H31)</f>
        <v>-8.9151399999999992E-2</v>
      </c>
      <c r="O31" s="25"/>
      <c r="P31" s="33">
        <f>SUM(P26:P30)</f>
        <v>45542.43</v>
      </c>
      <c r="Q31" s="13"/>
      <c r="R31" s="34">
        <f>IF(P$12=0,0,P31/P$12)</f>
        <v>0</v>
      </c>
      <c r="S31" s="13"/>
      <c r="T31" s="33">
        <f>SUM(T26:T30)</f>
        <v>50000</v>
      </c>
      <c r="U31" s="13"/>
      <c r="V31" s="34">
        <f>IF(T$12=0,0,T31/T$12)</f>
        <v>0</v>
      </c>
      <c r="W31" s="15"/>
      <c r="X31" s="33">
        <f>+P31-T31</f>
        <v>-4457.57</v>
      </c>
      <c r="Y31" s="15"/>
      <c r="Z31" s="34">
        <f>IF(T31=0,0,X31/T31)</f>
        <v>-8.9151399999999992E-2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1">
        <v>43726.678084571759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6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3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","100", " - ", "Corporate")</f>
        <v>Department 100 - Corporate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7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1">
        <f>+D16-D18+D20</f>
        <v>0</v>
      </c>
      <c r="E22" s="13"/>
      <c r="F22" s="19">
        <f>IF(D$12=0,0,D22/D$12)</f>
        <v>0</v>
      </c>
      <c r="G22" s="13"/>
      <c r="H22" s="21">
        <f>+H16-H18+H20</f>
        <v>0</v>
      </c>
      <c r="I22" s="13"/>
      <c r="J22" s="19">
        <f>IF(H$12=0,0,H22/H$12)</f>
        <v>0</v>
      </c>
      <c r="K22" s="15"/>
      <c r="L22" s="21">
        <f>+D22-H22</f>
        <v>0</v>
      </c>
      <c r="M22" s="15"/>
      <c r="N22" s="19">
        <f>IF(H22=0,0,L22/H22)</f>
        <v>0</v>
      </c>
      <c r="O22" s="25"/>
      <c r="P22" s="21">
        <f>+P16-P18+P20</f>
        <v>0</v>
      </c>
      <c r="Q22" s="13"/>
      <c r="R22" s="19">
        <f>IF(P$12=0,0,P22/P$12)</f>
        <v>0</v>
      </c>
      <c r="S22" s="13"/>
      <c r="T22" s="21">
        <f>+T16-T18+T20</f>
        <v>0</v>
      </c>
      <c r="U22" s="13"/>
      <c r="V22" s="19">
        <f>IF(T$12=0,0,T22/T$12)</f>
        <v>0</v>
      </c>
      <c r="W22" s="15"/>
      <c r="X22" s="21">
        <f>+P22-T22</f>
        <v>0</v>
      </c>
      <c r="Y22" s="15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2">
        <f>+D22-D24</f>
        <v>0</v>
      </c>
      <c r="E26" s="13"/>
      <c r="F26" s="31">
        <f>IF(D$12=0,0,D26/D$12)</f>
        <v>0</v>
      </c>
      <c r="G26" s="13"/>
      <c r="H26" s="32">
        <f>+H22-H24</f>
        <v>0</v>
      </c>
      <c r="I26" s="13"/>
      <c r="J26" s="31">
        <f>IF(H$12=0,0,H26/H$12)</f>
        <v>0</v>
      </c>
      <c r="K26" s="15"/>
      <c r="L26" s="32">
        <f>D26-H26</f>
        <v>0</v>
      </c>
      <c r="M26" s="15"/>
      <c r="N26" s="31">
        <f>IF(H26=0,0,L26/H26)</f>
        <v>0</v>
      </c>
      <c r="O26" s="25"/>
      <c r="P26" s="32">
        <f>+P22-P24</f>
        <v>0</v>
      </c>
      <c r="Q26" s="13"/>
      <c r="R26" s="31">
        <f>IF(P$12=0,0,P26/P$12)</f>
        <v>0</v>
      </c>
      <c r="S26" s="13"/>
      <c r="T26" s="32">
        <f>+T22-T24</f>
        <v>0</v>
      </c>
      <c r="U26" s="13"/>
      <c r="V26" s="31">
        <f>IF(T$12=0,0,T26/T$12)</f>
        <v>0</v>
      </c>
      <c r="W26" s="15"/>
      <c r="X26" s="32">
        <f>P26-T26</f>
        <v>0</v>
      </c>
      <c r="Y26" s="15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--29008.14</f>
        <v>29008.14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4008.1399999999994</v>
      </c>
      <c r="M28" s="4"/>
      <c r="N28" s="12">
        <f t="shared" ref="N28:N29" si="4">IF(H28=0,0,L28/H28)</f>
        <v>0.16032559999999998</v>
      </c>
      <c r="O28" s="10"/>
      <c r="P28" s="4">
        <f>--29008.14</f>
        <v>29008.14</v>
      </c>
      <c r="Q28" s="4"/>
      <c r="R28" s="12">
        <f t="shared" ref="R28:R29" si="5">IF(P$12=0,0,P28/P$12)</f>
        <v>0</v>
      </c>
      <c r="S28" s="4"/>
      <c r="T28" s="4">
        <f t="shared" ref="T28:T29" si="6">--25000</f>
        <v>25000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4008.1399999999994</v>
      </c>
      <c r="Y28" s="4"/>
      <c r="Z28" s="12">
        <f t="shared" ref="Z28:Z29" si="9">IF(T28=0,0,X28/T28)</f>
        <v>0.16032559999999998</v>
      </c>
    </row>
    <row r="29" spans="1:26" s="23" customFormat="1" x14ac:dyDescent="0.25">
      <c r="A29" s="52"/>
      <c r="B29" s="10" t="s">
        <v>1</v>
      </c>
      <c r="C29" s="10"/>
      <c r="D29" s="4">
        <f>--16534.29</f>
        <v>16534.29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-8465.7099999999991</v>
      </c>
      <c r="M29" s="4"/>
      <c r="N29" s="12">
        <f t="shared" si="4"/>
        <v>-0.33862839999999994</v>
      </c>
      <c r="O29" s="10"/>
      <c r="P29" s="4">
        <f>--16534.29</f>
        <v>16534.29</v>
      </c>
      <c r="Q29" s="4"/>
      <c r="R29" s="12">
        <f t="shared" si="5"/>
        <v>0</v>
      </c>
      <c r="S29" s="4"/>
      <c r="T29" s="4">
        <f t="shared" si="6"/>
        <v>25000</v>
      </c>
      <c r="U29" s="4"/>
      <c r="V29" s="12">
        <f t="shared" si="7"/>
        <v>0</v>
      </c>
      <c r="W29" s="4"/>
      <c r="X29" s="4">
        <f t="shared" si="8"/>
        <v>-8465.7099999999991</v>
      </c>
      <c r="Y29" s="4"/>
      <c r="Z29" s="12">
        <f t="shared" si="9"/>
        <v>-0.33862839999999994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3">
        <f>SUM(D26:D30)</f>
        <v>45542.43</v>
      </c>
      <c r="E31" s="13"/>
      <c r="F31" s="34">
        <f>IF(D$12=0,0,D31/D$12)</f>
        <v>0</v>
      </c>
      <c r="G31" s="13"/>
      <c r="H31" s="33">
        <f>SUM(H26:H30)</f>
        <v>50000</v>
      </c>
      <c r="I31" s="13"/>
      <c r="J31" s="34">
        <f>IF(H$12=0,0,H31/H$12)</f>
        <v>0</v>
      </c>
      <c r="K31" s="15"/>
      <c r="L31" s="33">
        <f>+D31-H31</f>
        <v>-4457.57</v>
      </c>
      <c r="M31" s="15"/>
      <c r="N31" s="34">
        <f>IF(H31=0,0,L31/H31)</f>
        <v>-8.9151399999999992E-2</v>
      </c>
      <c r="O31" s="25"/>
      <c r="P31" s="33">
        <f>SUM(P26:P30)</f>
        <v>45542.43</v>
      </c>
      <c r="Q31" s="13"/>
      <c r="R31" s="34">
        <f>IF(P$12=0,0,P31/P$12)</f>
        <v>0</v>
      </c>
      <c r="S31" s="13"/>
      <c r="T31" s="33">
        <f>SUM(T26:T30)</f>
        <v>50000</v>
      </c>
      <c r="U31" s="13"/>
      <c r="V31" s="34">
        <f>IF(T$12=0,0,T31/T$12)</f>
        <v>0</v>
      </c>
      <c r="W31" s="15"/>
      <c r="X31" s="33">
        <f>+P31-T31</f>
        <v>-4457.57</v>
      </c>
      <c r="Y31" s="15"/>
      <c r="Z31" s="34">
        <f>IF(T31=0,0,X31/T31)</f>
        <v>-8.9151399999999992E-2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1">
        <v>43726.678389085646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56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3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297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313331.27</v>
      </c>
      <c r="E18" s="20"/>
      <c r="F18" s="30">
        <f t="shared" ref="F18:F30" si="0">IF(D$12=0,0,D18/D$12)</f>
        <v>0</v>
      </c>
      <c r="G18" s="20"/>
      <c r="H18" s="20">
        <f>SUM(OSRRefH22x_0)</f>
        <v>399882.24011977576</v>
      </c>
      <c r="I18" s="20"/>
      <c r="J18" s="30">
        <f t="shared" ref="J18:J30" si="1">IF(H$12=0,0,H18/H$12)</f>
        <v>0</v>
      </c>
      <c r="K18" s="4"/>
      <c r="L18" s="20">
        <f t="shared" ref="L18:L30" si="2">+D18-H18</f>
        <v>-86550.970119775739</v>
      </c>
      <c r="M18" s="4"/>
      <c r="N18" s="30">
        <f t="shared" ref="N18:N30" si="3">IF(H18=0,0,L18/H18)</f>
        <v>-0.21644114550786586</v>
      </c>
      <c r="O18" s="10"/>
      <c r="P18" s="20">
        <f>SUM(OSRRefP22x_0)</f>
        <v>313331.27</v>
      </c>
      <c r="Q18" s="20"/>
      <c r="R18" s="30">
        <f t="shared" ref="R18:R30" si="4">IF(P$12=0,0,P18/P$12)</f>
        <v>0</v>
      </c>
      <c r="S18" s="20"/>
      <c r="T18" s="20">
        <f>SUM(OSRRefT22x_0)</f>
        <v>399882.24011977576</v>
      </c>
      <c r="U18" s="20"/>
      <c r="V18" s="30">
        <f t="shared" ref="V18:V30" si="5">IF(T$12=0,0,T18/T$12)</f>
        <v>0</v>
      </c>
      <c r="W18" s="4"/>
      <c r="X18" s="20">
        <f t="shared" ref="X18:X30" si="6">+P18-T18</f>
        <v>-86550.970119775739</v>
      </c>
      <c r="Y18" s="4"/>
      <c r="Z18" s="30">
        <f t="shared" ref="Z18:Z30" si="7">IF(T18=0,0,X18/T18)</f>
        <v>-0.21644114550786586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102861.30000000002</v>
      </c>
      <c r="E19" s="1"/>
      <c r="F19" s="5">
        <f t="shared" si="0"/>
        <v>0</v>
      </c>
      <c r="G19" s="1"/>
      <c r="H19" s="1">
        <f>SUM(OSRRefH22_0x_0)</f>
        <v>107544.88467362196</v>
      </c>
      <c r="I19" s="1"/>
      <c r="J19" s="5">
        <f t="shared" si="1"/>
        <v>0</v>
      </c>
      <c r="K19" s="1"/>
      <c r="L19" s="1">
        <f t="shared" si="2"/>
        <v>-4683.5846736219391</v>
      </c>
      <c r="M19" s="1"/>
      <c r="N19" s="5">
        <f t="shared" si="3"/>
        <v>-4.3550045990896895E-2</v>
      </c>
      <c r="O19" s="14"/>
      <c r="P19" s="1">
        <f>SUM(OSRRefP22_0x_0)</f>
        <v>102861.30000000002</v>
      </c>
      <c r="Q19" s="1"/>
      <c r="R19" s="5">
        <f t="shared" si="4"/>
        <v>0</v>
      </c>
      <c r="S19" s="1"/>
      <c r="T19" s="1">
        <f>SUM(OSRRefT22_0x_0)</f>
        <v>107544.88467362196</v>
      </c>
      <c r="U19" s="1"/>
      <c r="V19" s="5">
        <f t="shared" si="5"/>
        <v>0</v>
      </c>
      <c r="W19" s="1"/>
      <c r="X19" s="1">
        <f t="shared" si="6"/>
        <v>-4683.5846736219391</v>
      </c>
      <c r="Y19" s="1"/>
      <c r="Z19" s="5">
        <f t="shared" si="7"/>
        <v>-4.3550045990896895E-2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9536.74</v>
      </c>
      <c r="E20" s="2"/>
      <c r="F20" s="6">
        <f t="shared" si="0"/>
        <v>0</v>
      </c>
      <c r="G20" s="2"/>
      <c r="H20" s="7">
        <v>12078.000183506547</v>
      </c>
      <c r="I20" s="2"/>
      <c r="J20" s="6">
        <f t="shared" si="1"/>
        <v>0</v>
      </c>
      <c r="K20" s="2"/>
      <c r="L20" s="7">
        <f t="shared" si="2"/>
        <v>-2541.260183506547</v>
      </c>
      <c r="M20" s="2"/>
      <c r="N20" s="6">
        <f t="shared" si="3"/>
        <v>-0.21040405240073073</v>
      </c>
      <c r="O20" s="11"/>
      <c r="P20" s="7">
        <v>9536.74</v>
      </c>
      <c r="Q20" s="2"/>
      <c r="R20" s="6">
        <f t="shared" si="4"/>
        <v>0</v>
      </c>
      <c r="S20" s="2"/>
      <c r="T20" s="7">
        <v>12078.000183506547</v>
      </c>
      <c r="U20" s="2"/>
      <c r="V20" s="6">
        <f t="shared" si="5"/>
        <v>0</v>
      </c>
      <c r="W20" s="2"/>
      <c r="X20" s="7">
        <f t="shared" si="6"/>
        <v>-2541.260183506547</v>
      </c>
      <c r="Y20" s="2"/>
      <c r="Z20" s="6">
        <f t="shared" si="7"/>
        <v>-0.21040405240073073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680.76</v>
      </c>
      <c r="E21" s="2"/>
      <c r="F21" s="6">
        <f t="shared" si="0"/>
        <v>0</v>
      </c>
      <c r="G21" s="2"/>
      <c r="H21" s="7">
        <v>924.52046298461596</v>
      </c>
      <c r="I21" s="2"/>
      <c r="J21" s="6">
        <f t="shared" si="1"/>
        <v>0</v>
      </c>
      <c r="K21" s="2"/>
      <c r="L21" s="7">
        <f t="shared" si="2"/>
        <v>-243.76046298461597</v>
      </c>
      <c r="M21" s="2"/>
      <c r="N21" s="6">
        <f t="shared" si="3"/>
        <v>-0.26366151182602016</v>
      </c>
      <c r="O21" s="11"/>
      <c r="P21" s="7">
        <v>680.76</v>
      </c>
      <c r="Q21" s="2"/>
      <c r="R21" s="6">
        <f t="shared" si="4"/>
        <v>0</v>
      </c>
      <c r="S21" s="2"/>
      <c r="T21" s="7">
        <v>924.52046298461596</v>
      </c>
      <c r="U21" s="2"/>
      <c r="V21" s="6">
        <f t="shared" si="5"/>
        <v>0</v>
      </c>
      <c r="W21" s="2"/>
      <c r="X21" s="7">
        <f t="shared" si="6"/>
        <v>-243.76046298461597</v>
      </c>
      <c r="Y21" s="2"/>
      <c r="Z21" s="6">
        <f t="shared" si="7"/>
        <v>-0.26366151182602016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22703.31</v>
      </c>
      <c r="E22" s="2"/>
      <c r="F22" s="6">
        <f t="shared" si="0"/>
        <v>0</v>
      </c>
      <c r="G22" s="2"/>
      <c r="H22" s="7">
        <v>28552.23076923077</v>
      </c>
      <c r="I22" s="2"/>
      <c r="J22" s="6">
        <f t="shared" si="1"/>
        <v>0</v>
      </c>
      <c r="K22" s="2"/>
      <c r="L22" s="7">
        <f t="shared" si="2"/>
        <v>-5848.9207692307682</v>
      </c>
      <c r="M22" s="2"/>
      <c r="N22" s="6">
        <f t="shared" si="3"/>
        <v>-0.20484987027822152</v>
      </c>
      <c r="O22" s="11"/>
      <c r="P22" s="7">
        <v>22703.31</v>
      </c>
      <c r="Q22" s="2"/>
      <c r="R22" s="6">
        <f t="shared" si="4"/>
        <v>0</v>
      </c>
      <c r="S22" s="2"/>
      <c r="T22" s="7">
        <v>28552.23076923077</v>
      </c>
      <c r="U22" s="2"/>
      <c r="V22" s="6">
        <f t="shared" si="5"/>
        <v>0</v>
      </c>
      <c r="W22" s="2"/>
      <c r="X22" s="7">
        <f t="shared" si="6"/>
        <v>-5848.9207692307682</v>
      </c>
      <c r="Y22" s="2"/>
      <c r="Z22" s="6">
        <f t="shared" si="7"/>
        <v>-0.20484987027822152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317.29000000000002</v>
      </c>
      <c r="E23" s="2"/>
      <c r="F23" s="6">
        <f t="shared" si="0"/>
        <v>0</v>
      </c>
      <c r="G23" s="2"/>
      <c r="H23" s="7">
        <v>448.85870890000001</v>
      </c>
      <c r="I23" s="2"/>
      <c r="J23" s="6">
        <f t="shared" si="1"/>
        <v>0</v>
      </c>
      <c r="K23" s="2"/>
      <c r="L23" s="7">
        <f t="shared" si="2"/>
        <v>-131.56870889999999</v>
      </c>
      <c r="M23" s="2"/>
      <c r="N23" s="6">
        <f t="shared" si="3"/>
        <v>-0.29311831605636024</v>
      </c>
      <c r="O23" s="11"/>
      <c r="P23" s="7">
        <v>317.29000000000002</v>
      </c>
      <c r="Q23" s="2"/>
      <c r="R23" s="6">
        <f t="shared" si="4"/>
        <v>0</v>
      </c>
      <c r="S23" s="2"/>
      <c r="T23" s="7">
        <v>448.85870890000001</v>
      </c>
      <c r="U23" s="2"/>
      <c r="V23" s="6">
        <f t="shared" si="5"/>
        <v>0</v>
      </c>
      <c r="W23" s="2"/>
      <c r="X23" s="7">
        <f t="shared" si="6"/>
        <v>-131.56870889999999</v>
      </c>
      <c r="Y23" s="2"/>
      <c r="Z23" s="6">
        <f t="shared" si="7"/>
        <v>-0.29311831605636024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8066.48</v>
      </c>
      <c r="E24" s="2"/>
      <c r="F24" s="6">
        <f t="shared" si="0"/>
        <v>0</v>
      </c>
      <c r="G24" s="2"/>
      <c r="H24" s="7">
        <v>10121.390306692316</v>
      </c>
      <c r="I24" s="2"/>
      <c r="J24" s="6">
        <f t="shared" si="1"/>
        <v>0</v>
      </c>
      <c r="K24" s="2"/>
      <c r="L24" s="7">
        <f t="shared" si="2"/>
        <v>-2054.9103066923162</v>
      </c>
      <c r="M24" s="2"/>
      <c r="N24" s="6">
        <f t="shared" si="3"/>
        <v>-0.20302648592986269</v>
      </c>
      <c r="O24" s="11"/>
      <c r="P24" s="7">
        <v>8066.48</v>
      </c>
      <c r="Q24" s="2"/>
      <c r="R24" s="6">
        <f t="shared" si="4"/>
        <v>0</v>
      </c>
      <c r="S24" s="2"/>
      <c r="T24" s="7">
        <v>10121.390306692316</v>
      </c>
      <c r="U24" s="2"/>
      <c r="V24" s="6">
        <f t="shared" si="5"/>
        <v>0</v>
      </c>
      <c r="W24" s="2"/>
      <c r="X24" s="7">
        <f t="shared" si="6"/>
        <v>-2054.9103066923162</v>
      </c>
      <c r="Y24" s="2"/>
      <c r="Z24" s="6">
        <f t="shared" si="7"/>
        <v>-0.20302648592986269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500</v>
      </c>
      <c r="I25" s="2"/>
      <c r="J25" s="6">
        <f t="shared" si="1"/>
        <v>0</v>
      </c>
      <c r="K25" s="2"/>
      <c r="L25" s="7">
        <f t="shared" si="2"/>
        <v>-500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500</v>
      </c>
      <c r="U25" s="2"/>
      <c r="V25" s="6">
        <f t="shared" si="5"/>
        <v>0</v>
      </c>
      <c r="W25" s="2"/>
      <c r="X25" s="7">
        <f t="shared" si="6"/>
        <v>-500</v>
      </c>
      <c r="Y25" s="2"/>
      <c r="Z25" s="6">
        <f t="shared" si="7"/>
        <v>-1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632.32000000000005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632.32000000000005</v>
      </c>
      <c r="M26" s="2"/>
      <c r="N26" s="6">
        <f t="shared" si="3"/>
        <v>0</v>
      </c>
      <c r="O26" s="11"/>
      <c r="P26" s="7">
        <v>632.32000000000005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632.32000000000005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14722.95</v>
      </c>
      <c r="E27" s="2"/>
      <c r="F27" s="6">
        <f t="shared" si="0"/>
        <v>0</v>
      </c>
      <c r="G27" s="2"/>
      <c r="H27" s="7">
        <v>8570.1444980769284</v>
      </c>
      <c r="I27" s="2"/>
      <c r="J27" s="6">
        <f t="shared" si="1"/>
        <v>0</v>
      </c>
      <c r="K27" s="2"/>
      <c r="L27" s="7">
        <f t="shared" si="2"/>
        <v>6152.8055019230724</v>
      </c>
      <c r="M27" s="2"/>
      <c r="N27" s="6">
        <f t="shared" si="3"/>
        <v>0.71793486134378626</v>
      </c>
      <c r="O27" s="11"/>
      <c r="P27" s="7">
        <v>14722.95</v>
      </c>
      <c r="Q27" s="2"/>
      <c r="R27" s="6">
        <f t="shared" si="4"/>
        <v>0</v>
      </c>
      <c r="S27" s="2"/>
      <c r="T27" s="7">
        <v>8570.1444980769284</v>
      </c>
      <c r="U27" s="2"/>
      <c r="V27" s="6">
        <f t="shared" si="5"/>
        <v>0</v>
      </c>
      <c r="W27" s="2"/>
      <c r="X27" s="7">
        <f t="shared" si="6"/>
        <v>6152.8055019230724</v>
      </c>
      <c r="Y27" s="2"/>
      <c r="Z27" s="6">
        <f t="shared" si="7"/>
        <v>0.71793486134378626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15044.3</v>
      </c>
      <c r="E28" s="2"/>
      <c r="F28" s="6">
        <f t="shared" si="0"/>
        <v>0</v>
      </c>
      <c r="G28" s="2"/>
      <c r="H28" s="7">
        <v>5999.7397442307774</v>
      </c>
      <c r="I28" s="2"/>
      <c r="J28" s="6">
        <f t="shared" si="1"/>
        <v>0</v>
      </c>
      <c r="K28" s="2"/>
      <c r="L28" s="7">
        <f t="shared" si="2"/>
        <v>9044.5602557692218</v>
      </c>
      <c r="M28" s="2"/>
      <c r="N28" s="6">
        <f t="shared" si="3"/>
        <v>1.50749209821414</v>
      </c>
      <c r="O28" s="11"/>
      <c r="P28" s="7">
        <v>15044.3</v>
      </c>
      <c r="Q28" s="2"/>
      <c r="R28" s="6">
        <f t="shared" si="4"/>
        <v>0</v>
      </c>
      <c r="S28" s="2"/>
      <c r="T28" s="7">
        <v>5999.7397442307774</v>
      </c>
      <c r="U28" s="2"/>
      <c r="V28" s="6">
        <f t="shared" si="5"/>
        <v>0</v>
      </c>
      <c r="W28" s="2"/>
      <c r="X28" s="7">
        <f t="shared" si="6"/>
        <v>9044.5602557692218</v>
      </c>
      <c r="Y28" s="2"/>
      <c r="Z28" s="6">
        <f t="shared" si="7"/>
        <v>1.50749209821414</v>
      </c>
    </row>
    <row r="29" spans="1:26" s="24" customFormat="1" hidden="1" outlineLevel="2" x14ac:dyDescent="0.25">
      <c r="A29" s="29"/>
      <c r="B29" s="11" t="str">
        <f>CONCATENATE("          ", "6120", " - ", "RETIREES HEALTH INSURANCE")</f>
        <v xml:space="preserve">          6120 - RETIREES HEALTH INSURANCE</v>
      </c>
      <c r="C29" s="11"/>
      <c r="D29" s="7">
        <v>28870.880000000001</v>
      </c>
      <c r="E29" s="2"/>
      <c r="F29" s="6">
        <f t="shared" si="0"/>
        <v>0</v>
      </c>
      <c r="G29" s="2"/>
      <c r="H29" s="7">
        <v>39000</v>
      </c>
      <c r="I29" s="2"/>
      <c r="J29" s="6">
        <f t="shared" si="1"/>
        <v>0</v>
      </c>
      <c r="K29" s="2"/>
      <c r="L29" s="7">
        <f t="shared" si="2"/>
        <v>-10129.119999999999</v>
      </c>
      <c r="M29" s="2"/>
      <c r="N29" s="6">
        <f t="shared" si="3"/>
        <v>-0.25972102564102562</v>
      </c>
      <c r="O29" s="11"/>
      <c r="P29" s="7">
        <v>28870.880000000001</v>
      </c>
      <c r="Q29" s="2"/>
      <c r="R29" s="6">
        <f t="shared" si="4"/>
        <v>0</v>
      </c>
      <c r="S29" s="2"/>
      <c r="T29" s="7">
        <v>39000</v>
      </c>
      <c r="U29" s="2"/>
      <c r="V29" s="6">
        <f t="shared" si="5"/>
        <v>0</v>
      </c>
      <c r="W29" s="2"/>
      <c r="X29" s="7">
        <f t="shared" si="6"/>
        <v>-10129.119999999999</v>
      </c>
      <c r="Y29" s="2"/>
      <c r="Z29" s="6">
        <f t="shared" si="7"/>
        <v>-0.25972102564102562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7">
        <v>2286.27</v>
      </c>
      <c r="E30" s="2"/>
      <c r="F30" s="6">
        <f t="shared" si="0"/>
        <v>0</v>
      </c>
      <c r="G30" s="2"/>
      <c r="H30" s="7">
        <v>1350</v>
      </c>
      <c r="I30" s="2"/>
      <c r="J30" s="6">
        <f t="shared" si="1"/>
        <v>0</v>
      </c>
      <c r="K30" s="2"/>
      <c r="L30" s="7">
        <f t="shared" si="2"/>
        <v>936.27</v>
      </c>
      <c r="M30" s="2"/>
      <c r="N30" s="6">
        <f t="shared" si="3"/>
        <v>0.69353333333333333</v>
      </c>
      <c r="O30" s="11"/>
      <c r="P30" s="7">
        <v>2286.27</v>
      </c>
      <c r="Q30" s="2"/>
      <c r="R30" s="6">
        <f t="shared" si="4"/>
        <v>0</v>
      </c>
      <c r="S30" s="2"/>
      <c r="T30" s="7">
        <v>1350</v>
      </c>
      <c r="U30" s="2"/>
      <c r="V30" s="6">
        <f t="shared" si="5"/>
        <v>0</v>
      </c>
      <c r="W30" s="2"/>
      <c r="X30" s="7">
        <f t="shared" si="6"/>
        <v>936.27</v>
      </c>
      <c r="Y30" s="2"/>
      <c r="Z30" s="6">
        <f t="shared" si="7"/>
        <v>0.69353333333333333</v>
      </c>
    </row>
    <row r="31" spans="1:26" s="27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141355.81</v>
      </c>
      <c r="E31" s="1"/>
      <c r="F31" s="5">
        <f t="shared" ref="F31:F41" si="8">IF(D$12=0,0,D31/D$12)</f>
        <v>0</v>
      </c>
      <c r="G31" s="1"/>
      <c r="H31" s="1">
        <f>SUM(OSRRefH22_1x_0)</f>
        <v>159882.35544615382</v>
      </c>
      <c r="I31" s="1"/>
      <c r="J31" s="5">
        <f t="shared" ref="J31:J41" si="9">IF(H$12=0,0,H31/H$12)</f>
        <v>0</v>
      </c>
      <c r="K31" s="1"/>
      <c r="L31" s="1">
        <f t="shared" ref="L31:L41" si="10">+D31-H31</f>
        <v>-18526.545446153817</v>
      </c>
      <c r="M31" s="1"/>
      <c r="N31" s="5">
        <f t="shared" ref="N31:N41" si="11">IF(H31=0,0,L31/H31)</f>
        <v>-0.11587611024653251</v>
      </c>
      <c r="O31" s="14"/>
      <c r="P31" s="1">
        <f>SUM(OSRRefP22_1x_0)</f>
        <v>141355.81</v>
      </c>
      <c r="Q31" s="1"/>
      <c r="R31" s="5">
        <f t="shared" ref="R31:R41" si="12">IF(P$12=0,0,P31/P$12)</f>
        <v>0</v>
      </c>
      <c r="S31" s="1"/>
      <c r="T31" s="1">
        <f>SUM(OSRRefT22_1x_0)</f>
        <v>159882.35544615382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-18526.545446153817</v>
      </c>
      <c r="Y31" s="1"/>
      <c r="Z31" s="5">
        <f t="shared" ref="Z31:Z41" si="15">IF(T31=0,0,X31/T31)</f>
        <v>-0.11587611024653251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>
        <v>39603.08</v>
      </c>
      <c r="E32" s="2"/>
      <c r="F32" s="6">
        <f t="shared" si="8"/>
        <v>0</v>
      </c>
      <c r="G32" s="2"/>
      <c r="H32" s="7">
        <v>53370.193580769221</v>
      </c>
      <c r="I32" s="2"/>
      <c r="J32" s="6">
        <f t="shared" si="9"/>
        <v>0</v>
      </c>
      <c r="K32" s="2"/>
      <c r="L32" s="7">
        <f t="shared" si="10"/>
        <v>-13767.113580769219</v>
      </c>
      <c r="M32" s="2"/>
      <c r="N32" s="6">
        <f t="shared" si="11"/>
        <v>-0.25795509922470838</v>
      </c>
      <c r="O32" s="11"/>
      <c r="P32" s="7">
        <v>39603.08</v>
      </c>
      <c r="Q32" s="2"/>
      <c r="R32" s="6">
        <f t="shared" si="12"/>
        <v>0</v>
      </c>
      <c r="S32" s="2"/>
      <c r="T32" s="7">
        <v>53370.193580769221</v>
      </c>
      <c r="U32" s="2"/>
      <c r="V32" s="6">
        <f t="shared" si="13"/>
        <v>0</v>
      </c>
      <c r="W32" s="2"/>
      <c r="X32" s="7">
        <f t="shared" si="14"/>
        <v>-13767.113580769219</v>
      </c>
      <c r="Y32" s="2"/>
      <c r="Z32" s="6">
        <f t="shared" si="15"/>
        <v>-0.25795509922470838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51553.97</v>
      </c>
      <c r="E33" s="2"/>
      <c r="F33" s="6">
        <f t="shared" si="8"/>
        <v>0</v>
      </c>
      <c r="G33" s="2"/>
      <c r="H33" s="7">
        <v>55245.196865384591</v>
      </c>
      <c r="I33" s="2"/>
      <c r="J33" s="6">
        <f t="shared" si="9"/>
        <v>0</v>
      </c>
      <c r="K33" s="2"/>
      <c r="L33" s="7">
        <f t="shared" si="10"/>
        <v>-3691.2268653845895</v>
      </c>
      <c r="M33" s="2"/>
      <c r="N33" s="6">
        <f t="shared" si="11"/>
        <v>-6.6815344587855569E-2</v>
      </c>
      <c r="O33" s="11"/>
      <c r="P33" s="7">
        <v>51553.97</v>
      </c>
      <c r="Q33" s="2"/>
      <c r="R33" s="6">
        <f t="shared" si="12"/>
        <v>0</v>
      </c>
      <c r="S33" s="2"/>
      <c r="T33" s="7">
        <v>55245.196865384591</v>
      </c>
      <c r="U33" s="2"/>
      <c r="V33" s="6">
        <f t="shared" si="13"/>
        <v>0</v>
      </c>
      <c r="W33" s="2"/>
      <c r="X33" s="7">
        <f t="shared" si="14"/>
        <v>-3691.2268653845895</v>
      </c>
      <c r="Y33" s="2"/>
      <c r="Z33" s="6">
        <f t="shared" si="15"/>
        <v>-6.6815344587855569E-2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7">
        <v>20265.27</v>
      </c>
      <c r="E35" s="2"/>
      <c r="F35" s="6">
        <f t="shared" si="8"/>
        <v>0</v>
      </c>
      <c r="G35" s="2"/>
      <c r="H35" s="7">
        <v>28661.965</v>
      </c>
      <c r="I35" s="2"/>
      <c r="J35" s="6">
        <f t="shared" si="9"/>
        <v>0</v>
      </c>
      <c r="K35" s="2"/>
      <c r="L35" s="7">
        <f t="shared" si="10"/>
        <v>-8396.6949999999997</v>
      </c>
      <c r="M35" s="2"/>
      <c r="N35" s="6">
        <f t="shared" si="11"/>
        <v>-0.29295601330892701</v>
      </c>
      <c r="O35" s="11"/>
      <c r="P35" s="7">
        <v>20265.27</v>
      </c>
      <c r="Q35" s="2"/>
      <c r="R35" s="6">
        <f t="shared" si="12"/>
        <v>0</v>
      </c>
      <c r="S35" s="2"/>
      <c r="T35" s="7">
        <v>28661.965</v>
      </c>
      <c r="U35" s="2"/>
      <c r="V35" s="6">
        <f t="shared" si="13"/>
        <v>0</v>
      </c>
      <c r="W35" s="2"/>
      <c r="X35" s="7">
        <f t="shared" si="14"/>
        <v>-8396.6949999999997</v>
      </c>
      <c r="Y35" s="2"/>
      <c r="Z35" s="6">
        <f t="shared" si="15"/>
        <v>-0.29295601330892701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>
        <v>8356.0300000000007</v>
      </c>
      <c r="E36" s="2"/>
      <c r="F36" s="6">
        <f t="shared" si="8"/>
        <v>0</v>
      </c>
      <c r="G36" s="2"/>
      <c r="H36" s="7">
        <v>8990</v>
      </c>
      <c r="I36" s="2"/>
      <c r="J36" s="6">
        <f t="shared" si="9"/>
        <v>0</v>
      </c>
      <c r="K36" s="2"/>
      <c r="L36" s="7">
        <f t="shared" si="10"/>
        <v>-633.96999999999935</v>
      </c>
      <c r="M36" s="2"/>
      <c r="N36" s="6">
        <f t="shared" si="11"/>
        <v>-7.0519466073414833E-2</v>
      </c>
      <c r="O36" s="11"/>
      <c r="P36" s="7">
        <v>8356.0300000000007</v>
      </c>
      <c r="Q36" s="2"/>
      <c r="R36" s="6">
        <f t="shared" si="12"/>
        <v>0</v>
      </c>
      <c r="S36" s="2"/>
      <c r="T36" s="7">
        <v>8990</v>
      </c>
      <c r="U36" s="2"/>
      <c r="V36" s="6">
        <f t="shared" si="13"/>
        <v>0</v>
      </c>
      <c r="W36" s="2"/>
      <c r="X36" s="7">
        <f t="shared" si="14"/>
        <v>-633.96999999999935</v>
      </c>
      <c r="Y36" s="2"/>
      <c r="Z36" s="6">
        <f t="shared" si="15"/>
        <v>-7.0519466073414833E-2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>
        <v>708.75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708.75</v>
      </c>
      <c r="M37" s="2"/>
      <c r="N37" s="6">
        <f t="shared" si="11"/>
        <v>0</v>
      </c>
      <c r="O37" s="11"/>
      <c r="P37" s="7">
        <v>708.75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708.75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>
        <v>18926.21</v>
      </c>
      <c r="E38" s="2"/>
      <c r="F38" s="6">
        <f t="shared" si="8"/>
        <v>0</v>
      </c>
      <c r="G38" s="2"/>
      <c r="H38" s="7">
        <v>7787.5</v>
      </c>
      <c r="I38" s="2"/>
      <c r="J38" s="6">
        <f t="shared" si="9"/>
        <v>0</v>
      </c>
      <c r="K38" s="2"/>
      <c r="L38" s="7">
        <f t="shared" si="10"/>
        <v>11138.71</v>
      </c>
      <c r="M38" s="2"/>
      <c r="N38" s="6">
        <f t="shared" si="11"/>
        <v>1.4303319422150882</v>
      </c>
      <c r="O38" s="11"/>
      <c r="P38" s="7">
        <v>18926.21</v>
      </c>
      <c r="Q38" s="2"/>
      <c r="R38" s="6">
        <f t="shared" si="12"/>
        <v>0</v>
      </c>
      <c r="S38" s="2"/>
      <c r="T38" s="7">
        <v>7787.5</v>
      </c>
      <c r="U38" s="2"/>
      <c r="V38" s="6">
        <f t="shared" si="13"/>
        <v>0</v>
      </c>
      <c r="W38" s="2"/>
      <c r="X38" s="7">
        <f t="shared" si="14"/>
        <v>11138.71</v>
      </c>
      <c r="Y38" s="2"/>
      <c r="Z38" s="6">
        <f t="shared" si="15"/>
        <v>1.4303319422150882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>
        <v>1942.5</v>
      </c>
      <c r="E39" s="2"/>
      <c r="F39" s="6">
        <f t="shared" si="8"/>
        <v>0</v>
      </c>
      <c r="G39" s="2"/>
      <c r="H39" s="7">
        <v>5827.5</v>
      </c>
      <c r="I39" s="2"/>
      <c r="J39" s="6">
        <f t="shared" si="9"/>
        <v>0</v>
      </c>
      <c r="K39" s="2"/>
      <c r="L39" s="7">
        <f t="shared" si="10"/>
        <v>-3885</v>
      </c>
      <c r="M39" s="2"/>
      <c r="N39" s="6">
        <f t="shared" si="11"/>
        <v>-0.66666666666666663</v>
      </c>
      <c r="O39" s="11"/>
      <c r="P39" s="7">
        <v>1942.5</v>
      </c>
      <c r="Q39" s="2"/>
      <c r="R39" s="6">
        <f t="shared" si="12"/>
        <v>0</v>
      </c>
      <c r="S39" s="2"/>
      <c r="T39" s="7">
        <v>5827.5</v>
      </c>
      <c r="U39" s="2"/>
      <c r="V39" s="6">
        <f t="shared" si="13"/>
        <v>0</v>
      </c>
      <c r="W39" s="2"/>
      <c r="X39" s="7">
        <f t="shared" si="14"/>
        <v>-3885</v>
      </c>
      <c r="Y39" s="2"/>
      <c r="Z39" s="6">
        <f t="shared" si="15"/>
        <v>-0.66666666666666663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8"/>
        <v>0</v>
      </c>
      <c r="G41" s="2"/>
      <c r="H41" s="7">
        <v>0</v>
      </c>
      <c r="I41" s="2"/>
      <c r="J41" s="6">
        <f t="shared" si="9"/>
        <v>0</v>
      </c>
      <c r="K41" s="2"/>
      <c r="L41" s="7">
        <f t="shared" si="10"/>
        <v>0</v>
      </c>
      <c r="M41" s="2"/>
      <c r="N41" s="6">
        <f t="shared" si="11"/>
        <v>0</v>
      </c>
      <c r="O41" s="11"/>
      <c r="P41" s="7"/>
      <c r="Q41" s="2"/>
      <c r="R41" s="6">
        <f t="shared" si="12"/>
        <v>0</v>
      </c>
      <c r="S41" s="2"/>
      <c r="T41" s="7">
        <v>0</v>
      </c>
      <c r="U41" s="2"/>
      <c r="V41" s="6">
        <f t="shared" si="13"/>
        <v>0</v>
      </c>
      <c r="W41" s="2"/>
      <c r="X41" s="7">
        <f t="shared" si="14"/>
        <v>0</v>
      </c>
      <c r="Y41" s="2"/>
      <c r="Z41" s="6">
        <f t="shared" si="15"/>
        <v>0</v>
      </c>
    </row>
    <row r="42" spans="1:26" s="27" customFormat="1" outlineLevel="1" collapsed="1" x14ac:dyDescent="0.25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-969.74</v>
      </c>
      <c r="E42" s="1"/>
      <c r="F42" s="5">
        <f t="shared" ref="F42:F65" si="16">IF(D$12=0,0,D42/D$12)</f>
        <v>0</v>
      </c>
      <c r="G42" s="1"/>
      <c r="H42" s="1">
        <f>SUM(OSRRefH22_2x_0)</f>
        <v>260</v>
      </c>
      <c r="I42" s="1"/>
      <c r="J42" s="5">
        <f t="shared" ref="J42:J65" si="17">IF(H$12=0,0,H42/H$12)</f>
        <v>0</v>
      </c>
      <c r="K42" s="1"/>
      <c r="L42" s="1">
        <f t="shared" ref="L42:L65" si="18">+D42-H42</f>
        <v>-1229.74</v>
      </c>
      <c r="M42" s="1"/>
      <c r="N42" s="5">
        <f t="shared" ref="N42:N65" si="19">IF(H42=0,0,L42/H42)</f>
        <v>-4.7297692307692305</v>
      </c>
      <c r="O42" s="14"/>
      <c r="P42" s="1">
        <f>SUM(OSRRefP22_2x_0)</f>
        <v>-969.74</v>
      </c>
      <c r="Q42" s="1"/>
      <c r="R42" s="5">
        <f t="shared" ref="R42:R65" si="20">IF(P$12=0,0,P42/P$12)</f>
        <v>0</v>
      </c>
      <c r="S42" s="1"/>
      <c r="T42" s="1">
        <f>SUM(OSRRefT22_2x_0)</f>
        <v>260</v>
      </c>
      <c r="U42" s="1"/>
      <c r="V42" s="5">
        <f t="shared" ref="V42:V65" si="21">IF(T$12=0,0,T42/T$12)</f>
        <v>0</v>
      </c>
      <c r="W42" s="1"/>
      <c r="X42" s="1">
        <f t="shared" ref="X42:X65" si="22">+P42-T42</f>
        <v>-1229.74</v>
      </c>
      <c r="Y42" s="1"/>
      <c r="Z42" s="5">
        <f t="shared" ref="Z42:Z65" si="23">IF(T42=0,0,X42/T42)</f>
        <v>-4.7297692307692305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7">
        <v>-969.74</v>
      </c>
      <c r="E43" s="2"/>
      <c r="F43" s="6">
        <f t="shared" si="16"/>
        <v>0</v>
      </c>
      <c r="G43" s="2"/>
      <c r="H43" s="7">
        <v>260</v>
      </c>
      <c r="I43" s="2"/>
      <c r="J43" s="6">
        <f t="shared" si="17"/>
        <v>0</v>
      </c>
      <c r="K43" s="2"/>
      <c r="L43" s="7">
        <f t="shared" si="18"/>
        <v>-1229.74</v>
      </c>
      <c r="M43" s="2"/>
      <c r="N43" s="6">
        <f t="shared" si="19"/>
        <v>-4.7297692307692305</v>
      </c>
      <c r="O43" s="11"/>
      <c r="P43" s="7">
        <v>-969.74</v>
      </c>
      <c r="Q43" s="2"/>
      <c r="R43" s="6">
        <f t="shared" si="20"/>
        <v>0</v>
      </c>
      <c r="S43" s="2"/>
      <c r="T43" s="7">
        <v>260</v>
      </c>
      <c r="U43" s="2"/>
      <c r="V43" s="6">
        <f t="shared" si="21"/>
        <v>0</v>
      </c>
      <c r="W43" s="2"/>
      <c r="X43" s="7">
        <f t="shared" si="22"/>
        <v>-1229.74</v>
      </c>
      <c r="Y43" s="2"/>
      <c r="Z43" s="6">
        <f t="shared" si="23"/>
        <v>-4.7297692307692305</v>
      </c>
    </row>
    <row r="44" spans="1:26" s="27" customFormat="1" outlineLevel="1" collapsed="1" x14ac:dyDescent="0.25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826.39</v>
      </c>
      <c r="E44" s="1"/>
      <c r="F44" s="5">
        <f t="shared" si="16"/>
        <v>0</v>
      </c>
      <c r="G44" s="1"/>
      <c r="H44" s="1">
        <f>SUM(OSRRefH22_3x_0)</f>
        <v>15000</v>
      </c>
      <c r="I44" s="1"/>
      <c r="J44" s="5">
        <f t="shared" si="17"/>
        <v>0</v>
      </c>
      <c r="K44" s="1"/>
      <c r="L44" s="1">
        <f t="shared" si="18"/>
        <v>-14173.61</v>
      </c>
      <c r="M44" s="1"/>
      <c r="N44" s="5">
        <f t="shared" si="19"/>
        <v>-0.94490733333333332</v>
      </c>
      <c r="O44" s="14"/>
      <c r="P44" s="1">
        <f>SUM(OSRRefP22_3x_0)</f>
        <v>826.39</v>
      </c>
      <c r="Q44" s="1"/>
      <c r="R44" s="5">
        <f t="shared" si="20"/>
        <v>0</v>
      </c>
      <c r="S44" s="1"/>
      <c r="T44" s="1">
        <f>SUM(OSRRefT22_3x_0)</f>
        <v>15000</v>
      </c>
      <c r="U44" s="1"/>
      <c r="V44" s="5">
        <f t="shared" si="21"/>
        <v>0</v>
      </c>
      <c r="W44" s="1"/>
      <c r="X44" s="1">
        <f t="shared" si="22"/>
        <v>-14173.61</v>
      </c>
      <c r="Y44" s="1"/>
      <c r="Z44" s="5">
        <f t="shared" si="23"/>
        <v>-0.94490733333333332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7">
        <v>826.39</v>
      </c>
      <c r="E45" s="2"/>
      <c r="F45" s="6">
        <f t="shared" si="16"/>
        <v>0</v>
      </c>
      <c r="G45" s="2"/>
      <c r="H45" s="7">
        <v>15000</v>
      </c>
      <c r="I45" s="2"/>
      <c r="J45" s="6">
        <f t="shared" si="17"/>
        <v>0</v>
      </c>
      <c r="K45" s="2"/>
      <c r="L45" s="7">
        <f t="shared" si="18"/>
        <v>-14173.61</v>
      </c>
      <c r="M45" s="2"/>
      <c r="N45" s="6">
        <f t="shared" si="19"/>
        <v>-0.94490733333333332</v>
      </c>
      <c r="O45" s="11"/>
      <c r="P45" s="7">
        <v>826.39</v>
      </c>
      <c r="Q45" s="2"/>
      <c r="R45" s="6">
        <f t="shared" si="20"/>
        <v>0</v>
      </c>
      <c r="S45" s="2"/>
      <c r="T45" s="7">
        <v>15000</v>
      </c>
      <c r="U45" s="2"/>
      <c r="V45" s="6">
        <f t="shared" si="21"/>
        <v>0</v>
      </c>
      <c r="W45" s="2"/>
      <c r="X45" s="7">
        <f t="shared" si="22"/>
        <v>-14173.61</v>
      </c>
      <c r="Y45" s="2"/>
      <c r="Z45" s="6">
        <f t="shared" si="23"/>
        <v>-0.94490733333333332</v>
      </c>
    </row>
    <row r="46" spans="1:26" s="27" customFormat="1" outlineLevel="1" collapsed="1" x14ac:dyDescent="0.25">
      <c r="A46" s="28"/>
      <c r="B46" s="14" t="str">
        <f>CONCATENATE("     ","Board                                             ")</f>
        <v xml:space="preserve">     Board                                             </v>
      </c>
      <c r="C46" s="14"/>
      <c r="D46" s="1">
        <f>SUM(OSRRefD22_4x_0)</f>
        <v>2425.4</v>
      </c>
      <c r="E46" s="1"/>
      <c r="F46" s="5">
        <f t="shared" si="16"/>
        <v>0</v>
      </c>
      <c r="G46" s="1"/>
      <c r="H46" s="1">
        <f>SUM(OSRRefH22_4x_0)</f>
        <v>2200</v>
      </c>
      <c r="I46" s="1"/>
      <c r="J46" s="5">
        <f t="shared" si="17"/>
        <v>0</v>
      </c>
      <c r="K46" s="1"/>
      <c r="L46" s="1">
        <f t="shared" si="18"/>
        <v>225.40000000000009</v>
      </c>
      <c r="M46" s="1"/>
      <c r="N46" s="5">
        <f t="shared" si="19"/>
        <v>0.10245454545454549</v>
      </c>
      <c r="O46" s="14"/>
      <c r="P46" s="1">
        <f>SUM(OSRRefP22_4x_0)</f>
        <v>2425.4</v>
      </c>
      <c r="Q46" s="1"/>
      <c r="R46" s="5">
        <f t="shared" si="20"/>
        <v>0</v>
      </c>
      <c r="S46" s="1"/>
      <c r="T46" s="1">
        <f>SUM(OSRRefT22_4x_0)</f>
        <v>2200</v>
      </c>
      <c r="U46" s="1"/>
      <c r="V46" s="5">
        <f t="shared" si="21"/>
        <v>0</v>
      </c>
      <c r="W46" s="1"/>
      <c r="X46" s="1">
        <f t="shared" si="22"/>
        <v>225.40000000000009</v>
      </c>
      <c r="Y46" s="1"/>
      <c r="Z46" s="5">
        <f t="shared" si="23"/>
        <v>0.10245454545454549</v>
      </c>
    </row>
    <row r="47" spans="1:26" s="24" customFormat="1" hidden="1" outlineLevel="2" x14ac:dyDescent="0.25">
      <c r="A47" s="29"/>
      <c r="B47" s="11" t="str">
        <f>CONCATENATE("          ", "6397", " - ", "BOARD EXPENSES")</f>
        <v xml:space="preserve">          6397 - BOARD EXPENSES</v>
      </c>
      <c r="C47" s="11"/>
      <c r="D47" s="7">
        <v>2425.4</v>
      </c>
      <c r="E47" s="2"/>
      <c r="F47" s="6">
        <f t="shared" si="16"/>
        <v>0</v>
      </c>
      <c r="G47" s="2"/>
      <c r="H47" s="7">
        <v>2200</v>
      </c>
      <c r="I47" s="2"/>
      <c r="J47" s="6">
        <f t="shared" si="17"/>
        <v>0</v>
      </c>
      <c r="K47" s="2"/>
      <c r="L47" s="7">
        <f t="shared" si="18"/>
        <v>225.40000000000009</v>
      </c>
      <c r="M47" s="2"/>
      <c r="N47" s="6">
        <f t="shared" si="19"/>
        <v>0.10245454545454549</v>
      </c>
      <c r="O47" s="11"/>
      <c r="P47" s="7">
        <v>2425.4</v>
      </c>
      <c r="Q47" s="2"/>
      <c r="R47" s="6">
        <f t="shared" si="20"/>
        <v>0</v>
      </c>
      <c r="S47" s="2"/>
      <c r="T47" s="7">
        <v>2200</v>
      </c>
      <c r="U47" s="2"/>
      <c r="V47" s="6">
        <f t="shared" si="21"/>
        <v>0</v>
      </c>
      <c r="W47" s="2"/>
      <c r="X47" s="7">
        <f t="shared" si="22"/>
        <v>225.40000000000009</v>
      </c>
      <c r="Y47" s="2"/>
      <c r="Z47" s="6">
        <f t="shared" si="23"/>
        <v>0.10245454545454549</v>
      </c>
    </row>
    <row r="48" spans="1:26" s="27" customFormat="1" outlineLevel="1" collapsed="1" x14ac:dyDescent="0.25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8599.93</v>
      </c>
      <c r="E48" s="1"/>
      <c r="F48" s="5">
        <f t="shared" si="16"/>
        <v>0</v>
      </c>
      <c r="G48" s="1"/>
      <c r="H48" s="1">
        <f>SUM(OSRRefH22_5x_0)</f>
        <v>8593</v>
      </c>
      <c r="I48" s="1"/>
      <c r="J48" s="5">
        <f t="shared" si="17"/>
        <v>0</v>
      </c>
      <c r="K48" s="1"/>
      <c r="L48" s="1">
        <f t="shared" si="18"/>
        <v>6.930000000000291</v>
      </c>
      <c r="M48" s="1"/>
      <c r="N48" s="5">
        <f t="shared" si="19"/>
        <v>8.0647038286981159E-4</v>
      </c>
      <c r="O48" s="14"/>
      <c r="P48" s="1">
        <f>SUM(OSRRefP22_5x_0)</f>
        <v>8599.93</v>
      </c>
      <c r="Q48" s="1"/>
      <c r="R48" s="5">
        <f t="shared" si="20"/>
        <v>0</v>
      </c>
      <c r="S48" s="1"/>
      <c r="T48" s="1">
        <f>SUM(OSRRefT22_5x_0)</f>
        <v>8593</v>
      </c>
      <c r="U48" s="1"/>
      <c r="V48" s="5">
        <f t="shared" si="21"/>
        <v>0</v>
      </c>
      <c r="W48" s="1"/>
      <c r="X48" s="1">
        <f t="shared" si="22"/>
        <v>6.930000000000291</v>
      </c>
      <c r="Y48" s="1"/>
      <c r="Z48" s="5">
        <f t="shared" si="23"/>
        <v>8.0647038286981159E-4</v>
      </c>
    </row>
    <row r="49" spans="1:26" s="24" customFormat="1" hidden="1" outlineLevel="2" x14ac:dyDescent="0.25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8599.93</v>
      </c>
      <c r="E49" s="2"/>
      <c r="F49" s="6">
        <f t="shared" si="16"/>
        <v>0</v>
      </c>
      <c r="G49" s="2"/>
      <c r="H49" s="7">
        <v>8593</v>
      </c>
      <c r="I49" s="2"/>
      <c r="J49" s="6">
        <f t="shared" si="17"/>
        <v>0</v>
      </c>
      <c r="K49" s="2"/>
      <c r="L49" s="7">
        <f t="shared" si="18"/>
        <v>6.930000000000291</v>
      </c>
      <c r="M49" s="2"/>
      <c r="N49" s="6">
        <f t="shared" si="19"/>
        <v>8.0647038286981159E-4</v>
      </c>
      <c r="O49" s="11"/>
      <c r="P49" s="7">
        <v>8599.93</v>
      </c>
      <c r="Q49" s="2"/>
      <c r="R49" s="6">
        <f t="shared" si="20"/>
        <v>0</v>
      </c>
      <c r="S49" s="2"/>
      <c r="T49" s="7">
        <v>8593</v>
      </c>
      <c r="U49" s="2"/>
      <c r="V49" s="6">
        <f t="shared" si="21"/>
        <v>0</v>
      </c>
      <c r="W49" s="2"/>
      <c r="X49" s="7">
        <f t="shared" si="22"/>
        <v>6.930000000000291</v>
      </c>
      <c r="Y49" s="2"/>
      <c r="Z49" s="6">
        <f t="shared" si="23"/>
        <v>8.0647038286981159E-4</v>
      </c>
    </row>
    <row r="50" spans="1:26" s="27" customFormat="1" outlineLevel="1" collapsed="1" x14ac:dyDescent="0.25">
      <c r="A50" s="28"/>
      <c r="B50" s="14" t="str">
        <f>CONCATENATE("     ","Donations                                         ")</f>
        <v xml:space="preserve">     Donations                                         </v>
      </c>
      <c r="C50" s="14"/>
      <c r="D50" s="1">
        <f>SUM(OSRRefD22_6x_0)</f>
        <v>1667.85</v>
      </c>
      <c r="E50" s="1"/>
      <c r="F50" s="5">
        <f t="shared" si="16"/>
        <v>0</v>
      </c>
      <c r="G50" s="1"/>
      <c r="H50" s="1">
        <f>SUM(OSRRefH22_6x_0)</f>
        <v>26500</v>
      </c>
      <c r="I50" s="1"/>
      <c r="J50" s="5">
        <f t="shared" si="17"/>
        <v>0</v>
      </c>
      <c r="K50" s="1"/>
      <c r="L50" s="1">
        <f t="shared" si="18"/>
        <v>-24832.15</v>
      </c>
      <c r="M50" s="1"/>
      <c r="N50" s="5">
        <f t="shared" si="19"/>
        <v>-0.9370622641509434</v>
      </c>
      <c r="O50" s="14"/>
      <c r="P50" s="1">
        <f>SUM(OSRRefP22_6x_0)</f>
        <v>1667.85</v>
      </c>
      <c r="Q50" s="1"/>
      <c r="R50" s="5">
        <f t="shared" si="20"/>
        <v>0</v>
      </c>
      <c r="S50" s="1"/>
      <c r="T50" s="1">
        <f>SUM(OSRRefT22_6x_0)</f>
        <v>26500</v>
      </c>
      <c r="U50" s="1"/>
      <c r="V50" s="5">
        <f t="shared" si="21"/>
        <v>0</v>
      </c>
      <c r="W50" s="1"/>
      <c r="X50" s="1">
        <f t="shared" si="22"/>
        <v>-24832.15</v>
      </c>
      <c r="Y50" s="1"/>
      <c r="Z50" s="5">
        <f t="shared" si="23"/>
        <v>-0.9370622641509434</v>
      </c>
    </row>
    <row r="51" spans="1:26" s="24" customFormat="1" hidden="1" outlineLevel="2" x14ac:dyDescent="0.25">
      <c r="A51" s="29"/>
      <c r="B51" s="11" t="str">
        <f>CONCATENATE("          ", "6399", " - ", "DONATION-ON CAMPUS")</f>
        <v xml:space="preserve">          6399 - DONATION-ON CAMPUS</v>
      </c>
      <c r="C51" s="11"/>
      <c r="D51" s="7">
        <v>1667.85</v>
      </c>
      <c r="E51" s="2"/>
      <c r="F51" s="6">
        <f t="shared" si="16"/>
        <v>0</v>
      </c>
      <c r="G51" s="2"/>
      <c r="H51" s="7">
        <v>26500</v>
      </c>
      <c r="I51" s="2"/>
      <c r="J51" s="6">
        <f t="shared" si="17"/>
        <v>0</v>
      </c>
      <c r="K51" s="2"/>
      <c r="L51" s="7">
        <f t="shared" si="18"/>
        <v>-24832.15</v>
      </c>
      <c r="M51" s="2"/>
      <c r="N51" s="6">
        <f t="shared" si="19"/>
        <v>-0.9370622641509434</v>
      </c>
      <c r="O51" s="11"/>
      <c r="P51" s="7">
        <v>1667.85</v>
      </c>
      <c r="Q51" s="2"/>
      <c r="R51" s="6">
        <f t="shared" si="20"/>
        <v>0</v>
      </c>
      <c r="S51" s="2"/>
      <c r="T51" s="7">
        <v>26500</v>
      </c>
      <c r="U51" s="2"/>
      <c r="V51" s="6">
        <f t="shared" si="21"/>
        <v>0</v>
      </c>
      <c r="W51" s="2"/>
      <c r="X51" s="7">
        <f t="shared" si="22"/>
        <v>-24832.15</v>
      </c>
      <c r="Y51" s="2"/>
      <c r="Z51" s="6">
        <f t="shared" si="23"/>
        <v>-0.9370622641509434</v>
      </c>
    </row>
    <row r="52" spans="1:26" s="27" customFormat="1" outlineLevel="1" collapsed="1" x14ac:dyDescent="0.25">
      <c r="A52" s="28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SUM(OSRRefD22_7x_0)</f>
        <v>5147.58</v>
      </c>
      <c r="E52" s="1"/>
      <c r="F52" s="5">
        <f t="shared" si="16"/>
        <v>0</v>
      </c>
      <c r="G52" s="1"/>
      <c r="H52" s="1">
        <f>SUM(OSRRefH22_7x_0)</f>
        <v>10908</v>
      </c>
      <c r="I52" s="1"/>
      <c r="J52" s="5">
        <f t="shared" si="17"/>
        <v>0</v>
      </c>
      <c r="K52" s="1"/>
      <c r="L52" s="1">
        <f t="shared" si="18"/>
        <v>-5760.42</v>
      </c>
      <c r="M52" s="1"/>
      <c r="N52" s="5">
        <f t="shared" si="19"/>
        <v>-0.52809130913091307</v>
      </c>
      <c r="O52" s="14"/>
      <c r="P52" s="1">
        <f>SUM(OSRRefP22_7x_0)</f>
        <v>5147.58</v>
      </c>
      <c r="Q52" s="1"/>
      <c r="R52" s="5">
        <f t="shared" si="20"/>
        <v>0</v>
      </c>
      <c r="S52" s="1"/>
      <c r="T52" s="1">
        <f>SUM(OSRRefT22_7x_0)</f>
        <v>10908</v>
      </c>
      <c r="U52" s="1"/>
      <c r="V52" s="5">
        <f t="shared" si="21"/>
        <v>0</v>
      </c>
      <c r="W52" s="1"/>
      <c r="X52" s="1">
        <f t="shared" si="22"/>
        <v>-5760.42</v>
      </c>
      <c r="Y52" s="1"/>
      <c r="Z52" s="5">
        <f t="shared" si="23"/>
        <v>-0.52809130913091307</v>
      </c>
    </row>
    <row r="53" spans="1:26" s="24" customFormat="1" hidden="1" outlineLevel="2" x14ac:dyDescent="0.25">
      <c r="A53" s="29"/>
      <c r="B53" s="11" t="str">
        <f>CONCATENATE("          ", "6277", " - ", "EMPLOYEE APPRECIATION")</f>
        <v xml:space="preserve">          6277 - EMPLOYEE APPRECIATION</v>
      </c>
      <c r="C53" s="11"/>
      <c r="D53" s="7">
        <v>5147.58</v>
      </c>
      <c r="E53" s="2"/>
      <c r="F53" s="6">
        <f t="shared" si="16"/>
        <v>0</v>
      </c>
      <c r="G53" s="2"/>
      <c r="H53" s="7">
        <v>10908</v>
      </c>
      <c r="I53" s="2"/>
      <c r="J53" s="6">
        <f t="shared" si="17"/>
        <v>0</v>
      </c>
      <c r="K53" s="2"/>
      <c r="L53" s="7">
        <f t="shared" si="18"/>
        <v>-5760.42</v>
      </c>
      <c r="M53" s="2"/>
      <c r="N53" s="6">
        <f t="shared" si="19"/>
        <v>-0.52809130913091307</v>
      </c>
      <c r="O53" s="11"/>
      <c r="P53" s="7">
        <v>5147.58</v>
      </c>
      <c r="Q53" s="2"/>
      <c r="R53" s="6">
        <f t="shared" si="20"/>
        <v>0</v>
      </c>
      <c r="S53" s="2"/>
      <c r="T53" s="7">
        <v>10908</v>
      </c>
      <c r="U53" s="2"/>
      <c r="V53" s="6">
        <f t="shared" si="21"/>
        <v>0</v>
      </c>
      <c r="W53" s="2"/>
      <c r="X53" s="7">
        <f t="shared" si="22"/>
        <v>-5760.42</v>
      </c>
      <c r="Y53" s="2"/>
      <c r="Z53" s="6">
        <f t="shared" si="23"/>
        <v>-0.52809130913091307</v>
      </c>
    </row>
    <row r="54" spans="1:26" s="27" customFormat="1" outlineLevel="1" collapsed="1" x14ac:dyDescent="0.25">
      <c r="A54" s="28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SUM(OSRRefD22_8x_0)</f>
        <v>300.24</v>
      </c>
      <c r="E54" s="1"/>
      <c r="F54" s="5">
        <f t="shared" si="16"/>
        <v>0</v>
      </c>
      <c r="G54" s="1"/>
      <c r="H54" s="1">
        <f>SUM(OSRRefH22_8x_0)</f>
        <v>209</v>
      </c>
      <c r="I54" s="1"/>
      <c r="J54" s="5">
        <f t="shared" si="17"/>
        <v>0</v>
      </c>
      <c r="K54" s="1"/>
      <c r="L54" s="1">
        <f t="shared" si="18"/>
        <v>91.240000000000009</v>
      </c>
      <c r="M54" s="1"/>
      <c r="N54" s="5">
        <f t="shared" si="19"/>
        <v>0.43655502392344503</v>
      </c>
      <c r="O54" s="14"/>
      <c r="P54" s="1">
        <f>SUM(OSRRefP22_8x_0)</f>
        <v>300.24</v>
      </c>
      <c r="Q54" s="1"/>
      <c r="R54" s="5">
        <f t="shared" si="20"/>
        <v>0</v>
      </c>
      <c r="S54" s="1"/>
      <c r="T54" s="1">
        <f>SUM(OSRRefT22_8x_0)</f>
        <v>209</v>
      </c>
      <c r="U54" s="1"/>
      <c r="V54" s="5">
        <f t="shared" si="21"/>
        <v>0</v>
      </c>
      <c r="W54" s="1"/>
      <c r="X54" s="1">
        <f t="shared" si="22"/>
        <v>91.240000000000009</v>
      </c>
      <c r="Y54" s="1"/>
      <c r="Z54" s="5">
        <f t="shared" si="23"/>
        <v>0.43655502392344503</v>
      </c>
    </row>
    <row r="55" spans="1:26" s="24" customFormat="1" hidden="1" outlineLevel="2" x14ac:dyDescent="0.25">
      <c r="A55" s="29"/>
      <c r="B55" s="11" t="str">
        <f>CONCATENATE("          ", "6351", " - ", "EQUIPMENT RENTAL")</f>
        <v xml:space="preserve">          6351 - EQUIPMENT RENTAL</v>
      </c>
      <c r="C55" s="11"/>
      <c r="D55" s="7">
        <v>300.24</v>
      </c>
      <c r="E55" s="2"/>
      <c r="F55" s="6">
        <f t="shared" si="16"/>
        <v>0</v>
      </c>
      <c r="G55" s="2"/>
      <c r="H55" s="7">
        <v>209</v>
      </c>
      <c r="I55" s="2"/>
      <c r="J55" s="6">
        <f t="shared" si="17"/>
        <v>0</v>
      </c>
      <c r="K55" s="2"/>
      <c r="L55" s="7">
        <f t="shared" si="18"/>
        <v>91.240000000000009</v>
      </c>
      <c r="M55" s="2"/>
      <c r="N55" s="6">
        <f t="shared" si="19"/>
        <v>0.43655502392344503</v>
      </c>
      <c r="O55" s="11"/>
      <c r="P55" s="7">
        <v>300.24</v>
      </c>
      <c r="Q55" s="2"/>
      <c r="R55" s="6">
        <f t="shared" si="20"/>
        <v>0</v>
      </c>
      <c r="S55" s="2"/>
      <c r="T55" s="7">
        <v>209</v>
      </c>
      <c r="U55" s="2"/>
      <c r="V55" s="6">
        <f t="shared" si="21"/>
        <v>0</v>
      </c>
      <c r="W55" s="2"/>
      <c r="X55" s="7">
        <f t="shared" si="22"/>
        <v>91.240000000000009</v>
      </c>
      <c r="Y55" s="2"/>
      <c r="Z55" s="6">
        <f t="shared" si="23"/>
        <v>0.43655502392344503</v>
      </c>
    </row>
    <row r="56" spans="1:26" s="27" customFormat="1" outlineLevel="1" collapsed="1" x14ac:dyDescent="0.25">
      <c r="A56" s="28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SUM(OSRRefD22_9x_0)</f>
        <v>108.65</v>
      </c>
      <c r="E56" s="1"/>
      <c r="F56" s="5">
        <f t="shared" si="16"/>
        <v>0</v>
      </c>
      <c r="G56" s="1"/>
      <c r="H56" s="1">
        <f>SUM(OSRRefH22_9x_0)</f>
        <v>150</v>
      </c>
      <c r="I56" s="1"/>
      <c r="J56" s="5">
        <f t="shared" si="17"/>
        <v>0</v>
      </c>
      <c r="K56" s="1"/>
      <c r="L56" s="1">
        <f t="shared" si="18"/>
        <v>-41.349999999999994</v>
      </c>
      <c r="M56" s="1"/>
      <c r="N56" s="5">
        <f t="shared" si="19"/>
        <v>-0.27566666666666662</v>
      </c>
      <c r="O56" s="14"/>
      <c r="P56" s="1">
        <f>SUM(OSRRefP22_9x_0)</f>
        <v>108.65</v>
      </c>
      <c r="Q56" s="1"/>
      <c r="R56" s="5">
        <f t="shared" si="20"/>
        <v>0</v>
      </c>
      <c r="S56" s="1"/>
      <c r="T56" s="1">
        <f>SUM(OSRRefT22_9x_0)</f>
        <v>150</v>
      </c>
      <c r="U56" s="1"/>
      <c r="V56" s="5">
        <f t="shared" si="21"/>
        <v>0</v>
      </c>
      <c r="W56" s="1"/>
      <c r="X56" s="1">
        <f t="shared" si="22"/>
        <v>-41.349999999999994</v>
      </c>
      <c r="Y56" s="1"/>
      <c r="Z56" s="5">
        <f t="shared" si="23"/>
        <v>-0.27566666666666662</v>
      </c>
    </row>
    <row r="57" spans="1:26" s="24" customFormat="1" hidden="1" outlineLevel="2" x14ac:dyDescent="0.25">
      <c r="A57" s="29"/>
      <c r="B57" s="11" t="str">
        <f>CONCATENATE("          ", "6307", " - ", "POSTAGE")</f>
        <v xml:space="preserve">          6307 - POSTAGE</v>
      </c>
      <c r="C57" s="11"/>
      <c r="D57" s="7">
        <v>108.65</v>
      </c>
      <c r="E57" s="2"/>
      <c r="F57" s="6">
        <f t="shared" si="16"/>
        <v>0</v>
      </c>
      <c r="G57" s="2"/>
      <c r="H57" s="7">
        <v>150</v>
      </c>
      <c r="I57" s="2"/>
      <c r="J57" s="6">
        <f t="shared" si="17"/>
        <v>0</v>
      </c>
      <c r="K57" s="2"/>
      <c r="L57" s="7">
        <f t="shared" si="18"/>
        <v>-41.349999999999994</v>
      </c>
      <c r="M57" s="2"/>
      <c r="N57" s="6">
        <f t="shared" si="19"/>
        <v>-0.27566666666666662</v>
      </c>
      <c r="O57" s="11"/>
      <c r="P57" s="7">
        <v>108.65</v>
      </c>
      <c r="Q57" s="2"/>
      <c r="R57" s="6">
        <f t="shared" si="20"/>
        <v>0</v>
      </c>
      <c r="S57" s="2"/>
      <c r="T57" s="7">
        <v>150</v>
      </c>
      <c r="U57" s="2"/>
      <c r="V57" s="6">
        <f t="shared" si="21"/>
        <v>0</v>
      </c>
      <c r="W57" s="2"/>
      <c r="X57" s="7">
        <f t="shared" si="22"/>
        <v>-41.349999999999994</v>
      </c>
      <c r="Y57" s="2"/>
      <c r="Z57" s="6">
        <f t="shared" si="23"/>
        <v>-0.27566666666666662</v>
      </c>
    </row>
    <row r="58" spans="1:26" s="27" customFormat="1" outlineLevel="1" collapsed="1" x14ac:dyDescent="0.25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SUM(OSRRefD22_10x_0)</f>
        <v>30.62</v>
      </c>
      <c r="E58" s="1"/>
      <c r="F58" s="5">
        <f t="shared" si="16"/>
        <v>0</v>
      </c>
      <c r="G58" s="1"/>
      <c r="H58" s="1">
        <f>SUM(OSRRefH22_10x_0)</f>
        <v>-475</v>
      </c>
      <c r="I58" s="1"/>
      <c r="J58" s="5">
        <f t="shared" si="17"/>
        <v>0</v>
      </c>
      <c r="K58" s="1"/>
      <c r="L58" s="1">
        <f t="shared" si="18"/>
        <v>505.62</v>
      </c>
      <c r="M58" s="1"/>
      <c r="N58" s="5">
        <f t="shared" si="19"/>
        <v>-1.0644631578947368</v>
      </c>
      <c r="O58" s="14"/>
      <c r="P58" s="1">
        <f>SUM(OSRRefP22_10x_0)</f>
        <v>30.62</v>
      </c>
      <c r="Q58" s="1"/>
      <c r="R58" s="5">
        <f t="shared" si="20"/>
        <v>0</v>
      </c>
      <c r="S58" s="1"/>
      <c r="T58" s="1">
        <f>SUM(OSRRefT22_10x_0)</f>
        <v>-475</v>
      </c>
      <c r="U58" s="1"/>
      <c r="V58" s="5">
        <f t="shared" si="21"/>
        <v>0</v>
      </c>
      <c r="W58" s="1"/>
      <c r="X58" s="1">
        <f t="shared" si="22"/>
        <v>505.62</v>
      </c>
      <c r="Y58" s="1"/>
      <c r="Z58" s="5">
        <f t="shared" si="23"/>
        <v>-1.0644631578947368</v>
      </c>
    </row>
    <row r="59" spans="1:26" s="24" customFormat="1" hidden="1" outlineLevel="2" x14ac:dyDescent="0.25">
      <c r="A59" s="29"/>
      <c r="B59" s="11" t="str">
        <f>CONCATENATE("          ", "6279", " - ", "GENERAL EXPENSE")</f>
        <v xml:space="preserve">          6279 - GENERAL EXPENSE</v>
      </c>
      <c r="C59" s="11"/>
      <c r="D59" s="7">
        <v>30.62</v>
      </c>
      <c r="E59" s="2"/>
      <c r="F59" s="6">
        <f t="shared" si="16"/>
        <v>0</v>
      </c>
      <c r="G59" s="2"/>
      <c r="H59" s="7">
        <v>-475</v>
      </c>
      <c r="I59" s="2"/>
      <c r="J59" s="6">
        <f t="shared" si="17"/>
        <v>0</v>
      </c>
      <c r="K59" s="2"/>
      <c r="L59" s="7">
        <f t="shared" si="18"/>
        <v>505.62</v>
      </c>
      <c r="M59" s="2"/>
      <c r="N59" s="6">
        <f t="shared" si="19"/>
        <v>-1.0644631578947368</v>
      </c>
      <c r="O59" s="11"/>
      <c r="P59" s="7">
        <v>30.62</v>
      </c>
      <c r="Q59" s="2"/>
      <c r="R59" s="6">
        <f t="shared" si="20"/>
        <v>0</v>
      </c>
      <c r="S59" s="2"/>
      <c r="T59" s="7">
        <v>-475</v>
      </c>
      <c r="U59" s="2"/>
      <c r="V59" s="6">
        <f t="shared" si="21"/>
        <v>0</v>
      </c>
      <c r="W59" s="2"/>
      <c r="X59" s="7">
        <f t="shared" si="22"/>
        <v>505.62</v>
      </c>
      <c r="Y59" s="2"/>
      <c r="Z59" s="6">
        <f t="shared" si="23"/>
        <v>-1.0644631578947368</v>
      </c>
    </row>
    <row r="60" spans="1:26" s="27" customFormat="1" outlineLevel="1" collapsed="1" x14ac:dyDescent="0.25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SUM(OSRRefD22_11x_0)</f>
        <v>393.67</v>
      </c>
      <c r="E60" s="1"/>
      <c r="F60" s="5">
        <f t="shared" si="16"/>
        <v>0</v>
      </c>
      <c r="G60" s="1"/>
      <c r="H60" s="1">
        <f>SUM(OSRRefH22_11x_0)</f>
        <v>380</v>
      </c>
      <c r="I60" s="1"/>
      <c r="J60" s="5">
        <f t="shared" si="17"/>
        <v>0</v>
      </c>
      <c r="K60" s="1"/>
      <c r="L60" s="1">
        <f t="shared" si="18"/>
        <v>13.670000000000016</v>
      </c>
      <c r="M60" s="1"/>
      <c r="N60" s="5">
        <f t="shared" si="19"/>
        <v>3.5973684210526359E-2</v>
      </c>
      <c r="O60" s="14"/>
      <c r="P60" s="1">
        <f>SUM(OSRRefP22_11x_0)</f>
        <v>393.67</v>
      </c>
      <c r="Q60" s="1"/>
      <c r="R60" s="5">
        <f t="shared" si="20"/>
        <v>0</v>
      </c>
      <c r="S60" s="1"/>
      <c r="T60" s="1">
        <f>SUM(OSRRefT22_11x_0)</f>
        <v>380</v>
      </c>
      <c r="U60" s="1"/>
      <c r="V60" s="5">
        <f t="shared" si="21"/>
        <v>0</v>
      </c>
      <c r="W60" s="1"/>
      <c r="X60" s="1">
        <f t="shared" si="22"/>
        <v>13.670000000000016</v>
      </c>
      <c r="Y60" s="1"/>
      <c r="Z60" s="5">
        <f t="shared" si="23"/>
        <v>3.5973684210526359E-2</v>
      </c>
    </row>
    <row r="61" spans="1:26" s="24" customFormat="1" hidden="1" outlineLevel="2" x14ac:dyDescent="0.25">
      <c r="A61" s="29"/>
      <c r="B61" s="11" t="str">
        <f>CONCATENATE("          ", "6314", " - ", "LIABILITY INSURANCE")</f>
        <v xml:space="preserve">          6314 - LIABILITY INSURANCE</v>
      </c>
      <c r="C61" s="11"/>
      <c r="D61" s="7">
        <v>393.67</v>
      </c>
      <c r="E61" s="2"/>
      <c r="F61" s="6">
        <f t="shared" si="16"/>
        <v>0</v>
      </c>
      <c r="G61" s="2"/>
      <c r="H61" s="7">
        <v>380</v>
      </c>
      <c r="I61" s="2"/>
      <c r="J61" s="6">
        <f t="shared" si="17"/>
        <v>0</v>
      </c>
      <c r="K61" s="2"/>
      <c r="L61" s="7">
        <f t="shared" si="18"/>
        <v>13.670000000000016</v>
      </c>
      <c r="M61" s="2"/>
      <c r="N61" s="6">
        <f t="shared" si="19"/>
        <v>3.5973684210526359E-2</v>
      </c>
      <c r="O61" s="11"/>
      <c r="P61" s="7">
        <v>393.67</v>
      </c>
      <c r="Q61" s="2"/>
      <c r="R61" s="6">
        <f t="shared" si="20"/>
        <v>0</v>
      </c>
      <c r="S61" s="2"/>
      <c r="T61" s="7">
        <v>380</v>
      </c>
      <c r="U61" s="2"/>
      <c r="V61" s="6">
        <f t="shared" si="21"/>
        <v>0</v>
      </c>
      <c r="W61" s="2"/>
      <c r="X61" s="7">
        <f t="shared" si="22"/>
        <v>13.670000000000016</v>
      </c>
      <c r="Y61" s="2"/>
      <c r="Z61" s="6">
        <f t="shared" si="23"/>
        <v>3.5973684210526359E-2</v>
      </c>
    </row>
    <row r="62" spans="1:26" s="27" customFormat="1" outlineLevel="1" collapsed="1" x14ac:dyDescent="0.25">
      <c r="A62" s="28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SUM(OSRRefD22_12x_0)</f>
        <v>0</v>
      </c>
      <c r="E62" s="1"/>
      <c r="F62" s="5">
        <f t="shared" si="16"/>
        <v>0</v>
      </c>
      <c r="G62" s="1"/>
      <c r="H62" s="1">
        <f>SUM(OSRRefH22_12x_0)</f>
        <v>0</v>
      </c>
      <c r="I62" s="1"/>
      <c r="J62" s="5">
        <f t="shared" si="17"/>
        <v>0</v>
      </c>
      <c r="K62" s="1"/>
      <c r="L62" s="1">
        <f t="shared" si="18"/>
        <v>0</v>
      </c>
      <c r="M62" s="1"/>
      <c r="N62" s="5">
        <f t="shared" si="19"/>
        <v>0</v>
      </c>
      <c r="O62" s="14"/>
      <c r="P62" s="1">
        <f>SUM(OSRRefP22_12x_0)</f>
        <v>0</v>
      </c>
      <c r="Q62" s="1"/>
      <c r="R62" s="5">
        <f t="shared" si="20"/>
        <v>0</v>
      </c>
      <c r="S62" s="1"/>
      <c r="T62" s="1">
        <f>SUM(OSRRefT22_12x_0)</f>
        <v>0</v>
      </c>
      <c r="U62" s="1"/>
      <c r="V62" s="5">
        <f t="shared" si="21"/>
        <v>0</v>
      </c>
      <c r="W62" s="1"/>
      <c r="X62" s="1">
        <f t="shared" si="22"/>
        <v>0</v>
      </c>
      <c r="Y62" s="1"/>
      <c r="Z62" s="5">
        <f t="shared" si="23"/>
        <v>0</v>
      </c>
    </row>
    <row r="63" spans="1:26" s="24" customFormat="1" hidden="1" outlineLevel="2" x14ac:dyDescent="0.25">
      <c r="A63" s="29"/>
      <c r="B63" s="11" t="str">
        <f>CONCATENATE("          ", "6401", " - ", "INTEREST EXPENSE")</f>
        <v xml:space="preserve">          6401 - INTEREST EXPENSE</v>
      </c>
      <c r="C63" s="11"/>
      <c r="D63" s="7"/>
      <c r="E63" s="2"/>
      <c r="F63" s="6">
        <f t="shared" si="16"/>
        <v>0</v>
      </c>
      <c r="G63" s="2"/>
      <c r="H63" s="7">
        <v>0</v>
      </c>
      <c r="I63" s="2"/>
      <c r="J63" s="6">
        <f t="shared" si="17"/>
        <v>0</v>
      </c>
      <c r="K63" s="2"/>
      <c r="L63" s="7">
        <f t="shared" si="18"/>
        <v>0</v>
      </c>
      <c r="M63" s="2"/>
      <c r="N63" s="6">
        <f t="shared" si="19"/>
        <v>0</v>
      </c>
      <c r="O63" s="11"/>
      <c r="P63" s="7"/>
      <c r="Q63" s="2"/>
      <c r="R63" s="6">
        <f t="shared" si="20"/>
        <v>0</v>
      </c>
      <c r="S63" s="2"/>
      <c r="T63" s="7">
        <v>0</v>
      </c>
      <c r="U63" s="2"/>
      <c r="V63" s="6">
        <f t="shared" si="21"/>
        <v>0</v>
      </c>
      <c r="W63" s="2"/>
      <c r="X63" s="7">
        <f t="shared" si="22"/>
        <v>0</v>
      </c>
      <c r="Y63" s="2"/>
      <c r="Z63" s="6">
        <f t="shared" si="23"/>
        <v>0</v>
      </c>
    </row>
    <row r="64" spans="1:26" s="24" customFormat="1" hidden="1" outlineLevel="2" x14ac:dyDescent="0.25">
      <c r="A64" s="29"/>
      <c r="B64" s="11" t="str">
        <f>CONCATENATE("          ", "6402", " - ", "INTEREST EXPENSE BOND ISSUANCE")</f>
        <v xml:space="preserve">          6402 - INTEREST EXPENSE BOND ISSUANCE</v>
      </c>
      <c r="C64" s="11"/>
      <c r="D64" s="7"/>
      <c r="E64" s="2"/>
      <c r="F64" s="6">
        <f t="shared" si="16"/>
        <v>0</v>
      </c>
      <c r="G64" s="2"/>
      <c r="H64" s="7">
        <v>0</v>
      </c>
      <c r="I64" s="2"/>
      <c r="J64" s="6">
        <f t="shared" si="17"/>
        <v>0</v>
      </c>
      <c r="K64" s="2"/>
      <c r="L64" s="7">
        <f t="shared" si="18"/>
        <v>0</v>
      </c>
      <c r="M64" s="2"/>
      <c r="N64" s="6">
        <f t="shared" si="19"/>
        <v>0</v>
      </c>
      <c r="O64" s="11"/>
      <c r="P64" s="7"/>
      <c r="Q64" s="2"/>
      <c r="R64" s="6">
        <f t="shared" si="20"/>
        <v>0</v>
      </c>
      <c r="S64" s="2"/>
      <c r="T64" s="7">
        <v>0</v>
      </c>
      <c r="U64" s="2"/>
      <c r="V64" s="6">
        <f t="shared" si="21"/>
        <v>0</v>
      </c>
      <c r="W64" s="2"/>
      <c r="X64" s="7">
        <f t="shared" si="22"/>
        <v>0</v>
      </c>
      <c r="Y64" s="2"/>
      <c r="Z64" s="6">
        <f t="shared" si="23"/>
        <v>0</v>
      </c>
    </row>
    <row r="65" spans="1:26" s="24" customFormat="1" hidden="1" outlineLevel="2" x14ac:dyDescent="0.25">
      <c r="A65" s="29"/>
      <c r="B65" s="11" t="str">
        <f>CONCATENATE("          ", "6403", " - ", "INTEREST EXPENSE LEASE EQUIP")</f>
        <v xml:space="preserve">          6403 - INTEREST EXPENSE LEASE EQUIP</v>
      </c>
      <c r="C65" s="11"/>
      <c r="D65" s="7"/>
      <c r="E65" s="2"/>
      <c r="F65" s="6">
        <f t="shared" si="16"/>
        <v>0</v>
      </c>
      <c r="G65" s="2"/>
      <c r="H65" s="7">
        <v>0</v>
      </c>
      <c r="I65" s="2"/>
      <c r="J65" s="6">
        <f t="shared" si="17"/>
        <v>0</v>
      </c>
      <c r="K65" s="2"/>
      <c r="L65" s="7">
        <f t="shared" si="18"/>
        <v>0</v>
      </c>
      <c r="M65" s="2"/>
      <c r="N65" s="6">
        <f t="shared" si="19"/>
        <v>0</v>
      </c>
      <c r="O65" s="11"/>
      <c r="P65" s="7"/>
      <c r="Q65" s="2"/>
      <c r="R65" s="6">
        <f t="shared" si="20"/>
        <v>0</v>
      </c>
      <c r="S65" s="2"/>
      <c r="T65" s="7">
        <v>0</v>
      </c>
      <c r="U65" s="2"/>
      <c r="V65" s="6">
        <f t="shared" si="21"/>
        <v>0</v>
      </c>
      <c r="W65" s="2"/>
      <c r="X65" s="7">
        <f t="shared" si="22"/>
        <v>0</v>
      </c>
      <c r="Y65" s="2"/>
      <c r="Z65" s="6">
        <f t="shared" si="23"/>
        <v>0</v>
      </c>
    </row>
    <row r="66" spans="1:26" s="27" customFormat="1" outlineLevel="1" collapsed="1" x14ac:dyDescent="0.25">
      <c r="A66" s="28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SUM(OSRRefD22_13x_0)</f>
        <v>5751.24</v>
      </c>
      <c r="E66" s="1"/>
      <c r="F66" s="5">
        <f t="shared" ref="F66:F70" si="24">IF(D$12=0,0,D66/D$12)</f>
        <v>0</v>
      </c>
      <c r="G66" s="1"/>
      <c r="H66" s="1">
        <f>SUM(OSRRefH22_13x_0)</f>
        <v>43433</v>
      </c>
      <c r="I66" s="1"/>
      <c r="J66" s="5">
        <f t="shared" ref="J66:J70" si="25">IF(H$12=0,0,H66/H$12)</f>
        <v>0</v>
      </c>
      <c r="K66" s="1"/>
      <c r="L66" s="1">
        <f t="shared" ref="L66:L70" si="26">+D66-H66</f>
        <v>-37681.760000000002</v>
      </c>
      <c r="M66" s="1"/>
      <c r="N66" s="5">
        <f t="shared" ref="N66:N70" si="27">IF(H66=0,0,L66/H66)</f>
        <v>-0.86758363456358079</v>
      </c>
      <c r="O66" s="14"/>
      <c r="P66" s="1">
        <f>SUM(OSRRefP22_13x_0)</f>
        <v>5751.24</v>
      </c>
      <c r="Q66" s="1"/>
      <c r="R66" s="5">
        <f t="shared" ref="R66:R70" si="28">IF(P$12=0,0,P66/P$12)</f>
        <v>0</v>
      </c>
      <c r="S66" s="1"/>
      <c r="T66" s="1">
        <f>SUM(OSRRefT22_13x_0)</f>
        <v>43433</v>
      </c>
      <c r="U66" s="1"/>
      <c r="V66" s="5">
        <f t="shared" ref="V66:V70" si="29">IF(T$12=0,0,T66/T$12)</f>
        <v>0</v>
      </c>
      <c r="W66" s="1"/>
      <c r="X66" s="1">
        <f t="shared" ref="X66:X70" si="30">+P66-T66</f>
        <v>-37681.760000000002</v>
      </c>
      <c r="Y66" s="1"/>
      <c r="Z66" s="5">
        <f t="shared" ref="Z66:Z70" si="31">IF(T66=0,0,X66/T66)</f>
        <v>-0.86758363456358079</v>
      </c>
    </row>
    <row r="67" spans="1:26" s="24" customFormat="1" hidden="1" outlineLevel="2" x14ac:dyDescent="0.25">
      <c r="A67" s="29"/>
      <c r="B67" s="11" t="str">
        <f>CONCATENATE("          ", "6331", " - ", "INDIRECT COSTS-AUXILIARY ORGAN")</f>
        <v xml:space="preserve">          6331 - INDIRECT COSTS-AUXILIARY ORGAN</v>
      </c>
      <c r="C67" s="11"/>
      <c r="D67" s="7"/>
      <c r="E67" s="2"/>
      <c r="F67" s="6">
        <f t="shared" si="24"/>
        <v>0</v>
      </c>
      <c r="G67" s="2"/>
      <c r="H67" s="7">
        <v>12500</v>
      </c>
      <c r="I67" s="2"/>
      <c r="J67" s="6">
        <f t="shared" si="25"/>
        <v>0</v>
      </c>
      <c r="K67" s="2"/>
      <c r="L67" s="7">
        <f t="shared" si="26"/>
        <v>-12500</v>
      </c>
      <c r="M67" s="2"/>
      <c r="N67" s="6">
        <f t="shared" si="27"/>
        <v>-1</v>
      </c>
      <c r="O67" s="11"/>
      <c r="P67" s="7"/>
      <c r="Q67" s="2"/>
      <c r="R67" s="6">
        <f t="shared" si="28"/>
        <v>0</v>
      </c>
      <c r="S67" s="2"/>
      <c r="T67" s="7">
        <v>12500</v>
      </c>
      <c r="U67" s="2"/>
      <c r="V67" s="6">
        <f t="shared" si="29"/>
        <v>0</v>
      </c>
      <c r="W67" s="2"/>
      <c r="X67" s="7">
        <f t="shared" si="30"/>
        <v>-12500</v>
      </c>
      <c r="Y67" s="2"/>
      <c r="Z67" s="6">
        <f t="shared" si="31"/>
        <v>-1</v>
      </c>
    </row>
    <row r="68" spans="1:26" s="24" customFormat="1" hidden="1" outlineLevel="2" x14ac:dyDescent="0.25">
      <c r="A68" s="29"/>
      <c r="B68" s="11" t="str">
        <f>CONCATENATE("          ", "6332", " - ", "CONSULTANT FEES")</f>
        <v xml:space="preserve">          6332 - CONSULTANT FEES</v>
      </c>
      <c r="C68" s="11"/>
      <c r="D68" s="7">
        <v>82.5</v>
      </c>
      <c r="E68" s="2"/>
      <c r="F68" s="6">
        <f t="shared" si="24"/>
        <v>0</v>
      </c>
      <c r="G68" s="2"/>
      <c r="H68" s="7">
        <v>600</v>
      </c>
      <c r="I68" s="2"/>
      <c r="J68" s="6">
        <f t="shared" si="25"/>
        <v>0</v>
      </c>
      <c r="K68" s="2"/>
      <c r="L68" s="7">
        <f t="shared" si="26"/>
        <v>-517.5</v>
      </c>
      <c r="M68" s="2"/>
      <c r="N68" s="6">
        <f t="shared" si="27"/>
        <v>-0.86250000000000004</v>
      </c>
      <c r="O68" s="11"/>
      <c r="P68" s="7">
        <v>82.5</v>
      </c>
      <c r="Q68" s="2"/>
      <c r="R68" s="6">
        <f t="shared" si="28"/>
        <v>0</v>
      </c>
      <c r="S68" s="2"/>
      <c r="T68" s="7">
        <v>600</v>
      </c>
      <c r="U68" s="2"/>
      <c r="V68" s="6">
        <f t="shared" si="29"/>
        <v>0</v>
      </c>
      <c r="W68" s="2"/>
      <c r="X68" s="7">
        <f t="shared" si="30"/>
        <v>-517.5</v>
      </c>
      <c r="Y68" s="2"/>
      <c r="Z68" s="6">
        <f t="shared" si="31"/>
        <v>-0.86250000000000004</v>
      </c>
    </row>
    <row r="69" spans="1:26" s="24" customFormat="1" hidden="1" outlineLevel="2" x14ac:dyDescent="0.25">
      <c r="A69" s="29"/>
      <c r="B69" s="11" t="str">
        <f>CONCATENATE("          ", "6334", " - ", "LEGAL COUNCIL EXPENSE")</f>
        <v xml:space="preserve">          6334 - LEGAL COUNCIL EXPENSE</v>
      </c>
      <c r="C69" s="11"/>
      <c r="D69" s="7">
        <v>15</v>
      </c>
      <c r="E69" s="2"/>
      <c r="F69" s="6">
        <f t="shared" si="24"/>
        <v>0</v>
      </c>
      <c r="G69" s="2"/>
      <c r="H69" s="7">
        <v>833</v>
      </c>
      <c r="I69" s="2"/>
      <c r="J69" s="6">
        <f t="shared" si="25"/>
        <v>0</v>
      </c>
      <c r="K69" s="2"/>
      <c r="L69" s="7">
        <f t="shared" si="26"/>
        <v>-818</v>
      </c>
      <c r="M69" s="2"/>
      <c r="N69" s="6">
        <f t="shared" si="27"/>
        <v>-0.98199279711884757</v>
      </c>
      <c r="O69" s="11"/>
      <c r="P69" s="7">
        <v>15</v>
      </c>
      <c r="Q69" s="2"/>
      <c r="R69" s="6">
        <f t="shared" si="28"/>
        <v>0</v>
      </c>
      <c r="S69" s="2"/>
      <c r="T69" s="7">
        <v>833</v>
      </c>
      <c r="U69" s="2"/>
      <c r="V69" s="6">
        <f t="shared" si="29"/>
        <v>0</v>
      </c>
      <c r="W69" s="2"/>
      <c r="X69" s="7">
        <f t="shared" si="30"/>
        <v>-818</v>
      </c>
      <c r="Y69" s="2"/>
      <c r="Z69" s="6">
        <f t="shared" si="31"/>
        <v>-0.98199279711884757</v>
      </c>
    </row>
    <row r="70" spans="1:26" s="24" customFormat="1" hidden="1" outlineLevel="2" x14ac:dyDescent="0.25">
      <c r="A70" s="29"/>
      <c r="B70" s="11" t="str">
        <f>CONCATENATE("          ", "6336", " - ", "PROFESSIONAL SERVICES")</f>
        <v xml:space="preserve">          6336 - PROFESSIONAL SERVICES</v>
      </c>
      <c r="C70" s="11"/>
      <c r="D70" s="7">
        <v>5653.74</v>
      </c>
      <c r="E70" s="2"/>
      <c r="F70" s="6">
        <f t="shared" si="24"/>
        <v>0</v>
      </c>
      <c r="G70" s="2"/>
      <c r="H70" s="7">
        <v>29500</v>
      </c>
      <c r="I70" s="2"/>
      <c r="J70" s="6">
        <f t="shared" si="25"/>
        <v>0</v>
      </c>
      <c r="K70" s="2"/>
      <c r="L70" s="7">
        <f t="shared" si="26"/>
        <v>-23846.260000000002</v>
      </c>
      <c r="M70" s="2"/>
      <c r="N70" s="6">
        <f t="shared" si="27"/>
        <v>-0.80834779661016953</v>
      </c>
      <c r="O70" s="11"/>
      <c r="P70" s="7">
        <v>5653.74</v>
      </c>
      <c r="Q70" s="2"/>
      <c r="R70" s="6">
        <f t="shared" si="28"/>
        <v>0</v>
      </c>
      <c r="S70" s="2"/>
      <c r="T70" s="7">
        <v>29500</v>
      </c>
      <c r="U70" s="2"/>
      <c r="V70" s="6">
        <f t="shared" si="29"/>
        <v>0</v>
      </c>
      <c r="W70" s="2"/>
      <c r="X70" s="7">
        <f t="shared" si="30"/>
        <v>-23846.260000000002</v>
      </c>
      <c r="Y70" s="2"/>
      <c r="Z70" s="6">
        <f t="shared" si="31"/>
        <v>-0.80834779661016953</v>
      </c>
    </row>
    <row r="71" spans="1:26" s="27" customFormat="1" outlineLevel="1" collapsed="1" x14ac:dyDescent="0.25">
      <c r="A71" s="28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SUM(OSRRefD22_14x_0)</f>
        <v>26788.65</v>
      </c>
      <c r="E71" s="1"/>
      <c r="F71" s="5">
        <f t="shared" ref="F71:F75" si="32">IF(D$12=0,0,D71/D$12)</f>
        <v>0</v>
      </c>
      <c r="G71" s="1"/>
      <c r="H71" s="1">
        <f>SUM(OSRRefH22_14x_0)</f>
        <v>5895</v>
      </c>
      <c r="I71" s="1"/>
      <c r="J71" s="5">
        <f t="shared" ref="J71:J75" si="33">IF(H$12=0,0,H71/H$12)</f>
        <v>0</v>
      </c>
      <c r="K71" s="1"/>
      <c r="L71" s="1">
        <f t="shared" ref="L71:L75" si="34">+D71-H71</f>
        <v>20893.650000000001</v>
      </c>
      <c r="M71" s="1"/>
      <c r="N71" s="5">
        <f t="shared" ref="N71:N75" si="35">IF(H71=0,0,L71/H71)</f>
        <v>3.5443002544529265</v>
      </c>
      <c r="O71" s="14"/>
      <c r="P71" s="1">
        <f>SUM(OSRRefP22_14x_0)</f>
        <v>26788.65</v>
      </c>
      <c r="Q71" s="1"/>
      <c r="R71" s="5">
        <f t="shared" ref="R71:R75" si="36">IF(P$12=0,0,P71/P$12)</f>
        <v>0</v>
      </c>
      <c r="S71" s="1"/>
      <c r="T71" s="1">
        <f>SUM(OSRRefT22_14x_0)</f>
        <v>5895</v>
      </c>
      <c r="U71" s="1"/>
      <c r="V71" s="5">
        <f t="shared" ref="V71:V75" si="37">IF(T$12=0,0,T71/T$12)</f>
        <v>0</v>
      </c>
      <c r="W71" s="1"/>
      <c r="X71" s="1">
        <f t="shared" ref="X71:X75" si="38">+P71-T71</f>
        <v>20893.650000000001</v>
      </c>
      <c r="Y71" s="1"/>
      <c r="Z71" s="5">
        <f t="shared" ref="Z71:Z75" si="39">IF(T71=0,0,X71/T71)</f>
        <v>3.5443002544529265</v>
      </c>
    </row>
    <row r="72" spans="1:26" s="24" customFormat="1" hidden="1" outlineLevel="2" x14ac:dyDescent="0.25">
      <c r="A72" s="29"/>
      <c r="B72" s="11" t="str">
        <f>CONCATENATE("          ", "6371", " - ", "COMPUTER SOFTWARE MAINTENANCE")</f>
        <v xml:space="preserve">          6371 - COMPUTER SOFTWARE MAINTENANCE</v>
      </c>
      <c r="C72" s="11"/>
      <c r="D72" s="7">
        <v>10755.91</v>
      </c>
      <c r="E72" s="2"/>
      <c r="F72" s="6">
        <f t="shared" si="32"/>
        <v>0</v>
      </c>
      <c r="G72" s="2"/>
      <c r="H72" s="7">
        <v>900</v>
      </c>
      <c r="I72" s="2"/>
      <c r="J72" s="6">
        <f t="shared" si="33"/>
        <v>0</v>
      </c>
      <c r="K72" s="2"/>
      <c r="L72" s="7">
        <f t="shared" si="34"/>
        <v>9855.91</v>
      </c>
      <c r="M72" s="2"/>
      <c r="N72" s="6">
        <f t="shared" si="35"/>
        <v>10.951011111111111</v>
      </c>
      <c r="O72" s="11"/>
      <c r="P72" s="7">
        <v>10755.91</v>
      </c>
      <c r="Q72" s="2"/>
      <c r="R72" s="6">
        <f t="shared" si="36"/>
        <v>0</v>
      </c>
      <c r="S72" s="2"/>
      <c r="T72" s="7">
        <v>900</v>
      </c>
      <c r="U72" s="2"/>
      <c r="V72" s="6">
        <f t="shared" si="37"/>
        <v>0</v>
      </c>
      <c r="W72" s="2"/>
      <c r="X72" s="7">
        <f t="shared" si="38"/>
        <v>9855.91</v>
      </c>
      <c r="Y72" s="2"/>
      <c r="Z72" s="6">
        <f t="shared" si="39"/>
        <v>10.951011111111111</v>
      </c>
    </row>
    <row r="73" spans="1:26" s="24" customFormat="1" hidden="1" outlineLevel="2" x14ac:dyDescent="0.25">
      <c r="A73" s="29"/>
      <c r="B73" s="11" t="str">
        <f>CONCATENATE("          ", "6372", " - ", "COMPUTER HARDWARE MAINTENANCE")</f>
        <v xml:space="preserve">          6372 - COMPUTER HARDWARE MAINTENANCE</v>
      </c>
      <c r="C73" s="11"/>
      <c r="D73" s="7"/>
      <c r="E73" s="2"/>
      <c r="F73" s="6">
        <f t="shared" si="32"/>
        <v>0</v>
      </c>
      <c r="G73" s="2"/>
      <c r="H73" s="7">
        <v>500</v>
      </c>
      <c r="I73" s="2"/>
      <c r="J73" s="6">
        <f t="shared" si="33"/>
        <v>0</v>
      </c>
      <c r="K73" s="2"/>
      <c r="L73" s="7">
        <f t="shared" si="34"/>
        <v>-500</v>
      </c>
      <c r="M73" s="2"/>
      <c r="N73" s="6">
        <f t="shared" si="35"/>
        <v>-1</v>
      </c>
      <c r="O73" s="11"/>
      <c r="P73" s="7"/>
      <c r="Q73" s="2"/>
      <c r="R73" s="6">
        <f t="shared" si="36"/>
        <v>0</v>
      </c>
      <c r="S73" s="2"/>
      <c r="T73" s="7">
        <v>500</v>
      </c>
      <c r="U73" s="2"/>
      <c r="V73" s="6">
        <f t="shared" si="37"/>
        <v>0</v>
      </c>
      <c r="W73" s="2"/>
      <c r="X73" s="7">
        <f t="shared" si="38"/>
        <v>-500</v>
      </c>
      <c r="Y73" s="2"/>
      <c r="Z73" s="6">
        <f t="shared" si="39"/>
        <v>-1</v>
      </c>
    </row>
    <row r="74" spans="1:26" s="24" customFormat="1" hidden="1" outlineLevel="2" x14ac:dyDescent="0.25">
      <c r="A74" s="29"/>
      <c r="B74" s="11" t="str">
        <f>CONCATENATE("          ", "6373", " - ", "MAINTENANCE CONTRACTS")</f>
        <v xml:space="preserve">          6373 - MAINTENANCE CONTRACTS</v>
      </c>
      <c r="C74" s="11"/>
      <c r="D74" s="7">
        <v>15913.310000000001</v>
      </c>
      <c r="E74" s="2"/>
      <c r="F74" s="6">
        <f t="shared" si="32"/>
        <v>0</v>
      </c>
      <c r="G74" s="2"/>
      <c r="H74" s="7">
        <v>4495</v>
      </c>
      <c r="I74" s="2"/>
      <c r="J74" s="6">
        <f t="shared" si="33"/>
        <v>0</v>
      </c>
      <c r="K74" s="2"/>
      <c r="L74" s="7">
        <f t="shared" si="34"/>
        <v>11418.310000000001</v>
      </c>
      <c r="M74" s="2"/>
      <c r="N74" s="6">
        <f t="shared" si="35"/>
        <v>2.5402246941045608</v>
      </c>
      <c r="O74" s="11"/>
      <c r="P74" s="7">
        <v>15913.310000000001</v>
      </c>
      <c r="Q74" s="2"/>
      <c r="R74" s="6">
        <f t="shared" si="36"/>
        <v>0</v>
      </c>
      <c r="S74" s="2"/>
      <c r="T74" s="7">
        <v>4495</v>
      </c>
      <c r="U74" s="2"/>
      <c r="V74" s="6">
        <f t="shared" si="37"/>
        <v>0</v>
      </c>
      <c r="W74" s="2"/>
      <c r="X74" s="7">
        <f t="shared" si="38"/>
        <v>11418.310000000001</v>
      </c>
      <c r="Y74" s="2"/>
      <c r="Z74" s="6">
        <f t="shared" si="39"/>
        <v>2.5402246941045608</v>
      </c>
    </row>
    <row r="75" spans="1:26" s="24" customFormat="1" hidden="1" outlineLevel="2" x14ac:dyDescent="0.2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7">
        <v>119.43</v>
      </c>
      <c r="E75" s="2"/>
      <c r="F75" s="6">
        <f t="shared" si="32"/>
        <v>0</v>
      </c>
      <c r="G75" s="2"/>
      <c r="H75" s="7"/>
      <c r="I75" s="2"/>
      <c r="J75" s="6">
        <f t="shared" si="33"/>
        <v>0</v>
      </c>
      <c r="K75" s="2"/>
      <c r="L75" s="7">
        <f t="shared" si="34"/>
        <v>119.43</v>
      </c>
      <c r="M75" s="2"/>
      <c r="N75" s="6">
        <f t="shared" si="35"/>
        <v>0</v>
      </c>
      <c r="O75" s="11"/>
      <c r="P75" s="7">
        <v>119.43</v>
      </c>
      <c r="Q75" s="2"/>
      <c r="R75" s="6">
        <f t="shared" si="36"/>
        <v>0</v>
      </c>
      <c r="S75" s="2"/>
      <c r="T75" s="7"/>
      <c r="U75" s="2"/>
      <c r="V75" s="6">
        <f t="shared" si="37"/>
        <v>0</v>
      </c>
      <c r="W75" s="2"/>
      <c r="X75" s="7">
        <f t="shared" si="38"/>
        <v>119.43</v>
      </c>
      <c r="Y75" s="2"/>
      <c r="Z75" s="6">
        <f t="shared" si="39"/>
        <v>0</v>
      </c>
    </row>
    <row r="76" spans="1:26" s="27" customFormat="1" outlineLevel="1" collapsed="1" x14ac:dyDescent="0.25">
      <c r="A76" s="28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SUM(OSRRefD22_15x_0)</f>
        <v>1022.5400000000001</v>
      </c>
      <c r="E76" s="1"/>
      <c r="F76" s="5">
        <f t="shared" ref="F76:F78" si="40">IF(D$12=0,0,D76/D$12)</f>
        <v>0</v>
      </c>
      <c r="G76" s="1"/>
      <c r="H76" s="1">
        <f>SUM(OSRRefH22_15x_0)</f>
        <v>610</v>
      </c>
      <c r="I76" s="1"/>
      <c r="J76" s="5">
        <f t="shared" ref="J76:J78" si="41">IF(H$12=0,0,H76/H$12)</f>
        <v>0</v>
      </c>
      <c r="K76" s="1"/>
      <c r="L76" s="1">
        <f t="shared" ref="L76:L78" si="42">+D76-H76</f>
        <v>412.54000000000008</v>
      </c>
      <c r="M76" s="1"/>
      <c r="N76" s="5">
        <f t="shared" ref="N76:N78" si="43">IF(H76=0,0,L76/H76)</f>
        <v>0.67629508196721322</v>
      </c>
      <c r="O76" s="14"/>
      <c r="P76" s="1">
        <f>SUM(OSRRefP22_15x_0)</f>
        <v>1022.5400000000001</v>
      </c>
      <c r="Q76" s="1"/>
      <c r="R76" s="5">
        <f t="shared" ref="R76:R78" si="44">IF(P$12=0,0,P76/P$12)</f>
        <v>0</v>
      </c>
      <c r="S76" s="1"/>
      <c r="T76" s="1">
        <f>SUM(OSRRefT22_15x_0)</f>
        <v>610</v>
      </c>
      <c r="U76" s="1"/>
      <c r="V76" s="5">
        <f t="shared" ref="V76:V78" si="45">IF(T$12=0,0,T76/T$12)</f>
        <v>0</v>
      </c>
      <c r="W76" s="1"/>
      <c r="X76" s="1">
        <f t="shared" ref="X76:X78" si="46">+P76-T76</f>
        <v>412.54000000000008</v>
      </c>
      <c r="Y76" s="1"/>
      <c r="Z76" s="5">
        <f t="shared" ref="Z76:Z78" si="47">IF(T76=0,0,X76/T76)</f>
        <v>0.67629508196721322</v>
      </c>
    </row>
    <row r="77" spans="1:26" s="24" customFormat="1" hidden="1" outlineLevel="2" x14ac:dyDescent="0.25">
      <c r="A77" s="29"/>
      <c r="B77" s="11" t="str">
        <f>CONCATENATE("          ", "6281", " - ", "STORAGE FEE")</f>
        <v xml:space="preserve">          6281 - STORAGE FEE</v>
      </c>
      <c r="C77" s="11"/>
      <c r="D77" s="7">
        <v>1013.7</v>
      </c>
      <c r="E77" s="2"/>
      <c r="F77" s="6">
        <f t="shared" si="40"/>
        <v>0</v>
      </c>
      <c r="G77" s="2"/>
      <c r="H77" s="7">
        <v>600</v>
      </c>
      <c r="I77" s="2"/>
      <c r="J77" s="6">
        <f t="shared" si="41"/>
        <v>0</v>
      </c>
      <c r="K77" s="2"/>
      <c r="L77" s="7">
        <f t="shared" si="42"/>
        <v>413.70000000000005</v>
      </c>
      <c r="M77" s="2"/>
      <c r="N77" s="6">
        <f t="shared" si="43"/>
        <v>0.68950000000000011</v>
      </c>
      <c r="O77" s="11"/>
      <c r="P77" s="7">
        <v>1013.7</v>
      </c>
      <c r="Q77" s="2"/>
      <c r="R77" s="6">
        <f t="shared" si="44"/>
        <v>0</v>
      </c>
      <c r="S77" s="2"/>
      <c r="T77" s="7">
        <v>600</v>
      </c>
      <c r="U77" s="2"/>
      <c r="V77" s="6">
        <f t="shared" si="45"/>
        <v>0</v>
      </c>
      <c r="W77" s="2"/>
      <c r="X77" s="7">
        <f t="shared" si="46"/>
        <v>413.70000000000005</v>
      </c>
      <c r="Y77" s="2"/>
      <c r="Z77" s="6">
        <f t="shared" si="47"/>
        <v>0.68950000000000011</v>
      </c>
    </row>
    <row r="78" spans="1:26" s="24" customFormat="1" hidden="1" outlineLevel="2" x14ac:dyDescent="0.25">
      <c r="A78" s="29"/>
      <c r="B78" s="11" t="str">
        <f>CONCATENATE("          ", "6286", " - ", "LAUNDRY EXPENSE")</f>
        <v xml:space="preserve">          6286 - LAUNDRY EXPENSE</v>
      </c>
      <c r="C78" s="11"/>
      <c r="D78" s="7">
        <v>8.84</v>
      </c>
      <c r="E78" s="2"/>
      <c r="F78" s="6">
        <f t="shared" si="40"/>
        <v>0</v>
      </c>
      <c r="G78" s="2"/>
      <c r="H78" s="7">
        <v>10</v>
      </c>
      <c r="I78" s="2"/>
      <c r="J78" s="6">
        <f t="shared" si="41"/>
        <v>0</v>
      </c>
      <c r="K78" s="2"/>
      <c r="L78" s="7">
        <f t="shared" si="42"/>
        <v>-1.1600000000000001</v>
      </c>
      <c r="M78" s="2"/>
      <c r="N78" s="6">
        <f t="shared" si="43"/>
        <v>-0.11600000000000002</v>
      </c>
      <c r="O78" s="11"/>
      <c r="P78" s="7">
        <v>8.84</v>
      </c>
      <c r="Q78" s="2"/>
      <c r="R78" s="6">
        <f t="shared" si="44"/>
        <v>0</v>
      </c>
      <c r="S78" s="2"/>
      <c r="T78" s="7">
        <v>10</v>
      </c>
      <c r="U78" s="2"/>
      <c r="V78" s="6">
        <f t="shared" si="45"/>
        <v>0</v>
      </c>
      <c r="W78" s="2"/>
      <c r="X78" s="7">
        <f t="shared" si="46"/>
        <v>-1.1600000000000001</v>
      </c>
      <c r="Y78" s="2"/>
      <c r="Z78" s="6">
        <f t="shared" si="47"/>
        <v>-0.11600000000000002</v>
      </c>
    </row>
    <row r="79" spans="1:26" s="27" customFormat="1" outlineLevel="1" collapsed="1" x14ac:dyDescent="0.25">
      <c r="A79" s="28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SUM(OSRRefD22_16x_0)</f>
        <v>1000</v>
      </c>
      <c r="E79" s="1"/>
      <c r="F79" s="5">
        <f t="shared" ref="F79:F81" si="48">IF(D$12=0,0,D79/D$12)</f>
        <v>0</v>
      </c>
      <c r="G79" s="1"/>
      <c r="H79" s="1">
        <f>SUM(OSRRefH22_16x_0)</f>
        <v>727</v>
      </c>
      <c r="I79" s="1"/>
      <c r="J79" s="5">
        <f t="shared" ref="J79:J81" si="49">IF(H$12=0,0,H79/H$12)</f>
        <v>0</v>
      </c>
      <c r="K79" s="1"/>
      <c r="L79" s="1">
        <f t="shared" ref="L79:L81" si="50">+D79-H79</f>
        <v>273</v>
      </c>
      <c r="M79" s="1"/>
      <c r="N79" s="5">
        <f t="shared" ref="N79:N81" si="51">IF(H79=0,0,L79/H79)</f>
        <v>0.37551581843191195</v>
      </c>
      <c r="O79" s="14"/>
      <c r="P79" s="1">
        <f>SUM(OSRRefP22_16x_0)</f>
        <v>1000</v>
      </c>
      <c r="Q79" s="1"/>
      <c r="R79" s="5">
        <f t="shared" ref="R79:R81" si="52">IF(P$12=0,0,P79/P$12)</f>
        <v>0</v>
      </c>
      <c r="S79" s="1"/>
      <c r="T79" s="1">
        <f>SUM(OSRRefT22_16x_0)</f>
        <v>727</v>
      </c>
      <c r="U79" s="1"/>
      <c r="V79" s="5">
        <f t="shared" ref="V79:V81" si="53">IF(T$12=0,0,T79/T$12)</f>
        <v>0</v>
      </c>
      <c r="W79" s="1"/>
      <c r="X79" s="1">
        <f t="shared" ref="X79:X81" si="54">+P79-T79</f>
        <v>273</v>
      </c>
      <c r="Y79" s="1"/>
      <c r="Z79" s="5">
        <f t="shared" ref="Z79:Z81" si="55">IF(T79=0,0,X79/T79)</f>
        <v>0.37551581843191195</v>
      </c>
    </row>
    <row r="80" spans="1:26" s="24" customFormat="1" hidden="1" outlineLevel="2" x14ac:dyDescent="0.25">
      <c r="A80" s="29"/>
      <c r="B80" s="11" t="str">
        <f>CONCATENATE("          ", "6258", " - ", "MEMBERSHIP DUES")</f>
        <v xml:space="preserve">          6258 - MEMBERSHIP DUES</v>
      </c>
      <c r="C80" s="11"/>
      <c r="D80" s="7">
        <v>1000</v>
      </c>
      <c r="E80" s="2"/>
      <c r="F80" s="6">
        <f t="shared" si="48"/>
        <v>0</v>
      </c>
      <c r="G80" s="2"/>
      <c r="H80" s="7">
        <v>627</v>
      </c>
      <c r="I80" s="2"/>
      <c r="J80" s="6">
        <f t="shared" si="49"/>
        <v>0</v>
      </c>
      <c r="K80" s="2"/>
      <c r="L80" s="7">
        <f t="shared" si="50"/>
        <v>373</v>
      </c>
      <c r="M80" s="2"/>
      <c r="N80" s="6">
        <f t="shared" si="51"/>
        <v>0.59489633173843703</v>
      </c>
      <c r="O80" s="11"/>
      <c r="P80" s="7">
        <v>1000</v>
      </c>
      <c r="Q80" s="2"/>
      <c r="R80" s="6">
        <f t="shared" si="52"/>
        <v>0</v>
      </c>
      <c r="S80" s="2"/>
      <c r="T80" s="7">
        <v>627</v>
      </c>
      <c r="U80" s="2"/>
      <c r="V80" s="6">
        <f t="shared" si="53"/>
        <v>0</v>
      </c>
      <c r="W80" s="2"/>
      <c r="X80" s="7">
        <f t="shared" si="54"/>
        <v>373</v>
      </c>
      <c r="Y80" s="2"/>
      <c r="Z80" s="6">
        <f t="shared" si="55"/>
        <v>0.59489633173843703</v>
      </c>
    </row>
    <row r="81" spans="1:26" s="24" customFormat="1" hidden="1" outlineLevel="2" x14ac:dyDescent="0.25">
      <c r="A81" s="29"/>
      <c r="B81" s="11" t="str">
        <f>CONCATENATE("          ", "6275", " - ", "SUBSCRIPTIONS")</f>
        <v xml:space="preserve">          6275 - SUBSCRIPTIONS</v>
      </c>
      <c r="C81" s="11"/>
      <c r="D81" s="7"/>
      <c r="E81" s="2"/>
      <c r="F81" s="6">
        <f t="shared" si="48"/>
        <v>0</v>
      </c>
      <c r="G81" s="2"/>
      <c r="H81" s="7">
        <v>100</v>
      </c>
      <c r="I81" s="2"/>
      <c r="J81" s="6">
        <f t="shared" si="49"/>
        <v>0</v>
      </c>
      <c r="K81" s="2"/>
      <c r="L81" s="7">
        <f t="shared" si="50"/>
        <v>-100</v>
      </c>
      <c r="M81" s="2"/>
      <c r="N81" s="6">
        <f t="shared" si="51"/>
        <v>-1</v>
      </c>
      <c r="O81" s="11"/>
      <c r="P81" s="7"/>
      <c r="Q81" s="2"/>
      <c r="R81" s="6">
        <f t="shared" si="52"/>
        <v>0</v>
      </c>
      <c r="S81" s="2"/>
      <c r="T81" s="7">
        <v>100</v>
      </c>
      <c r="U81" s="2"/>
      <c r="V81" s="6">
        <f t="shared" si="53"/>
        <v>0</v>
      </c>
      <c r="W81" s="2"/>
      <c r="X81" s="7">
        <f t="shared" si="54"/>
        <v>-100</v>
      </c>
      <c r="Y81" s="2"/>
      <c r="Z81" s="6">
        <f t="shared" si="55"/>
        <v>-1</v>
      </c>
    </row>
    <row r="82" spans="1:26" s="27" customFormat="1" outlineLevel="1" collapsed="1" x14ac:dyDescent="0.25">
      <c r="A82" s="28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SUM(OSRRefD22_17x_0)</f>
        <v>9790.6</v>
      </c>
      <c r="E82" s="1"/>
      <c r="F82" s="5">
        <f t="shared" ref="F82:F86" si="56">IF(D$12=0,0,D82/D$12)</f>
        <v>0</v>
      </c>
      <c r="G82" s="1"/>
      <c r="H82" s="1">
        <f>SUM(OSRRefH22_17x_0)</f>
        <v>4752</v>
      </c>
      <c r="I82" s="1"/>
      <c r="J82" s="5">
        <f t="shared" ref="J82:J86" si="57">IF(H$12=0,0,H82/H$12)</f>
        <v>0</v>
      </c>
      <c r="K82" s="1"/>
      <c r="L82" s="1">
        <f t="shared" ref="L82:L86" si="58">+D82-H82</f>
        <v>5038.6000000000004</v>
      </c>
      <c r="M82" s="1"/>
      <c r="N82" s="5">
        <f t="shared" ref="N82:N86" si="59">IF(H82=0,0,L82/H82)</f>
        <v>1.0603114478114479</v>
      </c>
      <c r="O82" s="14"/>
      <c r="P82" s="1">
        <f>SUM(OSRRefP22_17x_0)</f>
        <v>9790.6</v>
      </c>
      <c r="Q82" s="1"/>
      <c r="R82" s="5">
        <f t="shared" ref="R82:R86" si="60">IF(P$12=0,0,P82/P$12)</f>
        <v>0</v>
      </c>
      <c r="S82" s="1"/>
      <c r="T82" s="1">
        <f>SUM(OSRRefT22_17x_0)</f>
        <v>4752</v>
      </c>
      <c r="U82" s="1"/>
      <c r="V82" s="5">
        <f t="shared" ref="V82:V86" si="61">IF(T$12=0,0,T82/T$12)</f>
        <v>0</v>
      </c>
      <c r="W82" s="1"/>
      <c r="X82" s="1">
        <f t="shared" ref="X82:X86" si="62">+P82-T82</f>
        <v>5038.6000000000004</v>
      </c>
      <c r="Y82" s="1"/>
      <c r="Z82" s="5">
        <f t="shared" ref="Z82:Z86" si="63">IF(T82=0,0,X82/T82)</f>
        <v>1.0603114478114479</v>
      </c>
    </row>
    <row r="83" spans="1:26" s="24" customFormat="1" hidden="1" outlineLevel="2" x14ac:dyDescent="0.25">
      <c r="A83" s="29"/>
      <c r="B83" s="11" t="str">
        <f>CONCATENATE("          ", "6234", " - ", "EXPENDABLE SUPPLIES &amp; EQUIPMEN")</f>
        <v xml:space="preserve">          6234 - EXPENDABLE SUPPLIES &amp; EQUIPMEN</v>
      </c>
      <c r="C83" s="11"/>
      <c r="D83" s="7">
        <v>-225.81</v>
      </c>
      <c r="E83" s="2"/>
      <c r="F83" s="6">
        <f t="shared" si="56"/>
        <v>0</v>
      </c>
      <c r="G83" s="2"/>
      <c r="H83" s="7">
        <v>700</v>
      </c>
      <c r="I83" s="2"/>
      <c r="J83" s="6">
        <f t="shared" si="57"/>
        <v>0</v>
      </c>
      <c r="K83" s="2"/>
      <c r="L83" s="7">
        <f t="shared" si="58"/>
        <v>-925.81</v>
      </c>
      <c r="M83" s="2"/>
      <c r="N83" s="6">
        <f t="shared" si="59"/>
        <v>-1.3225857142857143</v>
      </c>
      <c r="O83" s="11"/>
      <c r="P83" s="7">
        <v>-225.81</v>
      </c>
      <c r="Q83" s="2"/>
      <c r="R83" s="6">
        <f t="shared" si="60"/>
        <v>0</v>
      </c>
      <c r="S83" s="2"/>
      <c r="T83" s="7">
        <v>700</v>
      </c>
      <c r="U83" s="2"/>
      <c r="V83" s="6">
        <f t="shared" si="61"/>
        <v>0</v>
      </c>
      <c r="W83" s="2"/>
      <c r="X83" s="7">
        <f t="shared" si="62"/>
        <v>-925.81</v>
      </c>
      <c r="Y83" s="2"/>
      <c r="Z83" s="6">
        <f t="shared" si="63"/>
        <v>-1.3225857142857143</v>
      </c>
    </row>
    <row r="84" spans="1:26" s="24" customFormat="1" hidden="1" outlineLevel="2" x14ac:dyDescent="0.25">
      <c r="A84" s="29"/>
      <c r="B84" s="11" t="str">
        <f>CONCATENATE("          ", "6241", " - ", "OFFICE EXPENSE")</f>
        <v xml:space="preserve">          6241 - OFFICE EXPENSE</v>
      </c>
      <c r="C84" s="11"/>
      <c r="D84" s="7">
        <v>8933.3799999999992</v>
      </c>
      <c r="E84" s="2"/>
      <c r="F84" s="6">
        <f t="shared" si="56"/>
        <v>0</v>
      </c>
      <c r="G84" s="2"/>
      <c r="H84" s="7">
        <v>3635</v>
      </c>
      <c r="I84" s="2"/>
      <c r="J84" s="6">
        <f t="shared" si="57"/>
        <v>0</v>
      </c>
      <c r="K84" s="2"/>
      <c r="L84" s="7">
        <f t="shared" si="58"/>
        <v>5298.3799999999992</v>
      </c>
      <c r="M84" s="2"/>
      <c r="N84" s="6">
        <f t="shared" si="59"/>
        <v>1.4576011004126546</v>
      </c>
      <c r="O84" s="11"/>
      <c r="P84" s="7">
        <v>8933.3799999999992</v>
      </c>
      <c r="Q84" s="2"/>
      <c r="R84" s="6">
        <f t="shared" si="60"/>
        <v>0</v>
      </c>
      <c r="S84" s="2"/>
      <c r="T84" s="7">
        <v>3635</v>
      </c>
      <c r="U84" s="2"/>
      <c r="V84" s="6">
        <f t="shared" si="61"/>
        <v>0</v>
      </c>
      <c r="W84" s="2"/>
      <c r="X84" s="7">
        <f t="shared" si="62"/>
        <v>5298.3799999999992</v>
      </c>
      <c r="Y84" s="2"/>
      <c r="Z84" s="6">
        <f t="shared" si="63"/>
        <v>1.4576011004126546</v>
      </c>
    </row>
    <row r="85" spans="1:26" s="24" customFormat="1" hidden="1" outlineLevel="2" x14ac:dyDescent="0.25">
      <c r="A85" s="29"/>
      <c r="B85" s="11" t="str">
        <f>CONCATENATE("          ", "6244", " - ", "SAFETY SUPPLY EXPENSE")</f>
        <v xml:space="preserve">          6244 - SAFETY SUPPLY EXPENSE</v>
      </c>
      <c r="C85" s="11"/>
      <c r="D85" s="7">
        <v>127.92</v>
      </c>
      <c r="E85" s="2"/>
      <c r="F85" s="6">
        <f t="shared" si="56"/>
        <v>0</v>
      </c>
      <c r="G85" s="2"/>
      <c r="H85" s="7">
        <v>417</v>
      </c>
      <c r="I85" s="2"/>
      <c r="J85" s="6">
        <f t="shared" si="57"/>
        <v>0</v>
      </c>
      <c r="K85" s="2"/>
      <c r="L85" s="7">
        <f t="shared" si="58"/>
        <v>-289.08</v>
      </c>
      <c r="M85" s="2"/>
      <c r="N85" s="6">
        <f t="shared" si="59"/>
        <v>-0.69323741007194239</v>
      </c>
      <c r="O85" s="11"/>
      <c r="P85" s="7">
        <v>127.92</v>
      </c>
      <c r="Q85" s="2"/>
      <c r="R85" s="6">
        <f t="shared" si="60"/>
        <v>0</v>
      </c>
      <c r="S85" s="2"/>
      <c r="T85" s="7">
        <v>417</v>
      </c>
      <c r="U85" s="2"/>
      <c r="V85" s="6">
        <f t="shared" si="61"/>
        <v>0</v>
      </c>
      <c r="W85" s="2"/>
      <c r="X85" s="7">
        <f t="shared" si="62"/>
        <v>-289.08</v>
      </c>
      <c r="Y85" s="2"/>
      <c r="Z85" s="6">
        <f t="shared" si="63"/>
        <v>-0.69323741007194239</v>
      </c>
    </row>
    <row r="86" spans="1:26" s="24" customFormat="1" hidden="1" outlineLevel="2" x14ac:dyDescent="0.25">
      <c r="A86" s="29"/>
      <c r="B86" s="11" t="str">
        <f>CONCATENATE("          ", "6245", " - ", "PRINTING")</f>
        <v xml:space="preserve">          6245 - PRINTING</v>
      </c>
      <c r="C86" s="11"/>
      <c r="D86" s="7">
        <v>955.11</v>
      </c>
      <c r="E86" s="2"/>
      <c r="F86" s="6">
        <f t="shared" si="56"/>
        <v>0</v>
      </c>
      <c r="G86" s="2"/>
      <c r="H86" s="7"/>
      <c r="I86" s="2"/>
      <c r="J86" s="6">
        <f t="shared" si="57"/>
        <v>0</v>
      </c>
      <c r="K86" s="2"/>
      <c r="L86" s="7">
        <f t="shared" si="58"/>
        <v>955.11</v>
      </c>
      <c r="M86" s="2"/>
      <c r="N86" s="6">
        <f t="shared" si="59"/>
        <v>0</v>
      </c>
      <c r="O86" s="11"/>
      <c r="P86" s="7">
        <v>955.11</v>
      </c>
      <c r="Q86" s="2"/>
      <c r="R86" s="6">
        <f t="shared" si="60"/>
        <v>0</v>
      </c>
      <c r="S86" s="2"/>
      <c r="T86" s="7"/>
      <c r="U86" s="2"/>
      <c r="V86" s="6">
        <f t="shared" si="61"/>
        <v>0</v>
      </c>
      <c r="W86" s="2"/>
      <c r="X86" s="7">
        <f t="shared" si="62"/>
        <v>955.11</v>
      </c>
      <c r="Y86" s="2"/>
      <c r="Z86" s="6">
        <f t="shared" si="63"/>
        <v>0</v>
      </c>
    </row>
    <row r="87" spans="1:26" s="27" customFormat="1" outlineLevel="1" collapsed="1" x14ac:dyDescent="0.25">
      <c r="A87" s="28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SUM(OSRRefD22_18x_0)</f>
        <v>4914.92</v>
      </c>
      <c r="E87" s="1"/>
      <c r="F87" s="5">
        <f t="shared" ref="F87:F89" si="64">IF(D$12=0,0,D87/D$12)</f>
        <v>0</v>
      </c>
      <c r="G87" s="1"/>
      <c r="H87" s="1">
        <f>SUM(OSRRefH22_18x_0)</f>
        <v>1780</v>
      </c>
      <c r="I87" s="1"/>
      <c r="J87" s="5">
        <f t="shared" ref="J87:J89" si="65">IF(H$12=0,0,H87/H$12)</f>
        <v>0</v>
      </c>
      <c r="K87" s="1"/>
      <c r="L87" s="1">
        <f t="shared" ref="L87:L89" si="66">+D87-H87</f>
        <v>3134.92</v>
      </c>
      <c r="M87" s="1"/>
      <c r="N87" s="5">
        <f t="shared" ref="N87:N89" si="67">IF(H87=0,0,L87/H87)</f>
        <v>1.761191011235955</v>
      </c>
      <c r="O87" s="14"/>
      <c r="P87" s="1">
        <f>SUM(OSRRefP22_18x_0)</f>
        <v>4914.92</v>
      </c>
      <c r="Q87" s="1"/>
      <c r="R87" s="5">
        <f t="shared" ref="R87:R89" si="68">IF(P$12=0,0,P87/P$12)</f>
        <v>0</v>
      </c>
      <c r="S87" s="1"/>
      <c r="T87" s="1">
        <f>SUM(OSRRefT22_18x_0)</f>
        <v>1780</v>
      </c>
      <c r="U87" s="1"/>
      <c r="V87" s="5">
        <f t="shared" ref="V87:V89" si="69">IF(T$12=0,0,T87/T$12)</f>
        <v>0</v>
      </c>
      <c r="W87" s="1"/>
      <c r="X87" s="1">
        <f t="shared" ref="X87:X89" si="70">+P87-T87</f>
        <v>3134.92</v>
      </c>
      <c r="Y87" s="1"/>
      <c r="Z87" s="5">
        <f t="shared" ref="Z87:Z89" si="71">IF(T87=0,0,X87/T87)</f>
        <v>1.761191011235955</v>
      </c>
    </row>
    <row r="88" spans="1:26" s="24" customFormat="1" hidden="1" outlineLevel="2" x14ac:dyDescent="0.25">
      <c r="A88" s="29"/>
      <c r="B88" s="11" t="str">
        <f>CONCATENATE("          ", "6303", " - ", "DATA PHONE LINES")</f>
        <v xml:space="preserve">          6303 - DATA PHONE LINES</v>
      </c>
      <c r="C88" s="11"/>
      <c r="D88" s="7">
        <v>195.53</v>
      </c>
      <c r="E88" s="2"/>
      <c r="F88" s="6">
        <f t="shared" si="64"/>
        <v>0</v>
      </c>
      <c r="G88" s="2"/>
      <c r="H88" s="7">
        <v>200</v>
      </c>
      <c r="I88" s="2"/>
      <c r="J88" s="6">
        <f t="shared" si="65"/>
        <v>0</v>
      </c>
      <c r="K88" s="2"/>
      <c r="L88" s="7">
        <f t="shared" si="66"/>
        <v>-4.4699999999999989</v>
      </c>
      <c r="M88" s="2"/>
      <c r="N88" s="6">
        <f t="shared" si="67"/>
        <v>-2.2349999999999995E-2</v>
      </c>
      <c r="O88" s="11"/>
      <c r="P88" s="7">
        <v>195.53</v>
      </c>
      <c r="Q88" s="2"/>
      <c r="R88" s="6">
        <f t="shared" si="68"/>
        <v>0</v>
      </c>
      <c r="S88" s="2"/>
      <c r="T88" s="7">
        <v>200</v>
      </c>
      <c r="U88" s="2"/>
      <c r="V88" s="6">
        <f t="shared" si="69"/>
        <v>0</v>
      </c>
      <c r="W88" s="2"/>
      <c r="X88" s="7">
        <f t="shared" si="70"/>
        <v>-4.4699999999999989</v>
      </c>
      <c r="Y88" s="2"/>
      <c r="Z88" s="6">
        <f t="shared" si="71"/>
        <v>-2.2349999999999995E-2</v>
      </c>
    </row>
    <row r="89" spans="1:26" s="24" customFormat="1" hidden="1" outlineLevel="2" x14ac:dyDescent="0.25">
      <c r="A89" s="29"/>
      <c r="B89" s="11" t="str">
        <f>CONCATENATE("          ", "6309", " - ", "TELEPHONE")</f>
        <v xml:space="preserve">          6309 - TELEPHONE</v>
      </c>
      <c r="C89" s="11"/>
      <c r="D89" s="7">
        <v>4719.3900000000003</v>
      </c>
      <c r="E89" s="2"/>
      <c r="F89" s="6">
        <f t="shared" si="64"/>
        <v>0</v>
      </c>
      <c r="G89" s="2"/>
      <c r="H89" s="7">
        <v>1580</v>
      </c>
      <c r="I89" s="2"/>
      <c r="J89" s="6">
        <f t="shared" si="65"/>
        <v>0</v>
      </c>
      <c r="K89" s="2"/>
      <c r="L89" s="7">
        <f t="shared" si="66"/>
        <v>3139.3900000000003</v>
      </c>
      <c r="M89" s="2"/>
      <c r="N89" s="6">
        <f t="shared" si="67"/>
        <v>1.9869556962025319</v>
      </c>
      <c r="O89" s="11"/>
      <c r="P89" s="7">
        <v>4719.3900000000003</v>
      </c>
      <c r="Q89" s="2"/>
      <c r="R89" s="6">
        <f t="shared" si="68"/>
        <v>0</v>
      </c>
      <c r="S89" s="2"/>
      <c r="T89" s="7">
        <v>1580</v>
      </c>
      <c r="U89" s="2"/>
      <c r="V89" s="6">
        <f t="shared" si="69"/>
        <v>0</v>
      </c>
      <c r="W89" s="2"/>
      <c r="X89" s="7">
        <f t="shared" si="70"/>
        <v>3139.3900000000003</v>
      </c>
      <c r="Y89" s="2"/>
      <c r="Z89" s="6">
        <f t="shared" si="71"/>
        <v>1.9869556962025319</v>
      </c>
    </row>
    <row r="90" spans="1:26" s="27" customFormat="1" outlineLevel="1" collapsed="1" x14ac:dyDescent="0.25">
      <c r="A90" s="28"/>
      <c r="B90" s="14" t="str">
        <f>CONCATENATE("     ","Training                                          ")</f>
        <v xml:space="preserve">     Training                                          </v>
      </c>
      <c r="C90" s="14"/>
      <c r="D90" s="1">
        <f>SUM(OSRRefD22_19x_0)</f>
        <v>746.62</v>
      </c>
      <c r="E90" s="1"/>
      <c r="F90" s="5">
        <f t="shared" ref="F90:F93" si="72">IF(D$12=0,0,D90/D$12)</f>
        <v>0</v>
      </c>
      <c r="G90" s="1"/>
      <c r="H90" s="1">
        <f>SUM(OSRRefH22_19x_0)</f>
        <v>5783</v>
      </c>
      <c r="I90" s="1"/>
      <c r="J90" s="5">
        <f t="shared" ref="J90:J93" si="73">IF(H$12=0,0,H90/H$12)</f>
        <v>0</v>
      </c>
      <c r="K90" s="1"/>
      <c r="L90" s="1">
        <f t="shared" ref="L90:L93" si="74">+D90-H90</f>
        <v>-5036.38</v>
      </c>
      <c r="M90" s="1"/>
      <c r="N90" s="5">
        <f t="shared" ref="N90:N93" si="75">IF(H90=0,0,L90/H90)</f>
        <v>-0.87089399965415881</v>
      </c>
      <c r="O90" s="14"/>
      <c r="P90" s="1">
        <f>SUM(OSRRefP22_19x_0)</f>
        <v>746.62</v>
      </c>
      <c r="Q90" s="1"/>
      <c r="R90" s="5">
        <f t="shared" ref="R90:R93" si="76">IF(P$12=0,0,P90/P$12)</f>
        <v>0</v>
      </c>
      <c r="S90" s="1"/>
      <c r="T90" s="1">
        <f>SUM(OSRRefT22_19x_0)</f>
        <v>5783</v>
      </c>
      <c r="U90" s="1"/>
      <c r="V90" s="5">
        <f t="shared" ref="V90:V93" si="77">IF(T$12=0,0,T90/T$12)</f>
        <v>0</v>
      </c>
      <c r="W90" s="1"/>
      <c r="X90" s="1">
        <f t="shared" ref="X90:X93" si="78">+P90-T90</f>
        <v>-5036.38</v>
      </c>
      <c r="Y90" s="1"/>
      <c r="Z90" s="5">
        <f t="shared" ref="Z90:Z93" si="79">IF(T90=0,0,X90/T90)</f>
        <v>-0.87089399965415881</v>
      </c>
    </row>
    <row r="91" spans="1:26" s="24" customFormat="1" hidden="1" outlineLevel="2" x14ac:dyDescent="0.25">
      <c r="A91" s="29"/>
      <c r="B91" s="11" t="str">
        <f>CONCATENATE("          ", "6376", " - ", "TRAINING")</f>
        <v xml:space="preserve">          6376 - TRAINING</v>
      </c>
      <c r="C91" s="11"/>
      <c r="D91" s="7">
        <v>746.62</v>
      </c>
      <c r="E91" s="2"/>
      <c r="F91" s="6">
        <f t="shared" si="72"/>
        <v>0</v>
      </c>
      <c r="G91" s="2"/>
      <c r="H91" s="7">
        <v>5783</v>
      </c>
      <c r="I91" s="2"/>
      <c r="J91" s="6">
        <f t="shared" si="73"/>
        <v>0</v>
      </c>
      <c r="K91" s="2"/>
      <c r="L91" s="7">
        <f t="shared" si="74"/>
        <v>-5036.38</v>
      </c>
      <c r="M91" s="2"/>
      <c r="N91" s="6">
        <f t="shared" si="75"/>
        <v>-0.87089399965415881</v>
      </c>
      <c r="O91" s="11"/>
      <c r="P91" s="7">
        <v>746.62</v>
      </c>
      <c r="Q91" s="2"/>
      <c r="R91" s="6">
        <f t="shared" si="76"/>
        <v>0</v>
      </c>
      <c r="S91" s="2"/>
      <c r="T91" s="7">
        <v>5783</v>
      </c>
      <c r="U91" s="2"/>
      <c r="V91" s="6">
        <f t="shared" si="77"/>
        <v>0</v>
      </c>
      <c r="W91" s="2"/>
      <c r="X91" s="7">
        <f t="shared" si="78"/>
        <v>-5036.38</v>
      </c>
      <c r="Y91" s="2"/>
      <c r="Z91" s="6">
        <f t="shared" si="79"/>
        <v>-0.87089399965415881</v>
      </c>
    </row>
    <row r="92" spans="1:26" s="27" customFormat="1" outlineLevel="1" collapsed="1" x14ac:dyDescent="0.25">
      <c r="A92" s="28"/>
      <c r="B92" s="14" t="str">
        <f>CONCATENATE("     ","Travel                                            ")</f>
        <v xml:space="preserve">     Travel                                            </v>
      </c>
      <c r="C92" s="14"/>
      <c r="D92" s="1">
        <f>SUM(OSRRefD22_20x_0)</f>
        <v>569</v>
      </c>
      <c r="E92" s="1"/>
      <c r="F92" s="5">
        <f t="shared" si="72"/>
        <v>0</v>
      </c>
      <c r="G92" s="1"/>
      <c r="H92" s="1">
        <f>SUM(OSRRefH22_20x_0)</f>
        <v>5750</v>
      </c>
      <c r="I92" s="1"/>
      <c r="J92" s="5">
        <f t="shared" si="73"/>
        <v>0</v>
      </c>
      <c r="K92" s="1"/>
      <c r="L92" s="1">
        <f t="shared" si="74"/>
        <v>-5181</v>
      </c>
      <c r="M92" s="1"/>
      <c r="N92" s="5">
        <f t="shared" si="75"/>
        <v>-0.90104347826086961</v>
      </c>
      <c r="O92" s="14"/>
      <c r="P92" s="1">
        <f>SUM(OSRRefP22_20x_0)</f>
        <v>569</v>
      </c>
      <c r="Q92" s="1"/>
      <c r="R92" s="5">
        <f t="shared" si="76"/>
        <v>0</v>
      </c>
      <c r="S92" s="1"/>
      <c r="T92" s="1">
        <f>SUM(OSRRefT22_20x_0)</f>
        <v>5750</v>
      </c>
      <c r="U92" s="1"/>
      <c r="V92" s="5">
        <f t="shared" si="77"/>
        <v>0</v>
      </c>
      <c r="W92" s="1"/>
      <c r="X92" s="1">
        <f t="shared" si="78"/>
        <v>-5181</v>
      </c>
      <c r="Y92" s="1"/>
      <c r="Z92" s="5">
        <f t="shared" si="79"/>
        <v>-0.90104347826086961</v>
      </c>
    </row>
    <row r="93" spans="1:26" s="24" customFormat="1" hidden="1" outlineLevel="2" x14ac:dyDescent="0.25">
      <c r="A93" s="29"/>
      <c r="B93" s="11" t="str">
        <f>CONCATENATE("          ", "6292", " - ", "TRAVEL/CONFERENCE")</f>
        <v xml:space="preserve">          6292 - TRAVEL/CONFERENCE</v>
      </c>
      <c r="C93" s="11"/>
      <c r="D93" s="7">
        <v>569</v>
      </c>
      <c r="E93" s="2"/>
      <c r="F93" s="6">
        <f t="shared" si="72"/>
        <v>0</v>
      </c>
      <c r="G93" s="2"/>
      <c r="H93" s="7">
        <v>5750</v>
      </c>
      <c r="I93" s="2"/>
      <c r="J93" s="6">
        <f t="shared" si="73"/>
        <v>0</v>
      </c>
      <c r="K93" s="2"/>
      <c r="L93" s="7">
        <f t="shared" si="74"/>
        <v>-5181</v>
      </c>
      <c r="M93" s="2"/>
      <c r="N93" s="6">
        <f t="shared" si="75"/>
        <v>-0.90104347826086961</v>
      </c>
      <c r="O93" s="11"/>
      <c r="P93" s="7">
        <v>569</v>
      </c>
      <c r="Q93" s="2"/>
      <c r="R93" s="6">
        <f t="shared" si="76"/>
        <v>0</v>
      </c>
      <c r="S93" s="2"/>
      <c r="T93" s="7">
        <v>5750</v>
      </c>
      <c r="U93" s="2"/>
      <c r="V93" s="6">
        <f t="shared" si="77"/>
        <v>0</v>
      </c>
      <c r="W93" s="2"/>
      <c r="X93" s="7">
        <f t="shared" si="78"/>
        <v>-5181</v>
      </c>
      <c r="Y93" s="2"/>
      <c r="Z93" s="6">
        <f t="shared" si="79"/>
        <v>-0.90104347826086961</v>
      </c>
    </row>
    <row r="94" spans="1:26" s="57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x14ac:dyDescent="0.25">
      <c r="A95" s="10"/>
      <c r="B95" s="25" t="s">
        <v>0</v>
      </c>
      <c r="C95" s="10"/>
      <c r="D95" s="4">
        <f>SUM(0)</f>
        <v>0</v>
      </c>
      <c r="E95" s="4"/>
      <c r="F95" s="12">
        <f>IF(D$12=0,0,D95/D$12)</f>
        <v>0</v>
      </c>
      <c r="G95" s="4"/>
      <c r="H95" s="4">
        <f>SUM(0)</f>
        <v>0</v>
      </c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>
        <f>SUM(0)</f>
        <v>0</v>
      </c>
      <c r="Q95" s="4"/>
      <c r="R95" s="12">
        <f>IF(P$12=0,0,P95/P$12)</f>
        <v>0</v>
      </c>
      <c r="S95" s="4"/>
      <c r="T95" s="4">
        <f>SUM(0)</f>
        <v>0</v>
      </c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6" t="s">
        <v>3</v>
      </c>
      <c r="C97" s="26"/>
      <c r="D97" s="21">
        <f>+D16-D18+D95</f>
        <v>-313331.27</v>
      </c>
      <c r="E97" s="13"/>
      <c r="F97" s="19">
        <f>IF(D$12=0,0,D97/D$12)</f>
        <v>0</v>
      </c>
      <c r="G97" s="13"/>
      <c r="H97" s="21">
        <f>+H16-H18+H95</f>
        <v>-399882.24011977576</v>
      </c>
      <c r="I97" s="13"/>
      <c r="J97" s="19">
        <f>IF(H$12=0,0,H97/H$12)</f>
        <v>0</v>
      </c>
      <c r="K97" s="15"/>
      <c r="L97" s="21">
        <f>+D97-H97</f>
        <v>86550.970119775739</v>
      </c>
      <c r="M97" s="15"/>
      <c r="N97" s="19">
        <f>IF(H97=0,0,L97/H97)</f>
        <v>-0.21644114550786586</v>
      </c>
      <c r="O97" s="25"/>
      <c r="P97" s="21">
        <f>+P16-P18+P95</f>
        <v>-313331.27</v>
      </c>
      <c r="Q97" s="13"/>
      <c r="R97" s="19">
        <f>IF(P$12=0,0,P97/P$12)</f>
        <v>0</v>
      </c>
      <c r="S97" s="13"/>
      <c r="T97" s="21">
        <f>+T16-T18+T95</f>
        <v>-399882.24011977576</v>
      </c>
      <c r="U97" s="13"/>
      <c r="V97" s="19">
        <f>IF(T$12=0,0,T97/T$12)</f>
        <v>0</v>
      </c>
      <c r="W97" s="15"/>
      <c r="X97" s="21">
        <f>+P97-T97</f>
        <v>86550.970119775739</v>
      </c>
      <c r="Y97" s="15"/>
      <c r="Z97" s="19">
        <f>IF(T97=0,0,X97/T97)</f>
        <v>-0.21644114550786586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2"/>
      <c r="B99" s="10" t="s">
        <v>14</v>
      </c>
      <c r="C99" s="10"/>
      <c r="D99" s="4"/>
      <c r="E99" s="4"/>
      <c r="F99" s="12">
        <f>IF(D$12=0,0,D99/D$12)</f>
        <v>0</v>
      </c>
      <c r="G99" s="4"/>
      <c r="H99" s="4"/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/>
      <c r="Q99" s="4"/>
      <c r="R99" s="12">
        <f>IF(P$12=0,0,P99/P$12)</f>
        <v>0</v>
      </c>
      <c r="S99" s="4"/>
      <c r="T99" s="4"/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6" t="s">
        <v>4</v>
      </c>
      <c r="C101" s="26"/>
      <c r="D101" s="32">
        <f>+D97-D99</f>
        <v>-313331.27</v>
      </c>
      <c r="E101" s="13"/>
      <c r="F101" s="31">
        <f>IF(D$12=0,0,D101/D$12)</f>
        <v>0</v>
      </c>
      <c r="G101" s="13"/>
      <c r="H101" s="32">
        <f>+H97-H99</f>
        <v>-399882.24011977576</v>
      </c>
      <c r="I101" s="13"/>
      <c r="J101" s="31">
        <f>IF(H$12=0,0,H101/H$12)</f>
        <v>0</v>
      </c>
      <c r="K101" s="15"/>
      <c r="L101" s="32">
        <f>D101-H101</f>
        <v>86550.970119775739</v>
      </c>
      <c r="M101" s="15"/>
      <c r="N101" s="31">
        <f>IF(H101=0,0,L101/H101)</f>
        <v>-0.21644114550786586</v>
      </c>
      <c r="O101" s="25"/>
      <c r="P101" s="32">
        <f>+P97-P99</f>
        <v>-313331.27</v>
      </c>
      <c r="Q101" s="13"/>
      <c r="R101" s="31">
        <f>IF(P$12=0,0,P101/P$12)</f>
        <v>0</v>
      </c>
      <c r="S101" s="13"/>
      <c r="T101" s="32">
        <f>+T97-T99</f>
        <v>-399882.24011977576</v>
      </c>
      <c r="U101" s="13"/>
      <c r="V101" s="31">
        <f>IF(T$12=0,0,T101/T$12)</f>
        <v>0</v>
      </c>
      <c r="W101" s="15"/>
      <c r="X101" s="32">
        <f>P101-T101</f>
        <v>86550.970119775739</v>
      </c>
      <c r="Y101" s="15"/>
      <c r="Z101" s="31">
        <f>IF(T101=0,0,X101/T101)</f>
        <v>-0.21644114550786586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5</v>
      </c>
      <c r="C104" s="26"/>
      <c r="D104" s="33">
        <f>SUM(D101:D103)</f>
        <v>-313331.27</v>
      </c>
      <c r="E104" s="13"/>
      <c r="F104" s="34">
        <f>IF(D$12=0,0,D104/D$12)</f>
        <v>0</v>
      </c>
      <c r="G104" s="13"/>
      <c r="H104" s="33">
        <f>SUM(H101:H103)</f>
        <v>-399882.24011977576</v>
      </c>
      <c r="I104" s="13"/>
      <c r="J104" s="34">
        <f>IF(H$12=0,0,H104/H$12)</f>
        <v>0</v>
      </c>
      <c r="K104" s="15"/>
      <c r="L104" s="33">
        <f>+D104-H104</f>
        <v>86550.970119775739</v>
      </c>
      <c r="M104" s="15"/>
      <c r="N104" s="34">
        <f>IF(H104=0,0,L104/H104)</f>
        <v>-0.21644114550786586</v>
      </c>
      <c r="O104" s="25"/>
      <c r="P104" s="33">
        <f>SUM(P101:P103)</f>
        <v>-313331.27</v>
      </c>
      <c r="Q104" s="13"/>
      <c r="R104" s="34">
        <f>IF(P$12=0,0,P104/P$12)</f>
        <v>0</v>
      </c>
      <c r="S104" s="13"/>
      <c r="T104" s="33">
        <f>SUM(T101:T103)</f>
        <v>-399882.24011977576</v>
      </c>
      <c r="U104" s="13"/>
      <c r="V104" s="34">
        <f>IF(T$12=0,0,T104/T$12)</f>
        <v>0</v>
      </c>
      <c r="W104" s="15"/>
      <c r="X104" s="33">
        <f>+P104-T104</f>
        <v>86550.970119775739</v>
      </c>
      <c r="Y104" s="15"/>
      <c r="Z104" s="34">
        <f>IF(T104=0,0,X104/T104)</f>
        <v>-0.21644114550786586</v>
      </c>
    </row>
    <row r="105" spans="1:26" ht="15.75" thickTop="1" x14ac:dyDescent="0.25">
      <c r="A105" s="9"/>
      <c r="C105" s="9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61">
        <v>43726.678097569442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56" t="s">
        <v>314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53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","200", " - ", "Corporate Expense")</f>
        <v>Department 200 - Corporate Expense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32122.670000000002</v>
      </c>
      <c r="E18" s="20"/>
      <c r="F18" s="30">
        <f t="shared" ref="F18:F27" si="0">IF(D$12=0,0,D18/D$12)</f>
        <v>0</v>
      </c>
      <c r="G18" s="20"/>
      <c r="H18" s="20">
        <f>SUM(OSRRefH22x_0)</f>
        <v>68700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-36577.33</v>
      </c>
      <c r="M18" s="4"/>
      <c r="N18" s="30">
        <f t="shared" ref="N18:N27" si="3">IF(H18=0,0,L18/H18)</f>
        <v>-0.53242110625909755</v>
      </c>
      <c r="O18" s="10"/>
      <c r="P18" s="20">
        <f>SUM(OSRRefP22x_0)</f>
        <v>32122.670000000002</v>
      </c>
      <c r="Q18" s="20"/>
      <c r="R18" s="30">
        <f t="shared" ref="R18:R27" si="4">IF(P$12=0,0,P18/P$12)</f>
        <v>0</v>
      </c>
      <c r="S18" s="20"/>
      <c r="T18" s="20">
        <f>SUM(OSRRefT22x_0)</f>
        <v>68700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-36577.33</v>
      </c>
      <c r="Y18" s="4"/>
      <c r="Z18" s="30">
        <f t="shared" ref="Z18:Z27" si="7">IF(T18=0,0,X18/T18)</f>
        <v>-0.53242110625909755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28870.880000000001</v>
      </c>
      <c r="E19" s="1"/>
      <c r="F19" s="5">
        <f t="shared" si="0"/>
        <v>0</v>
      </c>
      <c r="G19" s="1"/>
      <c r="H19" s="1">
        <f>SUM(OSRRefH22_0x_0)</f>
        <v>39000</v>
      </c>
      <c r="I19" s="1"/>
      <c r="J19" s="5">
        <f t="shared" si="1"/>
        <v>0</v>
      </c>
      <c r="K19" s="1"/>
      <c r="L19" s="1">
        <f t="shared" si="2"/>
        <v>-10129.119999999999</v>
      </c>
      <c r="M19" s="1"/>
      <c r="N19" s="5">
        <f t="shared" si="3"/>
        <v>-0.25972102564102562</v>
      </c>
      <c r="O19" s="14"/>
      <c r="P19" s="1">
        <f>SUM(OSRRefP22_0x_0)</f>
        <v>28870.880000000001</v>
      </c>
      <c r="Q19" s="1"/>
      <c r="R19" s="5">
        <f t="shared" si="4"/>
        <v>0</v>
      </c>
      <c r="S19" s="1"/>
      <c r="T19" s="1">
        <f>SUM(OSRRefT22_0x_0)</f>
        <v>39000</v>
      </c>
      <c r="U19" s="1"/>
      <c r="V19" s="5">
        <f t="shared" si="5"/>
        <v>0</v>
      </c>
      <c r="W19" s="1"/>
      <c r="X19" s="1">
        <f t="shared" si="6"/>
        <v>-10129.119999999999</v>
      </c>
      <c r="Y19" s="1"/>
      <c r="Z19" s="5">
        <f t="shared" si="7"/>
        <v>-0.25972102564102562</v>
      </c>
    </row>
    <row r="20" spans="1:26" s="24" customFormat="1" hidden="1" outlineLevel="2" x14ac:dyDescent="0.25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7">
        <v>28870.880000000001</v>
      </c>
      <c r="E20" s="2"/>
      <c r="F20" s="6">
        <f t="shared" si="0"/>
        <v>0</v>
      </c>
      <c r="G20" s="2"/>
      <c r="H20" s="7">
        <v>39000</v>
      </c>
      <c r="I20" s="2"/>
      <c r="J20" s="6">
        <f t="shared" si="1"/>
        <v>0</v>
      </c>
      <c r="K20" s="2"/>
      <c r="L20" s="7">
        <f t="shared" si="2"/>
        <v>-10129.119999999999</v>
      </c>
      <c r="M20" s="2"/>
      <c r="N20" s="6">
        <f t="shared" si="3"/>
        <v>-0.25972102564102562</v>
      </c>
      <c r="O20" s="11"/>
      <c r="P20" s="7">
        <v>28870.880000000001</v>
      </c>
      <c r="Q20" s="2"/>
      <c r="R20" s="6">
        <f t="shared" si="4"/>
        <v>0</v>
      </c>
      <c r="S20" s="2"/>
      <c r="T20" s="7">
        <v>39000</v>
      </c>
      <c r="U20" s="2"/>
      <c r="V20" s="6">
        <f t="shared" si="5"/>
        <v>0</v>
      </c>
      <c r="W20" s="2"/>
      <c r="X20" s="7">
        <f t="shared" si="6"/>
        <v>-10129.119999999999</v>
      </c>
      <c r="Y20" s="2"/>
      <c r="Z20" s="6">
        <f t="shared" si="7"/>
        <v>-0.25972102564102562</v>
      </c>
    </row>
    <row r="21" spans="1:26" s="27" customFormat="1" outlineLevel="1" collapsed="1" x14ac:dyDescent="0.25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826.39</v>
      </c>
      <c r="E21" s="1"/>
      <c r="F21" s="5">
        <f t="shared" si="0"/>
        <v>0</v>
      </c>
      <c r="G21" s="1"/>
      <c r="H21" s="1">
        <f>SUM(OSRRefH22_1x_0)</f>
        <v>15000</v>
      </c>
      <c r="I21" s="1"/>
      <c r="J21" s="5">
        <f t="shared" si="1"/>
        <v>0</v>
      </c>
      <c r="K21" s="1"/>
      <c r="L21" s="1">
        <f t="shared" si="2"/>
        <v>-14173.61</v>
      </c>
      <c r="M21" s="1"/>
      <c r="N21" s="5">
        <f t="shared" si="3"/>
        <v>-0.94490733333333332</v>
      </c>
      <c r="O21" s="14"/>
      <c r="P21" s="1">
        <f>SUM(OSRRefP22_1x_0)</f>
        <v>826.39</v>
      </c>
      <c r="Q21" s="1"/>
      <c r="R21" s="5">
        <f t="shared" si="4"/>
        <v>0</v>
      </c>
      <c r="S21" s="1"/>
      <c r="T21" s="1">
        <f>SUM(OSRRefT22_1x_0)</f>
        <v>15000</v>
      </c>
      <c r="U21" s="1"/>
      <c r="V21" s="5">
        <f t="shared" si="5"/>
        <v>0</v>
      </c>
      <c r="W21" s="1"/>
      <c r="X21" s="1">
        <f t="shared" si="6"/>
        <v>-14173.61</v>
      </c>
      <c r="Y21" s="1"/>
      <c r="Z21" s="5">
        <f t="shared" si="7"/>
        <v>-0.94490733333333332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7">
        <v>826.39</v>
      </c>
      <c r="E22" s="2"/>
      <c r="F22" s="6">
        <f t="shared" si="0"/>
        <v>0</v>
      </c>
      <c r="G22" s="2"/>
      <c r="H22" s="7">
        <v>15000</v>
      </c>
      <c r="I22" s="2"/>
      <c r="J22" s="6">
        <f t="shared" si="1"/>
        <v>0</v>
      </c>
      <c r="K22" s="2"/>
      <c r="L22" s="7">
        <f t="shared" si="2"/>
        <v>-14173.61</v>
      </c>
      <c r="M22" s="2"/>
      <c r="N22" s="6">
        <f t="shared" si="3"/>
        <v>-0.94490733333333332</v>
      </c>
      <c r="O22" s="11"/>
      <c r="P22" s="7">
        <v>826.39</v>
      </c>
      <c r="Q22" s="2"/>
      <c r="R22" s="6">
        <f t="shared" si="4"/>
        <v>0</v>
      </c>
      <c r="S22" s="2"/>
      <c r="T22" s="7">
        <v>15000</v>
      </c>
      <c r="U22" s="2"/>
      <c r="V22" s="6">
        <f t="shared" si="5"/>
        <v>0</v>
      </c>
      <c r="W22" s="2"/>
      <c r="X22" s="7">
        <f t="shared" si="6"/>
        <v>-14173.61</v>
      </c>
      <c r="Y22" s="2"/>
      <c r="Z22" s="6">
        <f t="shared" si="7"/>
        <v>-0.94490733333333332</v>
      </c>
    </row>
    <row r="23" spans="1:26" s="27" customFormat="1" outlineLevel="1" collapsed="1" x14ac:dyDescent="0.25">
      <c r="A23" s="28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2425.4</v>
      </c>
      <c r="E23" s="1"/>
      <c r="F23" s="5">
        <f t="shared" si="0"/>
        <v>0</v>
      </c>
      <c r="G23" s="1"/>
      <c r="H23" s="1">
        <f>SUM(OSRRefH22_2x_0)</f>
        <v>2200</v>
      </c>
      <c r="I23" s="1"/>
      <c r="J23" s="5">
        <f t="shared" si="1"/>
        <v>0</v>
      </c>
      <c r="K23" s="1"/>
      <c r="L23" s="1">
        <f t="shared" si="2"/>
        <v>225.40000000000009</v>
      </c>
      <c r="M23" s="1"/>
      <c r="N23" s="5">
        <f t="shared" si="3"/>
        <v>0.10245454545454549</v>
      </c>
      <c r="O23" s="14"/>
      <c r="P23" s="1">
        <f>SUM(OSRRefP22_2x_0)</f>
        <v>2425.4</v>
      </c>
      <c r="Q23" s="1"/>
      <c r="R23" s="5">
        <f t="shared" si="4"/>
        <v>0</v>
      </c>
      <c r="S23" s="1"/>
      <c r="T23" s="1">
        <f>SUM(OSRRefT22_2x_0)</f>
        <v>2200</v>
      </c>
      <c r="U23" s="1"/>
      <c r="V23" s="5">
        <f t="shared" si="5"/>
        <v>0</v>
      </c>
      <c r="W23" s="1"/>
      <c r="X23" s="1">
        <f t="shared" si="6"/>
        <v>225.40000000000009</v>
      </c>
      <c r="Y23" s="1"/>
      <c r="Z23" s="5">
        <f t="shared" si="7"/>
        <v>0.10245454545454549</v>
      </c>
    </row>
    <row r="24" spans="1:26" s="24" customFormat="1" hidden="1" outlineLevel="2" x14ac:dyDescent="0.25">
      <c r="A24" s="29"/>
      <c r="B24" s="11" t="str">
        <f>CONCATENATE("          ", "6397", " - ", "BOARD EXPENSES")</f>
        <v xml:space="preserve">          6397 - BOARD EXPENSES</v>
      </c>
      <c r="C24" s="11"/>
      <c r="D24" s="7">
        <v>2425.4</v>
      </c>
      <c r="E24" s="2"/>
      <c r="F24" s="6">
        <f t="shared" si="0"/>
        <v>0</v>
      </c>
      <c r="G24" s="2"/>
      <c r="H24" s="7">
        <v>2200</v>
      </c>
      <c r="I24" s="2"/>
      <c r="J24" s="6">
        <f t="shared" si="1"/>
        <v>0</v>
      </c>
      <c r="K24" s="2"/>
      <c r="L24" s="7">
        <f t="shared" si="2"/>
        <v>225.40000000000009</v>
      </c>
      <c r="M24" s="2"/>
      <c r="N24" s="6">
        <f t="shared" si="3"/>
        <v>0.10245454545454549</v>
      </c>
      <c r="O24" s="11"/>
      <c r="P24" s="7">
        <v>2425.4</v>
      </c>
      <c r="Q24" s="2"/>
      <c r="R24" s="6">
        <f t="shared" si="4"/>
        <v>0</v>
      </c>
      <c r="S24" s="2"/>
      <c r="T24" s="7">
        <v>2200</v>
      </c>
      <c r="U24" s="2"/>
      <c r="V24" s="6">
        <f t="shared" si="5"/>
        <v>0</v>
      </c>
      <c r="W24" s="2"/>
      <c r="X24" s="7">
        <f t="shared" si="6"/>
        <v>225.40000000000009</v>
      </c>
      <c r="Y24" s="2"/>
      <c r="Z24" s="6">
        <f t="shared" si="7"/>
        <v>0.10245454545454549</v>
      </c>
    </row>
    <row r="25" spans="1:26" s="27" customFormat="1" outlineLevel="1" collapsed="1" x14ac:dyDescent="0.25">
      <c r="A25" s="28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12500</v>
      </c>
      <c r="I25" s="1"/>
      <c r="J25" s="5">
        <f t="shared" si="1"/>
        <v>0</v>
      </c>
      <c r="K25" s="1"/>
      <c r="L25" s="1">
        <f t="shared" si="2"/>
        <v>-12500</v>
      </c>
      <c r="M25" s="1"/>
      <c r="N25" s="5">
        <f t="shared" si="3"/>
        <v>-1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12500</v>
      </c>
      <c r="U25" s="1"/>
      <c r="V25" s="5">
        <f t="shared" si="5"/>
        <v>0</v>
      </c>
      <c r="W25" s="1"/>
      <c r="X25" s="1">
        <f t="shared" si="6"/>
        <v>-12500</v>
      </c>
      <c r="Y25" s="1"/>
      <c r="Z25" s="5">
        <f t="shared" si="7"/>
        <v>-1</v>
      </c>
    </row>
    <row r="26" spans="1:26" s="24" customFormat="1" hidden="1" outlineLevel="2" x14ac:dyDescent="0.25">
      <c r="A26" s="29"/>
      <c r="B26" s="11" t="str">
        <f>CONCATENATE("          ", "6331", " - ", "INDIRECT COSTS-AUXILIARY ORGAN")</f>
        <v xml:space="preserve">          6331 - INDIRECT COSTS-AUXILIARY ORGAN</v>
      </c>
      <c r="C26" s="11"/>
      <c r="D26" s="7"/>
      <c r="E26" s="2"/>
      <c r="F26" s="6">
        <f t="shared" si="0"/>
        <v>0</v>
      </c>
      <c r="G26" s="2"/>
      <c r="H26" s="7">
        <v>12500</v>
      </c>
      <c r="I26" s="2"/>
      <c r="J26" s="6">
        <f t="shared" si="1"/>
        <v>0</v>
      </c>
      <c r="K26" s="2"/>
      <c r="L26" s="7">
        <f t="shared" si="2"/>
        <v>-12500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12500</v>
      </c>
      <c r="U26" s="2"/>
      <c r="V26" s="6">
        <f t="shared" si="5"/>
        <v>0</v>
      </c>
      <c r="W26" s="2"/>
      <c r="X26" s="7">
        <f t="shared" si="6"/>
        <v>-12500</v>
      </c>
      <c r="Y26" s="2"/>
      <c r="Z26" s="6">
        <f t="shared" si="7"/>
        <v>-1</v>
      </c>
    </row>
    <row r="27" spans="1:26" s="24" customFormat="1" hidden="1" outlineLevel="2" x14ac:dyDescent="0.25">
      <c r="A27" s="29"/>
      <c r="B27" s="11" t="str">
        <f>CONCATENATE("          ", "6332", " - ", "CONSULTANT FEES")</f>
        <v xml:space="preserve">          6332 - CONSULTANT FEES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57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3</v>
      </c>
      <c r="C31" s="26"/>
      <c r="D31" s="21">
        <f>+D16-D18+D29</f>
        <v>-32122.670000000002</v>
      </c>
      <c r="E31" s="13"/>
      <c r="F31" s="19">
        <f>IF(D$12=0,0,D31/D$12)</f>
        <v>0</v>
      </c>
      <c r="G31" s="13"/>
      <c r="H31" s="21">
        <f>+H16-H18+H29</f>
        <v>-68700</v>
      </c>
      <c r="I31" s="13"/>
      <c r="J31" s="19">
        <f>IF(H$12=0,0,H31/H$12)</f>
        <v>0</v>
      </c>
      <c r="K31" s="15"/>
      <c r="L31" s="21">
        <f>+D31-H31</f>
        <v>36577.33</v>
      </c>
      <c r="M31" s="15"/>
      <c r="N31" s="19">
        <f>IF(H31=0,0,L31/H31)</f>
        <v>-0.53242110625909755</v>
      </c>
      <c r="O31" s="25"/>
      <c r="P31" s="21">
        <f>+P16-P18+P29</f>
        <v>-32122.670000000002</v>
      </c>
      <c r="Q31" s="13"/>
      <c r="R31" s="19">
        <f>IF(P$12=0,0,P31/P$12)</f>
        <v>0</v>
      </c>
      <c r="S31" s="13"/>
      <c r="T31" s="21">
        <f>+T16-T18+T29</f>
        <v>-68700</v>
      </c>
      <c r="U31" s="13"/>
      <c r="V31" s="19">
        <f>IF(T$12=0,0,T31/T$12)</f>
        <v>0</v>
      </c>
      <c r="W31" s="15"/>
      <c r="X31" s="21">
        <f>+P31-T31</f>
        <v>36577.33</v>
      </c>
      <c r="Y31" s="15"/>
      <c r="Z31" s="19">
        <f>IF(T31=0,0,X31/T31)</f>
        <v>-0.53242110625909755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14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4</v>
      </c>
      <c r="C35" s="26"/>
      <c r="D35" s="32">
        <f>+D31-D33</f>
        <v>-32122.670000000002</v>
      </c>
      <c r="E35" s="13"/>
      <c r="F35" s="31">
        <f>IF(D$12=0,0,D35/D$12)</f>
        <v>0</v>
      </c>
      <c r="G35" s="13"/>
      <c r="H35" s="32">
        <f>+H31-H33</f>
        <v>-68700</v>
      </c>
      <c r="I35" s="13"/>
      <c r="J35" s="31">
        <f>IF(H$12=0,0,H35/H$12)</f>
        <v>0</v>
      </c>
      <c r="K35" s="15"/>
      <c r="L35" s="32">
        <f>D35-H35</f>
        <v>36577.33</v>
      </c>
      <c r="M35" s="15"/>
      <c r="N35" s="31">
        <f>IF(H35=0,0,L35/H35)</f>
        <v>-0.53242110625909755</v>
      </c>
      <c r="O35" s="25"/>
      <c r="P35" s="32">
        <f>+P31-P33</f>
        <v>-32122.670000000002</v>
      </c>
      <c r="Q35" s="13"/>
      <c r="R35" s="31">
        <f>IF(P$12=0,0,P35/P$12)</f>
        <v>0</v>
      </c>
      <c r="S35" s="13"/>
      <c r="T35" s="32">
        <f>+T31-T33</f>
        <v>-68700</v>
      </c>
      <c r="U35" s="13"/>
      <c r="V35" s="31">
        <f>IF(T$12=0,0,T35/T$12)</f>
        <v>0</v>
      </c>
      <c r="W35" s="15"/>
      <c r="X35" s="32">
        <f>P35-T35</f>
        <v>36577.33</v>
      </c>
      <c r="Y35" s="15"/>
      <c r="Z35" s="31">
        <f>IF(T35=0,0,X35/T35)</f>
        <v>-0.53242110625909755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6" t="s">
        <v>5</v>
      </c>
      <c r="C38" s="26"/>
      <c r="D38" s="33">
        <f>SUM(D35:D37)</f>
        <v>-32122.670000000002</v>
      </c>
      <c r="E38" s="13"/>
      <c r="F38" s="34">
        <f>IF(D$12=0,0,D38/D$12)</f>
        <v>0</v>
      </c>
      <c r="G38" s="13"/>
      <c r="H38" s="33">
        <f>SUM(H35:H37)</f>
        <v>-68700</v>
      </c>
      <c r="I38" s="13"/>
      <c r="J38" s="34">
        <f>IF(H$12=0,0,H38/H$12)</f>
        <v>0</v>
      </c>
      <c r="K38" s="15"/>
      <c r="L38" s="33">
        <f>+D38-H38</f>
        <v>36577.33</v>
      </c>
      <c r="M38" s="15"/>
      <c r="N38" s="34">
        <f>IF(H38=0,0,L38/H38)</f>
        <v>-0.53242110625909755</v>
      </c>
      <c r="O38" s="25"/>
      <c r="P38" s="33">
        <f>SUM(P35:P37)</f>
        <v>-32122.670000000002</v>
      </c>
      <c r="Q38" s="13"/>
      <c r="R38" s="34">
        <f>IF(P$12=0,0,P38/P$12)</f>
        <v>0</v>
      </c>
      <c r="S38" s="13"/>
      <c r="T38" s="33">
        <f>SUM(T35:T37)</f>
        <v>-68700</v>
      </c>
      <c r="U38" s="13"/>
      <c r="V38" s="34">
        <f>IF(T$12=0,0,T38/T$12)</f>
        <v>0</v>
      </c>
      <c r="W38" s="15"/>
      <c r="X38" s="33">
        <f>+P38-T38</f>
        <v>36577.33</v>
      </c>
      <c r="Y38" s="15"/>
      <c r="Z38" s="34">
        <f>IF(T38=0,0,X38/T38)</f>
        <v>-0.53242110625909755</v>
      </c>
    </row>
    <row r="39" spans="1:26" ht="15.75" thickTop="1" x14ac:dyDescent="0.25">
      <c r="A39" s="9"/>
      <c r="C39" s="9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61">
        <v>43726.678402002311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56" t="s">
        <v>314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53"/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","201", " - ", "General Manager")</f>
        <v>Department 201 - General Manager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77391.169999999969</v>
      </c>
      <c r="E18" s="20"/>
      <c r="F18" s="30">
        <f t="shared" ref="F18:F28" si="0">IF(D$12=0,0,D18/D$12)</f>
        <v>0</v>
      </c>
      <c r="G18" s="20"/>
      <c r="H18" s="20">
        <f>SUM(OSRRefH22x_0)</f>
        <v>96461.243021153845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-19070.073021153876</v>
      </c>
      <c r="M18" s="4"/>
      <c r="N18" s="30">
        <f t="shared" ref="N18:N28" si="3">IF(H18=0,0,L18/H18)</f>
        <v>-0.19769673729968243</v>
      </c>
      <c r="O18" s="10"/>
      <c r="P18" s="20">
        <f>SUM(OSRRefP22x_0)</f>
        <v>77391.169999999969</v>
      </c>
      <c r="Q18" s="20"/>
      <c r="R18" s="30">
        <f t="shared" ref="R18:R28" si="4">IF(P$12=0,0,P18/P$12)</f>
        <v>0</v>
      </c>
      <c r="S18" s="20"/>
      <c r="T18" s="20">
        <f>SUM(OSRRefT22x_0)</f>
        <v>96461.243021153845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-19070.073021153876</v>
      </c>
      <c r="Y18" s="4"/>
      <c r="Z18" s="30">
        <f t="shared" ref="Z18:Z28" si="7">IF(T18=0,0,X18/T18)</f>
        <v>-0.19769673729968243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21882.059999999998</v>
      </c>
      <c r="E19" s="1"/>
      <c r="F19" s="5">
        <f t="shared" si="0"/>
        <v>0</v>
      </c>
      <c r="G19" s="1"/>
      <c r="H19" s="1">
        <f>SUM(OSRRefH22_0x_0)</f>
        <v>15212.031482692311</v>
      </c>
      <c r="I19" s="1"/>
      <c r="J19" s="5">
        <f t="shared" si="1"/>
        <v>0</v>
      </c>
      <c r="K19" s="1"/>
      <c r="L19" s="1">
        <f t="shared" si="2"/>
        <v>6670.0285173076863</v>
      </c>
      <c r="M19" s="1"/>
      <c r="N19" s="5">
        <f t="shared" si="3"/>
        <v>0.4384705964418098</v>
      </c>
      <c r="O19" s="14"/>
      <c r="P19" s="1">
        <f>SUM(OSRRefP22_0x_0)</f>
        <v>21882.059999999998</v>
      </c>
      <c r="Q19" s="1"/>
      <c r="R19" s="5">
        <f t="shared" si="4"/>
        <v>0</v>
      </c>
      <c r="S19" s="1"/>
      <c r="T19" s="1">
        <f>SUM(OSRRefT22_0x_0)</f>
        <v>15212.031482692311</v>
      </c>
      <c r="U19" s="1"/>
      <c r="V19" s="5">
        <f t="shared" si="5"/>
        <v>0</v>
      </c>
      <c r="W19" s="1"/>
      <c r="X19" s="1">
        <f t="shared" si="6"/>
        <v>6670.0285173076863</v>
      </c>
      <c r="Y19" s="1"/>
      <c r="Z19" s="5">
        <f t="shared" si="7"/>
        <v>0.4384705964418098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2863.07</v>
      </c>
      <c r="E20" s="2"/>
      <c r="F20" s="6">
        <f t="shared" si="0"/>
        <v>0</v>
      </c>
      <c r="G20" s="2"/>
      <c r="H20" s="7">
        <v>2984.7730211538501</v>
      </c>
      <c r="I20" s="2"/>
      <c r="J20" s="6">
        <f t="shared" si="1"/>
        <v>0</v>
      </c>
      <c r="K20" s="2"/>
      <c r="L20" s="7">
        <f t="shared" si="2"/>
        <v>-121.70302115384993</v>
      </c>
      <c r="M20" s="2"/>
      <c r="N20" s="6">
        <f t="shared" si="3"/>
        <v>-4.0774631870266011E-2</v>
      </c>
      <c r="O20" s="11"/>
      <c r="P20" s="7">
        <v>2863.07</v>
      </c>
      <c r="Q20" s="2"/>
      <c r="R20" s="6">
        <f t="shared" si="4"/>
        <v>0</v>
      </c>
      <c r="S20" s="2"/>
      <c r="T20" s="7">
        <v>2984.7730211538501</v>
      </c>
      <c r="U20" s="2"/>
      <c r="V20" s="6">
        <f t="shared" si="5"/>
        <v>0</v>
      </c>
      <c r="W20" s="2"/>
      <c r="X20" s="7">
        <f t="shared" si="6"/>
        <v>-121.70302115384993</v>
      </c>
      <c r="Y20" s="2"/>
      <c r="Z20" s="6">
        <f t="shared" si="7"/>
        <v>-4.0774631870266011E-2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112.88</v>
      </c>
      <c r="E21" s="2"/>
      <c r="F21" s="6">
        <f t="shared" si="0"/>
        <v>0</v>
      </c>
      <c r="G21" s="2"/>
      <c r="H21" s="7">
        <v>132.60457692307699</v>
      </c>
      <c r="I21" s="2"/>
      <c r="J21" s="6">
        <f t="shared" si="1"/>
        <v>0</v>
      </c>
      <c r="K21" s="2"/>
      <c r="L21" s="7">
        <f t="shared" si="2"/>
        <v>-19.724576923076995</v>
      </c>
      <c r="M21" s="2"/>
      <c r="N21" s="6">
        <f t="shared" si="3"/>
        <v>-0.14874733120651701</v>
      </c>
      <c r="O21" s="11"/>
      <c r="P21" s="7">
        <v>112.88</v>
      </c>
      <c r="Q21" s="2"/>
      <c r="R21" s="6">
        <f t="shared" si="4"/>
        <v>0</v>
      </c>
      <c r="S21" s="2"/>
      <c r="T21" s="7">
        <v>132.60457692307699</v>
      </c>
      <c r="U21" s="2"/>
      <c r="V21" s="6">
        <f t="shared" si="5"/>
        <v>0</v>
      </c>
      <c r="W21" s="2"/>
      <c r="X21" s="7">
        <f t="shared" si="6"/>
        <v>-19.724576923076995</v>
      </c>
      <c r="Y21" s="2"/>
      <c r="Z21" s="6">
        <f t="shared" si="7"/>
        <v>-0.14874733120651701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4870.25</v>
      </c>
      <c r="E22" s="2"/>
      <c r="F22" s="6">
        <f t="shared" si="0"/>
        <v>0</v>
      </c>
      <c r="G22" s="2"/>
      <c r="H22" s="7">
        <v>4739</v>
      </c>
      <c r="I22" s="2"/>
      <c r="J22" s="6">
        <f t="shared" si="1"/>
        <v>0</v>
      </c>
      <c r="K22" s="2"/>
      <c r="L22" s="7">
        <f t="shared" si="2"/>
        <v>131.25</v>
      </c>
      <c r="M22" s="2"/>
      <c r="N22" s="6">
        <f t="shared" si="3"/>
        <v>2.7695716395864108E-2</v>
      </c>
      <c r="O22" s="11"/>
      <c r="P22" s="7">
        <v>4870.25</v>
      </c>
      <c r="Q22" s="2"/>
      <c r="R22" s="6">
        <f t="shared" si="4"/>
        <v>0</v>
      </c>
      <c r="S22" s="2"/>
      <c r="T22" s="7">
        <v>4739</v>
      </c>
      <c r="U22" s="2"/>
      <c r="V22" s="6">
        <f t="shared" si="5"/>
        <v>0</v>
      </c>
      <c r="W22" s="2"/>
      <c r="X22" s="7">
        <f t="shared" si="6"/>
        <v>131.25</v>
      </c>
      <c r="Y22" s="2"/>
      <c r="Z22" s="6">
        <f t="shared" si="7"/>
        <v>2.7695716395864108E-2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86.32</v>
      </c>
      <c r="E23" s="2"/>
      <c r="F23" s="6">
        <f t="shared" si="0"/>
        <v>0</v>
      </c>
      <c r="G23" s="2"/>
      <c r="H23" s="7">
        <v>101.40349999999999</v>
      </c>
      <c r="I23" s="2"/>
      <c r="J23" s="6">
        <f t="shared" si="1"/>
        <v>0</v>
      </c>
      <c r="K23" s="2"/>
      <c r="L23" s="7">
        <f t="shared" si="2"/>
        <v>-15.083500000000001</v>
      </c>
      <c r="M23" s="2"/>
      <c r="N23" s="6">
        <f t="shared" si="3"/>
        <v>-0.14874733120651656</v>
      </c>
      <c r="O23" s="11"/>
      <c r="P23" s="7">
        <v>86.32</v>
      </c>
      <c r="Q23" s="2"/>
      <c r="R23" s="6">
        <f t="shared" si="4"/>
        <v>0</v>
      </c>
      <c r="S23" s="2"/>
      <c r="T23" s="7">
        <v>101.40349999999999</v>
      </c>
      <c r="U23" s="2"/>
      <c r="V23" s="6">
        <f t="shared" si="5"/>
        <v>0</v>
      </c>
      <c r="W23" s="2"/>
      <c r="X23" s="7">
        <f t="shared" si="6"/>
        <v>-15.083500000000001</v>
      </c>
      <c r="Y23" s="2"/>
      <c r="Z23" s="6">
        <f t="shared" si="7"/>
        <v>-0.14874733120651656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3181.98</v>
      </c>
      <c r="E24" s="2"/>
      <c r="F24" s="6">
        <f t="shared" si="0"/>
        <v>0</v>
      </c>
      <c r="G24" s="2"/>
      <c r="H24" s="7">
        <v>3354.1157692307702</v>
      </c>
      <c r="I24" s="2"/>
      <c r="J24" s="6">
        <f t="shared" si="1"/>
        <v>0</v>
      </c>
      <c r="K24" s="2"/>
      <c r="L24" s="7">
        <f t="shared" si="2"/>
        <v>-172.13576923077017</v>
      </c>
      <c r="M24" s="2"/>
      <c r="N24" s="6">
        <f t="shared" si="3"/>
        <v>-5.1320759649941247E-2</v>
      </c>
      <c r="O24" s="11"/>
      <c r="P24" s="7">
        <v>3181.98</v>
      </c>
      <c r="Q24" s="2"/>
      <c r="R24" s="6">
        <f t="shared" si="4"/>
        <v>0</v>
      </c>
      <c r="S24" s="2"/>
      <c r="T24" s="7">
        <v>3354.1157692307702</v>
      </c>
      <c r="U24" s="2"/>
      <c r="V24" s="6">
        <f t="shared" si="5"/>
        <v>0</v>
      </c>
      <c r="W24" s="2"/>
      <c r="X24" s="7">
        <f t="shared" si="6"/>
        <v>-172.13576923077017</v>
      </c>
      <c r="Y24" s="2"/>
      <c r="Z24" s="6">
        <f t="shared" si="7"/>
        <v>-5.1320759649941247E-2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4208.96</v>
      </c>
      <c r="E26" s="2"/>
      <c r="F26" s="6">
        <f t="shared" si="0"/>
        <v>0</v>
      </c>
      <c r="G26" s="2"/>
      <c r="H26" s="7">
        <v>3058.90192307692</v>
      </c>
      <c r="I26" s="2"/>
      <c r="J26" s="6">
        <f t="shared" si="1"/>
        <v>0</v>
      </c>
      <c r="K26" s="2"/>
      <c r="L26" s="7">
        <f t="shared" si="2"/>
        <v>1150.0580769230801</v>
      </c>
      <c r="M26" s="2"/>
      <c r="N26" s="6">
        <f t="shared" si="3"/>
        <v>0.37597088950346197</v>
      </c>
      <c r="O26" s="11"/>
      <c r="P26" s="7">
        <v>4208.96</v>
      </c>
      <c r="Q26" s="2"/>
      <c r="R26" s="6">
        <f t="shared" si="4"/>
        <v>0</v>
      </c>
      <c r="S26" s="2"/>
      <c r="T26" s="7">
        <v>3058.90192307692</v>
      </c>
      <c r="U26" s="2"/>
      <c r="V26" s="6">
        <f t="shared" si="5"/>
        <v>0</v>
      </c>
      <c r="W26" s="2"/>
      <c r="X26" s="7">
        <f t="shared" si="6"/>
        <v>1150.0580769230801</v>
      </c>
      <c r="Y26" s="2"/>
      <c r="Z26" s="6">
        <f t="shared" si="7"/>
        <v>0.37597088950346197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6119.23</v>
      </c>
      <c r="E27" s="2"/>
      <c r="F27" s="6">
        <f t="shared" si="0"/>
        <v>0</v>
      </c>
      <c r="G27" s="2"/>
      <c r="H27" s="7">
        <v>841.23269230769199</v>
      </c>
      <c r="I27" s="2"/>
      <c r="J27" s="6">
        <f t="shared" si="1"/>
        <v>0</v>
      </c>
      <c r="K27" s="2"/>
      <c r="L27" s="7">
        <f t="shared" si="2"/>
        <v>5277.9973076923079</v>
      </c>
      <c r="M27" s="2"/>
      <c r="N27" s="6">
        <f t="shared" si="3"/>
        <v>6.274122910289619</v>
      </c>
      <c r="O27" s="11"/>
      <c r="P27" s="7">
        <v>6119.23</v>
      </c>
      <c r="Q27" s="2"/>
      <c r="R27" s="6">
        <f t="shared" si="4"/>
        <v>0</v>
      </c>
      <c r="S27" s="2"/>
      <c r="T27" s="7">
        <v>841.23269230769199</v>
      </c>
      <c r="U27" s="2"/>
      <c r="V27" s="6">
        <f t="shared" si="5"/>
        <v>0</v>
      </c>
      <c r="W27" s="2"/>
      <c r="X27" s="7">
        <f t="shared" si="6"/>
        <v>5277.9973076923079</v>
      </c>
      <c r="Y27" s="2"/>
      <c r="Z27" s="6">
        <f t="shared" si="7"/>
        <v>6.274122910289619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439.37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439.37</v>
      </c>
      <c r="M28" s="2"/>
      <c r="N28" s="6">
        <f t="shared" si="3"/>
        <v>0</v>
      </c>
      <c r="O28" s="11"/>
      <c r="P28" s="7">
        <v>439.37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439.37</v>
      </c>
      <c r="Y28" s="2"/>
      <c r="Z28" s="6">
        <f t="shared" si="7"/>
        <v>0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35837.299999999996</v>
      </c>
      <c r="E29" s="1"/>
      <c r="F29" s="5">
        <f t="shared" ref="F29:F39" si="8">IF(D$12=0,0,D29/D$12)</f>
        <v>0</v>
      </c>
      <c r="G29" s="1"/>
      <c r="H29" s="1">
        <f>SUM(OSRRefH22_1x_0)</f>
        <v>35101.211538461532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736.08846153846389</v>
      </c>
      <c r="M29" s="1"/>
      <c r="N29" s="5">
        <f t="shared" ref="N29:N39" si="11">IF(H29=0,0,L29/H29)</f>
        <v>2.0970457408055788E-2</v>
      </c>
      <c r="O29" s="14"/>
      <c r="P29" s="1">
        <f>SUM(OSRRefP22_1x_0)</f>
        <v>35837.299999999996</v>
      </c>
      <c r="Q29" s="1"/>
      <c r="R29" s="5">
        <f t="shared" ref="R29:R39" si="12">IF(P$12=0,0,P29/P$12)</f>
        <v>0</v>
      </c>
      <c r="S29" s="1"/>
      <c r="T29" s="1">
        <f>SUM(OSRRefT22_1x_0)</f>
        <v>35101.211538461532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736.08846153846389</v>
      </c>
      <c r="Y29" s="1"/>
      <c r="Z29" s="5">
        <f t="shared" ref="Z29:Z39" si="15">IF(T29=0,0,X29/T29)</f>
        <v>2.0970457408055788E-2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28358.92</v>
      </c>
      <c r="E30" s="2"/>
      <c r="F30" s="6">
        <f t="shared" si="8"/>
        <v>0</v>
      </c>
      <c r="G30" s="2"/>
      <c r="H30" s="7">
        <v>29592.692307692305</v>
      </c>
      <c r="I30" s="2"/>
      <c r="J30" s="6">
        <f t="shared" si="9"/>
        <v>0</v>
      </c>
      <c r="K30" s="2"/>
      <c r="L30" s="7">
        <f t="shared" si="10"/>
        <v>-1233.7723076923066</v>
      </c>
      <c r="M30" s="2"/>
      <c r="N30" s="6">
        <f t="shared" si="11"/>
        <v>-4.1691789812973543E-2</v>
      </c>
      <c r="O30" s="11"/>
      <c r="P30" s="7">
        <v>28358.92</v>
      </c>
      <c r="Q30" s="2"/>
      <c r="R30" s="6">
        <f t="shared" si="12"/>
        <v>0</v>
      </c>
      <c r="S30" s="2"/>
      <c r="T30" s="7">
        <v>29592.692307692305</v>
      </c>
      <c r="U30" s="2"/>
      <c r="V30" s="6">
        <f t="shared" si="13"/>
        <v>0</v>
      </c>
      <c r="W30" s="2"/>
      <c r="X30" s="7">
        <f t="shared" si="14"/>
        <v>-1233.7723076923066</v>
      </c>
      <c r="Y30" s="2"/>
      <c r="Z30" s="6">
        <f t="shared" si="15"/>
        <v>-4.1691789812973543E-2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5141.18</v>
      </c>
      <c r="E31" s="2"/>
      <c r="F31" s="6">
        <f t="shared" si="8"/>
        <v>0</v>
      </c>
      <c r="G31" s="2"/>
      <c r="H31" s="7">
        <v>5508.5192307692296</v>
      </c>
      <c r="I31" s="2"/>
      <c r="J31" s="6">
        <f t="shared" si="9"/>
        <v>0</v>
      </c>
      <c r="K31" s="2"/>
      <c r="L31" s="7">
        <f t="shared" si="10"/>
        <v>-367.33923076922929</v>
      </c>
      <c r="M31" s="2"/>
      <c r="N31" s="6">
        <f t="shared" si="11"/>
        <v>-6.668565822868748E-2</v>
      </c>
      <c r="O31" s="11"/>
      <c r="P31" s="7">
        <v>5141.18</v>
      </c>
      <c r="Q31" s="2"/>
      <c r="R31" s="6">
        <f t="shared" si="12"/>
        <v>0</v>
      </c>
      <c r="S31" s="2"/>
      <c r="T31" s="7">
        <v>5508.5192307692296</v>
      </c>
      <c r="U31" s="2"/>
      <c r="V31" s="6">
        <f t="shared" si="13"/>
        <v>0</v>
      </c>
      <c r="W31" s="2"/>
      <c r="X31" s="7">
        <f t="shared" si="14"/>
        <v>-367.33923076922929</v>
      </c>
      <c r="Y31" s="2"/>
      <c r="Z31" s="6">
        <f t="shared" si="15"/>
        <v>-6.668565822868748E-2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2337.1999999999998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2337.1999999999998</v>
      </c>
      <c r="M36" s="2"/>
      <c r="N36" s="6">
        <f t="shared" si="11"/>
        <v>0</v>
      </c>
      <c r="O36" s="11"/>
      <c r="P36" s="7">
        <v>2337.1999999999998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2337.1999999999998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5723.92</v>
      </c>
      <c r="E40" s="1"/>
      <c r="F40" s="5">
        <f t="shared" ref="F40:F54" si="16">IF(D$12=0,0,D40/D$12)</f>
        <v>0</v>
      </c>
      <c r="G40" s="1"/>
      <c r="H40" s="1">
        <f>SUM(OSRRefH22_2x_0)</f>
        <v>9000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-3276.08</v>
      </c>
      <c r="M40" s="1"/>
      <c r="N40" s="5">
        <f t="shared" ref="N40:N54" si="19">IF(H40=0,0,L40/H40)</f>
        <v>-0.36400888888888888</v>
      </c>
      <c r="O40" s="14"/>
      <c r="P40" s="1">
        <f>SUM(OSRRefP22_2x_0)</f>
        <v>5723.92</v>
      </c>
      <c r="Q40" s="1"/>
      <c r="R40" s="5">
        <f t="shared" ref="R40:R54" si="20">IF(P$12=0,0,P40/P$12)</f>
        <v>0</v>
      </c>
      <c r="S40" s="1"/>
      <c r="T40" s="1">
        <f>SUM(OSRRefT22_2x_0)</f>
        <v>9000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-3276.08</v>
      </c>
      <c r="Y40" s="1"/>
      <c r="Z40" s="5">
        <f t="shared" ref="Z40:Z54" si="23">IF(T40=0,0,X40/T40)</f>
        <v>-0.36400888888888888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>
        <v>5723.92</v>
      </c>
      <c r="E41" s="2"/>
      <c r="F41" s="6">
        <f t="shared" si="16"/>
        <v>0</v>
      </c>
      <c r="G41" s="2"/>
      <c r="H41" s="7">
        <v>9000</v>
      </c>
      <c r="I41" s="2"/>
      <c r="J41" s="6">
        <f t="shared" si="17"/>
        <v>0</v>
      </c>
      <c r="K41" s="2"/>
      <c r="L41" s="7">
        <f t="shared" si="18"/>
        <v>-3276.08</v>
      </c>
      <c r="M41" s="2"/>
      <c r="N41" s="6">
        <f t="shared" si="19"/>
        <v>-0.36400888888888888</v>
      </c>
      <c r="O41" s="11"/>
      <c r="P41" s="7">
        <v>5723.92</v>
      </c>
      <c r="Q41" s="2"/>
      <c r="R41" s="6">
        <f t="shared" si="20"/>
        <v>0</v>
      </c>
      <c r="S41" s="2"/>
      <c r="T41" s="7">
        <v>9000</v>
      </c>
      <c r="U41" s="2"/>
      <c r="V41" s="6">
        <f t="shared" si="21"/>
        <v>0</v>
      </c>
      <c r="W41" s="2"/>
      <c r="X41" s="7">
        <f t="shared" si="22"/>
        <v>-3276.08</v>
      </c>
      <c r="Y41" s="2"/>
      <c r="Z41" s="6">
        <f t="shared" si="23"/>
        <v>-0.36400888888888888</v>
      </c>
    </row>
    <row r="42" spans="1:26" s="27" customFormat="1" outlineLevel="1" collapsed="1" x14ac:dyDescent="0.25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345.23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0.23000000000001819</v>
      </c>
      <c r="M42" s="1"/>
      <c r="N42" s="5">
        <f t="shared" si="19"/>
        <v>6.6666666666671945E-4</v>
      </c>
      <c r="O42" s="14"/>
      <c r="P42" s="1">
        <f>SUM(OSRRefP22_3x_0)</f>
        <v>345.23</v>
      </c>
      <c r="Q42" s="1"/>
      <c r="R42" s="5">
        <f t="shared" si="20"/>
        <v>0</v>
      </c>
      <c r="S42" s="1"/>
      <c r="T42" s="1">
        <f>SUM(OSRRefT22_3x_0)</f>
        <v>345</v>
      </c>
      <c r="U42" s="1"/>
      <c r="V42" s="5">
        <f t="shared" si="21"/>
        <v>0</v>
      </c>
      <c r="W42" s="1"/>
      <c r="X42" s="1">
        <f t="shared" si="22"/>
        <v>0.23000000000001819</v>
      </c>
      <c r="Y42" s="1"/>
      <c r="Z42" s="5">
        <f t="shared" si="23"/>
        <v>6.6666666666671945E-4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345.23</v>
      </c>
      <c r="E43" s="2"/>
      <c r="F43" s="6">
        <f t="shared" si="16"/>
        <v>0</v>
      </c>
      <c r="G43" s="2"/>
      <c r="H43" s="7">
        <v>345</v>
      </c>
      <c r="I43" s="2"/>
      <c r="J43" s="6">
        <f t="shared" si="17"/>
        <v>0</v>
      </c>
      <c r="K43" s="2"/>
      <c r="L43" s="7">
        <f t="shared" si="18"/>
        <v>0.23000000000001819</v>
      </c>
      <c r="M43" s="2"/>
      <c r="N43" s="6">
        <f t="shared" si="19"/>
        <v>6.6666666666671945E-4</v>
      </c>
      <c r="O43" s="11"/>
      <c r="P43" s="7">
        <v>345.23</v>
      </c>
      <c r="Q43" s="2"/>
      <c r="R43" s="6">
        <f t="shared" si="20"/>
        <v>0</v>
      </c>
      <c r="S43" s="2"/>
      <c r="T43" s="7">
        <v>345</v>
      </c>
      <c r="U43" s="2"/>
      <c r="V43" s="6">
        <f t="shared" si="21"/>
        <v>0</v>
      </c>
      <c r="W43" s="2"/>
      <c r="X43" s="7">
        <f t="shared" si="22"/>
        <v>0.23000000000001819</v>
      </c>
      <c r="Y43" s="2"/>
      <c r="Z43" s="6">
        <f t="shared" si="23"/>
        <v>6.6666666666671945E-4</v>
      </c>
    </row>
    <row r="44" spans="1:26" s="27" customFormat="1" outlineLevel="1" collapsed="1" x14ac:dyDescent="0.25">
      <c r="A44" s="28"/>
      <c r="B44" s="14" t="str">
        <f>CONCATENATE("     ","Donations                                         ")</f>
        <v xml:space="preserve">     Donations                                         </v>
      </c>
      <c r="C44" s="14"/>
      <c r="D44" s="1">
        <f>SUM(OSRRefD22_4x_0)</f>
        <v>1667.85</v>
      </c>
      <c r="E44" s="1"/>
      <c r="F44" s="5">
        <f t="shared" si="16"/>
        <v>0</v>
      </c>
      <c r="G44" s="1"/>
      <c r="H44" s="1">
        <f>SUM(OSRRefH22_4x_0)</f>
        <v>26500</v>
      </c>
      <c r="I44" s="1"/>
      <c r="J44" s="5">
        <f t="shared" si="17"/>
        <v>0</v>
      </c>
      <c r="K44" s="1"/>
      <c r="L44" s="1">
        <f t="shared" si="18"/>
        <v>-24832.15</v>
      </c>
      <c r="M44" s="1"/>
      <c r="N44" s="5">
        <f t="shared" si="19"/>
        <v>-0.9370622641509434</v>
      </c>
      <c r="O44" s="14"/>
      <c r="P44" s="1">
        <f>SUM(OSRRefP22_4x_0)</f>
        <v>1667.85</v>
      </c>
      <c r="Q44" s="1"/>
      <c r="R44" s="5">
        <f t="shared" si="20"/>
        <v>0</v>
      </c>
      <c r="S44" s="1"/>
      <c r="T44" s="1">
        <f>SUM(OSRRefT22_4x_0)</f>
        <v>26500</v>
      </c>
      <c r="U44" s="1"/>
      <c r="V44" s="5">
        <f t="shared" si="21"/>
        <v>0</v>
      </c>
      <c r="W44" s="1"/>
      <c r="X44" s="1">
        <f t="shared" si="22"/>
        <v>-24832.15</v>
      </c>
      <c r="Y44" s="1"/>
      <c r="Z44" s="5">
        <f t="shared" si="23"/>
        <v>-0.9370622641509434</v>
      </c>
    </row>
    <row r="45" spans="1:26" s="24" customFormat="1" hidden="1" outlineLevel="2" x14ac:dyDescent="0.25">
      <c r="A45" s="29"/>
      <c r="B45" s="11" t="str">
        <f>CONCATENATE("          ", "6399", " - ", "DONATION-ON CAMPUS")</f>
        <v xml:space="preserve">          6399 - DONATION-ON CAMPUS</v>
      </c>
      <c r="C45" s="11"/>
      <c r="D45" s="7">
        <v>1667.85</v>
      </c>
      <c r="E45" s="2"/>
      <c r="F45" s="6">
        <f t="shared" si="16"/>
        <v>0</v>
      </c>
      <c r="G45" s="2"/>
      <c r="H45" s="7">
        <v>26500</v>
      </c>
      <c r="I45" s="2"/>
      <c r="J45" s="6">
        <f t="shared" si="17"/>
        <v>0</v>
      </c>
      <c r="K45" s="2"/>
      <c r="L45" s="7">
        <f t="shared" si="18"/>
        <v>-24832.15</v>
      </c>
      <c r="M45" s="2"/>
      <c r="N45" s="6">
        <f t="shared" si="19"/>
        <v>-0.9370622641509434</v>
      </c>
      <c r="O45" s="11"/>
      <c r="P45" s="7">
        <v>1667.85</v>
      </c>
      <c r="Q45" s="2"/>
      <c r="R45" s="6">
        <f t="shared" si="20"/>
        <v>0</v>
      </c>
      <c r="S45" s="2"/>
      <c r="T45" s="7">
        <v>26500</v>
      </c>
      <c r="U45" s="2"/>
      <c r="V45" s="6">
        <f t="shared" si="21"/>
        <v>0</v>
      </c>
      <c r="W45" s="2"/>
      <c r="X45" s="7">
        <f t="shared" si="22"/>
        <v>-24832.15</v>
      </c>
      <c r="Y45" s="2"/>
      <c r="Z45" s="6">
        <f t="shared" si="23"/>
        <v>-0.9370622641509434</v>
      </c>
    </row>
    <row r="46" spans="1:26" s="27" customFormat="1" outlineLevel="1" collapsed="1" x14ac:dyDescent="0.25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SUM(OSRRefD22_5x_0)</f>
        <v>117.72</v>
      </c>
      <c r="E46" s="1"/>
      <c r="F46" s="5">
        <f t="shared" si="16"/>
        <v>0</v>
      </c>
      <c r="G46" s="1"/>
      <c r="H46" s="1">
        <f>SUM(OSRRefH22_5x_0)</f>
        <v>118</v>
      </c>
      <c r="I46" s="1"/>
      <c r="J46" s="5">
        <f t="shared" si="17"/>
        <v>0</v>
      </c>
      <c r="K46" s="1"/>
      <c r="L46" s="1">
        <f t="shared" si="18"/>
        <v>-0.28000000000000114</v>
      </c>
      <c r="M46" s="1"/>
      <c r="N46" s="5">
        <f t="shared" si="19"/>
        <v>-2.3728813559322128E-3</v>
      </c>
      <c r="O46" s="14"/>
      <c r="P46" s="1">
        <f>SUM(OSRRefP22_5x_0)</f>
        <v>117.72</v>
      </c>
      <c r="Q46" s="1"/>
      <c r="R46" s="5">
        <f t="shared" si="20"/>
        <v>0</v>
      </c>
      <c r="S46" s="1"/>
      <c r="T46" s="1">
        <f>SUM(OSRRefT22_5x_0)</f>
        <v>118</v>
      </c>
      <c r="U46" s="1"/>
      <c r="V46" s="5">
        <f t="shared" si="21"/>
        <v>0</v>
      </c>
      <c r="W46" s="1"/>
      <c r="X46" s="1">
        <f t="shared" si="22"/>
        <v>-0.28000000000000114</v>
      </c>
      <c r="Y46" s="1"/>
      <c r="Z46" s="5">
        <f t="shared" si="23"/>
        <v>-2.3728813559322128E-3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7">
        <v>117.72</v>
      </c>
      <c r="E47" s="2"/>
      <c r="F47" s="6">
        <f t="shared" si="16"/>
        <v>0</v>
      </c>
      <c r="G47" s="2"/>
      <c r="H47" s="7">
        <v>118</v>
      </c>
      <c r="I47" s="2"/>
      <c r="J47" s="6">
        <f t="shared" si="17"/>
        <v>0</v>
      </c>
      <c r="K47" s="2"/>
      <c r="L47" s="7">
        <f t="shared" si="18"/>
        <v>-0.28000000000000114</v>
      </c>
      <c r="M47" s="2"/>
      <c r="N47" s="6">
        <f t="shared" si="19"/>
        <v>-2.3728813559322128E-3</v>
      </c>
      <c r="O47" s="11"/>
      <c r="P47" s="7">
        <v>117.72</v>
      </c>
      <c r="Q47" s="2"/>
      <c r="R47" s="6">
        <f t="shared" si="20"/>
        <v>0</v>
      </c>
      <c r="S47" s="2"/>
      <c r="T47" s="7">
        <v>118</v>
      </c>
      <c r="U47" s="2"/>
      <c r="V47" s="6">
        <f t="shared" si="21"/>
        <v>0</v>
      </c>
      <c r="W47" s="2"/>
      <c r="X47" s="7">
        <f t="shared" si="22"/>
        <v>-0.28000000000000114</v>
      </c>
      <c r="Y47" s="2"/>
      <c r="Z47" s="6">
        <f t="shared" si="23"/>
        <v>-2.3728813559322128E-3</v>
      </c>
    </row>
    <row r="48" spans="1:26" s="27" customFormat="1" outlineLevel="1" collapsed="1" x14ac:dyDescent="0.25">
      <c r="A48" s="28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SUM(OSRRefD22_6x_0)</f>
        <v>30.62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30.62</v>
      </c>
      <c r="M48" s="1"/>
      <c r="N48" s="5">
        <f t="shared" si="19"/>
        <v>0</v>
      </c>
      <c r="O48" s="14"/>
      <c r="P48" s="1">
        <f>SUM(OSRRefP22_6x_0)</f>
        <v>30.62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30.62</v>
      </c>
      <c r="Y48" s="1"/>
      <c r="Z48" s="5">
        <f t="shared" si="23"/>
        <v>0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>
        <v>30.62</v>
      </c>
      <c r="E49" s="2"/>
      <c r="F49" s="6">
        <f t="shared" si="16"/>
        <v>0</v>
      </c>
      <c r="G49" s="2"/>
      <c r="H49" s="7">
        <v>0</v>
      </c>
      <c r="I49" s="2"/>
      <c r="J49" s="6">
        <f t="shared" si="17"/>
        <v>0</v>
      </c>
      <c r="K49" s="2"/>
      <c r="L49" s="7">
        <f t="shared" si="18"/>
        <v>30.62</v>
      </c>
      <c r="M49" s="2"/>
      <c r="N49" s="6">
        <f t="shared" si="19"/>
        <v>0</v>
      </c>
      <c r="O49" s="11"/>
      <c r="P49" s="7">
        <v>30.62</v>
      </c>
      <c r="Q49" s="2"/>
      <c r="R49" s="6">
        <f t="shared" si="20"/>
        <v>0</v>
      </c>
      <c r="S49" s="2"/>
      <c r="T49" s="7">
        <v>0</v>
      </c>
      <c r="U49" s="2"/>
      <c r="V49" s="6">
        <f t="shared" si="21"/>
        <v>0</v>
      </c>
      <c r="W49" s="2"/>
      <c r="X49" s="7">
        <f t="shared" si="22"/>
        <v>30.62</v>
      </c>
      <c r="Y49" s="2"/>
      <c r="Z49" s="6">
        <f t="shared" si="23"/>
        <v>0</v>
      </c>
    </row>
    <row r="50" spans="1:26" s="27" customFormat="1" outlineLevel="1" collapsed="1" x14ac:dyDescent="0.25">
      <c r="A50" s="28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SUM(OSRRefD22_7x_0)</f>
        <v>115.13</v>
      </c>
      <c r="E50" s="1"/>
      <c r="F50" s="5">
        <f t="shared" si="16"/>
        <v>0</v>
      </c>
      <c r="G50" s="1"/>
      <c r="H50" s="1">
        <f>SUM(OSRRefH22_7x_0)</f>
        <v>110</v>
      </c>
      <c r="I50" s="1"/>
      <c r="J50" s="5">
        <f t="shared" si="17"/>
        <v>0</v>
      </c>
      <c r="K50" s="1"/>
      <c r="L50" s="1">
        <f t="shared" si="18"/>
        <v>5.1299999999999955</v>
      </c>
      <c r="M50" s="1"/>
      <c r="N50" s="5">
        <f t="shared" si="19"/>
        <v>4.6636363636363594E-2</v>
      </c>
      <c r="O50" s="14"/>
      <c r="P50" s="1">
        <f>SUM(OSRRefP22_7x_0)</f>
        <v>115.13</v>
      </c>
      <c r="Q50" s="1"/>
      <c r="R50" s="5">
        <f t="shared" si="20"/>
        <v>0</v>
      </c>
      <c r="S50" s="1"/>
      <c r="T50" s="1">
        <f>SUM(OSRRefT22_7x_0)</f>
        <v>110</v>
      </c>
      <c r="U50" s="1"/>
      <c r="V50" s="5">
        <f t="shared" si="21"/>
        <v>0</v>
      </c>
      <c r="W50" s="1"/>
      <c r="X50" s="1">
        <f t="shared" si="22"/>
        <v>5.1299999999999955</v>
      </c>
      <c r="Y50" s="1"/>
      <c r="Z50" s="5">
        <f t="shared" si="23"/>
        <v>4.6636363636363594E-2</v>
      </c>
    </row>
    <row r="51" spans="1:26" s="24" customFormat="1" hidden="1" outlineLevel="2" x14ac:dyDescent="0.25">
      <c r="A51" s="29"/>
      <c r="B51" s="11" t="str">
        <f>CONCATENATE("          ", "6314", " - ", "LIABILITY INSURANCE")</f>
        <v xml:space="preserve">          6314 - LIABILITY INSURANCE</v>
      </c>
      <c r="C51" s="11"/>
      <c r="D51" s="7">
        <v>115.13</v>
      </c>
      <c r="E51" s="2"/>
      <c r="F51" s="6">
        <f t="shared" si="16"/>
        <v>0</v>
      </c>
      <c r="G51" s="2"/>
      <c r="H51" s="7">
        <v>110</v>
      </c>
      <c r="I51" s="2"/>
      <c r="J51" s="6">
        <f t="shared" si="17"/>
        <v>0</v>
      </c>
      <c r="K51" s="2"/>
      <c r="L51" s="7">
        <f t="shared" si="18"/>
        <v>5.1299999999999955</v>
      </c>
      <c r="M51" s="2"/>
      <c r="N51" s="6">
        <f t="shared" si="19"/>
        <v>4.6636363636363594E-2</v>
      </c>
      <c r="O51" s="11"/>
      <c r="P51" s="7">
        <v>115.13</v>
      </c>
      <c r="Q51" s="2"/>
      <c r="R51" s="6">
        <f t="shared" si="20"/>
        <v>0</v>
      </c>
      <c r="S51" s="2"/>
      <c r="T51" s="7">
        <v>110</v>
      </c>
      <c r="U51" s="2"/>
      <c r="V51" s="6">
        <f t="shared" si="21"/>
        <v>0</v>
      </c>
      <c r="W51" s="2"/>
      <c r="X51" s="7">
        <f t="shared" si="22"/>
        <v>5.1299999999999955</v>
      </c>
      <c r="Y51" s="2"/>
      <c r="Z51" s="6">
        <f t="shared" si="23"/>
        <v>4.6636363636363594E-2</v>
      </c>
    </row>
    <row r="52" spans="1:26" s="27" customFormat="1" outlineLevel="1" collapsed="1" x14ac:dyDescent="0.25">
      <c r="A52" s="28"/>
      <c r="B52" s="14" t="str">
        <f>CONCATENATE("     ","Professional Services                             ")</f>
        <v xml:space="preserve">     Professional Services                             </v>
      </c>
      <c r="C52" s="14"/>
      <c r="D52" s="1">
        <f>SUM(OSRRefD22_8x_0)</f>
        <v>5015</v>
      </c>
      <c r="E52" s="1"/>
      <c r="F52" s="5">
        <f t="shared" si="16"/>
        <v>0</v>
      </c>
      <c r="G52" s="1"/>
      <c r="H52" s="1">
        <f>SUM(OSRRefH22_8x_0)</f>
        <v>5000</v>
      </c>
      <c r="I52" s="1"/>
      <c r="J52" s="5">
        <f t="shared" si="17"/>
        <v>0</v>
      </c>
      <c r="K52" s="1"/>
      <c r="L52" s="1">
        <f t="shared" si="18"/>
        <v>15</v>
      </c>
      <c r="M52" s="1"/>
      <c r="N52" s="5">
        <f t="shared" si="19"/>
        <v>3.0000000000000001E-3</v>
      </c>
      <c r="O52" s="14"/>
      <c r="P52" s="1">
        <f>SUM(OSRRefP22_8x_0)</f>
        <v>5015</v>
      </c>
      <c r="Q52" s="1"/>
      <c r="R52" s="5">
        <f t="shared" si="20"/>
        <v>0</v>
      </c>
      <c r="S52" s="1"/>
      <c r="T52" s="1">
        <f>SUM(OSRRefT22_8x_0)</f>
        <v>5000</v>
      </c>
      <c r="U52" s="1"/>
      <c r="V52" s="5">
        <f t="shared" si="21"/>
        <v>0</v>
      </c>
      <c r="W52" s="1"/>
      <c r="X52" s="1">
        <f t="shared" si="22"/>
        <v>15</v>
      </c>
      <c r="Y52" s="1"/>
      <c r="Z52" s="5">
        <f t="shared" si="23"/>
        <v>3.0000000000000001E-3</v>
      </c>
    </row>
    <row r="53" spans="1:26" s="24" customFormat="1" hidden="1" outlineLevel="2" x14ac:dyDescent="0.25">
      <c r="A53" s="29"/>
      <c r="B53" s="11" t="str">
        <f>CONCATENATE("          ", "6334", " - ", "LEGAL COUNCIL EXPENSE")</f>
        <v xml:space="preserve">          6334 - LEGAL COUNCIL EXPENSE</v>
      </c>
      <c r="C53" s="11"/>
      <c r="D53" s="7">
        <v>15</v>
      </c>
      <c r="E53" s="2"/>
      <c r="F53" s="6">
        <f t="shared" si="16"/>
        <v>0</v>
      </c>
      <c r="G53" s="2"/>
      <c r="H53" s="7">
        <v>0</v>
      </c>
      <c r="I53" s="2"/>
      <c r="J53" s="6">
        <f t="shared" si="17"/>
        <v>0</v>
      </c>
      <c r="K53" s="2"/>
      <c r="L53" s="7">
        <f t="shared" si="18"/>
        <v>15</v>
      </c>
      <c r="M53" s="2"/>
      <c r="N53" s="6">
        <f t="shared" si="19"/>
        <v>0</v>
      </c>
      <c r="O53" s="11"/>
      <c r="P53" s="7">
        <v>15</v>
      </c>
      <c r="Q53" s="2"/>
      <c r="R53" s="6">
        <f t="shared" si="20"/>
        <v>0</v>
      </c>
      <c r="S53" s="2"/>
      <c r="T53" s="7">
        <v>0</v>
      </c>
      <c r="U53" s="2"/>
      <c r="V53" s="6">
        <f t="shared" si="21"/>
        <v>0</v>
      </c>
      <c r="W53" s="2"/>
      <c r="X53" s="7">
        <f t="shared" si="22"/>
        <v>15</v>
      </c>
      <c r="Y53" s="2"/>
      <c r="Z53" s="6">
        <f t="shared" si="23"/>
        <v>0</v>
      </c>
    </row>
    <row r="54" spans="1:26" s="24" customFormat="1" hidden="1" outlineLevel="2" x14ac:dyDescent="0.25">
      <c r="A54" s="29"/>
      <c r="B54" s="11" t="str">
        <f>CONCATENATE("          ", "6336", " - ", "PROFESSIONAL SERVICES")</f>
        <v xml:space="preserve">          6336 - PROFESSIONAL SERVICES</v>
      </c>
      <c r="C54" s="11"/>
      <c r="D54" s="7">
        <v>5000</v>
      </c>
      <c r="E54" s="2"/>
      <c r="F54" s="6">
        <f t="shared" si="16"/>
        <v>0</v>
      </c>
      <c r="G54" s="2"/>
      <c r="H54" s="7">
        <v>5000</v>
      </c>
      <c r="I54" s="2"/>
      <c r="J54" s="6">
        <f t="shared" si="17"/>
        <v>0</v>
      </c>
      <c r="K54" s="2"/>
      <c r="L54" s="7">
        <f t="shared" si="18"/>
        <v>0</v>
      </c>
      <c r="M54" s="2"/>
      <c r="N54" s="6">
        <f t="shared" si="19"/>
        <v>0</v>
      </c>
      <c r="O54" s="11"/>
      <c r="P54" s="7">
        <v>5000</v>
      </c>
      <c r="Q54" s="2"/>
      <c r="R54" s="6">
        <f t="shared" si="20"/>
        <v>0</v>
      </c>
      <c r="S54" s="2"/>
      <c r="T54" s="7">
        <v>5000</v>
      </c>
      <c r="U54" s="2"/>
      <c r="V54" s="6">
        <f t="shared" si="21"/>
        <v>0</v>
      </c>
      <c r="W54" s="2"/>
      <c r="X54" s="7">
        <f t="shared" si="22"/>
        <v>0</v>
      </c>
      <c r="Y54" s="2"/>
      <c r="Z54" s="6">
        <f t="shared" si="23"/>
        <v>0</v>
      </c>
    </row>
    <row r="55" spans="1:26" s="27" customFormat="1" outlineLevel="1" collapsed="1" x14ac:dyDescent="0.25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5027.62</v>
      </c>
      <c r="E55" s="1"/>
      <c r="F55" s="5">
        <f t="shared" ref="F55:F57" si="24">IF(D$12=0,0,D55/D$12)</f>
        <v>0</v>
      </c>
      <c r="G55" s="1"/>
      <c r="H55" s="1">
        <f>SUM(OSRRefH22_9x_0)</f>
        <v>2975</v>
      </c>
      <c r="I55" s="1"/>
      <c r="J55" s="5">
        <f t="shared" ref="J55:J57" si="25">IF(H$12=0,0,H55/H$12)</f>
        <v>0</v>
      </c>
      <c r="K55" s="1"/>
      <c r="L55" s="1">
        <f t="shared" ref="L55:L57" si="26">+D55-H55</f>
        <v>2052.62</v>
      </c>
      <c r="M55" s="1"/>
      <c r="N55" s="5">
        <f t="shared" ref="N55:N57" si="27">IF(H55=0,0,L55/H55)</f>
        <v>0.68995630252100837</v>
      </c>
      <c r="O55" s="14"/>
      <c r="P55" s="1">
        <f>SUM(OSRRefP22_9x_0)</f>
        <v>5027.62</v>
      </c>
      <c r="Q55" s="1"/>
      <c r="R55" s="5">
        <f t="shared" ref="R55:R57" si="28">IF(P$12=0,0,P55/P$12)</f>
        <v>0</v>
      </c>
      <c r="S55" s="1"/>
      <c r="T55" s="1">
        <f>SUM(OSRRefT22_9x_0)</f>
        <v>2975</v>
      </c>
      <c r="U55" s="1"/>
      <c r="V55" s="5">
        <f t="shared" ref="V55:V57" si="29">IF(T$12=0,0,T55/T$12)</f>
        <v>0</v>
      </c>
      <c r="W55" s="1"/>
      <c r="X55" s="1">
        <f t="shared" ref="X55:X57" si="30">+P55-T55</f>
        <v>2052.62</v>
      </c>
      <c r="Y55" s="1"/>
      <c r="Z55" s="5">
        <f t="shared" ref="Z55:Z57" si="31">IF(T55=0,0,X55/T55)</f>
        <v>0.68995630252100837</v>
      </c>
    </row>
    <row r="56" spans="1:26" s="24" customFormat="1" hidden="1" outlineLevel="2" x14ac:dyDescent="0.25">
      <c r="A56" s="29"/>
      <c r="B56" s="11" t="str">
        <f>CONCATENATE("          ", "6373", " - ", "MAINTENANCE CONTRACTS")</f>
        <v xml:space="preserve">          6373 - MAINTENANCE CONTRACTS</v>
      </c>
      <c r="C56" s="11"/>
      <c r="D56" s="7">
        <v>4939.87</v>
      </c>
      <c r="E56" s="2"/>
      <c r="F56" s="6">
        <f t="shared" si="24"/>
        <v>0</v>
      </c>
      <c r="G56" s="2"/>
      <c r="H56" s="7">
        <v>2975</v>
      </c>
      <c r="I56" s="2"/>
      <c r="J56" s="6">
        <f t="shared" si="25"/>
        <v>0</v>
      </c>
      <c r="K56" s="2"/>
      <c r="L56" s="7">
        <f t="shared" si="26"/>
        <v>1964.87</v>
      </c>
      <c r="M56" s="2"/>
      <c r="N56" s="6">
        <f t="shared" si="27"/>
        <v>0.66046050420168068</v>
      </c>
      <c r="O56" s="11"/>
      <c r="P56" s="7">
        <v>4939.87</v>
      </c>
      <c r="Q56" s="2"/>
      <c r="R56" s="6">
        <f t="shared" si="28"/>
        <v>0</v>
      </c>
      <c r="S56" s="2"/>
      <c r="T56" s="7">
        <v>2975</v>
      </c>
      <c r="U56" s="2"/>
      <c r="V56" s="6">
        <f t="shared" si="29"/>
        <v>0</v>
      </c>
      <c r="W56" s="2"/>
      <c r="X56" s="7">
        <f t="shared" si="30"/>
        <v>1964.87</v>
      </c>
      <c r="Y56" s="2"/>
      <c r="Z56" s="6">
        <f t="shared" si="31"/>
        <v>0.66046050420168068</v>
      </c>
    </row>
    <row r="57" spans="1:26" s="24" customFormat="1" hidden="1" outlineLevel="2" x14ac:dyDescent="0.25">
      <c r="A57" s="29"/>
      <c r="B57" s="11" t="str">
        <f>CONCATENATE("          ", "6375", " - ", "OUTSIDE REPAIRS &amp; MAINTENANCE")</f>
        <v xml:space="preserve">          6375 - OUTSIDE REPAIRS &amp; MAINTENANCE</v>
      </c>
      <c r="C57" s="11"/>
      <c r="D57" s="7">
        <v>87.75</v>
      </c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87.75</v>
      </c>
      <c r="M57" s="2"/>
      <c r="N57" s="6">
        <f t="shared" si="27"/>
        <v>0</v>
      </c>
      <c r="O57" s="11"/>
      <c r="P57" s="7">
        <v>87.75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87.75</v>
      </c>
      <c r="Y57" s="2"/>
      <c r="Z57" s="6">
        <f t="shared" si="31"/>
        <v>0</v>
      </c>
    </row>
    <row r="58" spans="1:26" s="27" customFormat="1" outlineLevel="1" collapsed="1" x14ac:dyDescent="0.25">
      <c r="A58" s="28"/>
      <c r="B58" s="14" t="str">
        <f>CONCATENATE("     ","Subscriptions &amp; Dues                              ")</f>
        <v xml:space="preserve">     Subscriptions &amp; Dues                              </v>
      </c>
      <c r="C58" s="14"/>
      <c r="D58" s="1">
        <f>SUM(OSRRefD22_10x_0)</f>
        <v>1000</v>
      </c>
      <c r="E58" s="1"/>
      <c r="F58" s="5">
        <f t="shared" ref="F58:F63" si="32">IF(D$12=0,0,D58/D$12)</f>
        <v>0</v>
      </c>
      <c r="G58" s="1"/>
      <c r="H58" s="1">
        <f>SUM(OSRRefH22_10x_0)</f>
        <v>0</v>
      </c>
      <c r="I58" s="1"/>
      <c r="J58" s="5">
        <f t="shared" ref="J58:J63" si="33">IF(H$12=0,0,H58/H$12)</f>
        <v>0</v>
      </c>
      <c r="K58" s="1"/>
      <c r="L58" s="1">
        <f t="shared" ref="L58:L63" si="34">+D58-H58</f>
        <v>1000</v>
      </c>
      <c r="M58" s="1"/>
      <c r="N58" s="5">
        <f t="shared" ref="N58:N63" si="35">IF(H58=0,0,L58/H58)</f>
        <v>0</v>
      </c>
      <c r="O58" s="14"/>
      <c r="P58" s="1">
        <f>SUM(OSRRefP22_10x_0)</f>
        <v>1000</v>
      </c>
      <c r="Q58" s="1"/>
      <c r="R58" s="5">
        <f t="shared" ref="R58:R63" si="36">IF(P$12=0,0,P58/P$12)</f>
        <v>0</v>
      </c>
      <c r="S58" s="1"/>
      <c r="T58" s="1">
        <f>SUM(OSRRefT22_10x_0)</f>
        <v>0</v>
      </c>
      <c r="U58" s="1"/>
      <c r="V58" s="5">
        <f t="shared" ref="V58:V63" si="37">IF(T$12=0,0,T58/T$12)</f>
        <v>0</v>
      </c>
      <c r="W58" s="1"/>
      <c r="X58" s="1">
        <f t="shared" ref="X58:X63" si="38">+P58-T58</f>
        <v>1000</v>
      </c>
      <c r="Y58" s="1"/>
      <c r="Z58" s="5">
        <f t="shared" ref="Z58:Z63" si="39">IF(T58=0,0,X58/T58)</f>
        <v>0</v>
      </c>
    </row>
    <row r="59" spans="1:26" s="24" customFormat="1" hidden="1" outlineLevel="2" x14ac:dyDescent="0.25">
      <c r="A59" s="29"/>
      <c r="B59" s="11" t="str">
        <f>CONCATENATE("          ", "6258", " - ", "MEMBERSHIP DUES")</f>
        <v xml:space="preserve">          6258 - MEMBERSHIP DUES</v>
      </c>
      <c r="C59" s="11"/>
      <c r="D59" s="7">
        <v>1000</v>
      </c>
      <c r="E59" s="2"/>
      <c r="F59" s="6">
        <f t="shared" si="32"/>
        <v>0</v>
      </c>
      <c r="G59" s="2"/>
      <c r="H59" s="7"/>
      <c r="I59" s="2"/>
      <c r="J59" s="6">
        <f t="shared" si="33"/>
        <v>0</v>
      </c>
      <c r="K59" s="2"/>
      <c r="L59" s="7">
        <f t="shared" si="34"/>
        <v>1000</v>
      </c>
      <c r="M59" s="2"/>
      <c r="N59" s="6">
        <f t="shared" si="35"/>
        <v>0</v>
      </c>
      <c r="O59" s="11"/>
      <c r="P59" s="7">
        <v>1000</v>
      </c>
      <c r="Q59" s="2"/>
      <c r="R59" s="6">
        <f t="shared" si="36"/>
        <v>0</v>
      </c>
      <c r="S59" s="2"/>
      <c r="T59" s="7"/>
      <c r="U59" s="2"/>
      <c r="V59" s="6">
        <f t="shared" si="37"/>
        <v>0</v>
      </c>
      <c r="W59" s="2"/>
      <c r="X59" s="7">
        <f t="shared" si="38"/>
        <v>1000</v>
      </c>
      <c r="Y59" s="2"/>
      <c r="Z59" s="6">
        <f t="shared" si="39"/>
        <v>0</v>
      </c>
    </row>
    <row r="60" spans="1:26" s="27" customFormat="1" outlineLevel="1" collapsed="1" x14ac:dyDescent="0.25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SUM(OSRRefD22_11x_0)</f>
        <v>167.2</v>
      </c>
      <c r="E60" s="1"/>
      <c r="F60" s="5">
        <f t="shared" si="32"/>
        <v>0</v>
      </c>
      <c r="G60" s="1"/>
      <c r="H60" s="1">
        <f>SUM(OSRRefH22_11x_0)</f>
        <v>500</v>
      </c>
      <c r="I60" s="1"/>
      <c r="J60" s="5">
        <f t="shared" si="33"/>
        <v>0</v>
      </c>
      <c r="K60" s="1"/>
      <c r="L60" s="1">
        <f t="shared" si="34"/>
        <v>-332.8</v>
      </c>
      <c r="M60" s="1"/>
      <c r="N60" s="5">
        <f t="shared" si="35"/>
        <v>-0.66559999999999997</v>
      </c>
      <c r="O60" s="14"/>
      <c r="P60" s="1">
        <f>SUM(OSRRefP22_11x_0)</f>
        <v>167.2</v>
      </c>
      <c r="Q60" s="1"/>
      <c r="R60" s="5">
        <f t="shared" si="36"/>
        <v>0</v>
      </c>
      <c r="S60" s="1"/>
      <c r="T60" s="1">
        <f>SUM(OSRRefT22_11x_0)</f>
        <v>500</v>
      </c>
      <c r="U60" s="1"/>
      <c r="V60" s="5">
        <f t="shared" si="37"/>
        <v>0</v>
      </c>
      <c r="W60" s="1"/>
      <c r="X60" s="1">
        <f t="shared" si="38"/>
        <v>-332.8</v>
      </c>
      <c r="Y60" s="1"/>
      <c r="Z60" s="5">
        <f t="shared" si="39"/>
        <v>-0.66559999999999997</v>
      </c>
    </row>
    <row r="61" spans="1:26" s="24" customFormat="1" hidden="1" outlineLevel="2" x14ac:dyDescent="0.25">
      <c r="A61" s="29"/>
      <c r="B61" s="11" t="str">
        <f>CONCATENATE("          ", "6234", " - ", "EXPENDABLE SUPPLIES &amp; EQUIPMEN")</f>
        <v xml:space="preserve">          6234 - EXPENDABLE SUPPLIES &amp; EQUIPMEN</v>
      </c>
      <c r="C61" s="11"/>
      <c r="D61" s="7"/>
      <c r="E61" s="2"/>
      <c r="F61" s="6">
        <f t="shared" si="32"/>
        <v>0</v>
      </c>
      <c r="G61" s="2"/>
      <c r="H61" s="7">
        <v>500</v>
      </c>
      <c r="I61" s="2"/>
      <c r="J61" s="6">
        <f t="shared" si="33"/>
        <v>0</v>
      </c>
      <c r="K61" s="2"/>
      <c r="L61" s="7">
        <f t="shared" si="34"/>
        <v>-500</v>
      </c>
      <c r="M61" s="2"/>
      <c r="N61" s="6">
        <f t="shared" si="35"/>
        <v>-1</v>
      </c>
      <c r="O61" s="11"/>
      <c r="P61" s="7"/>
      <c r="Q61" s="2"/>
      <c r="R61" s="6">
        <f t="shared" si="36"/>
        <v>0</v>
      </c>
      <c r="S61" s="2"/>
      <c r="T61" s="7">
        <v>500</v>
      </c>
      <c r="U61" s="2"/>
      <c r="V61" s="6">
        <f t="shared" si="37"/>
        <v>0</v>
      </c>
      <c r="W61" s="2"/>
      <c r="X61" s="7">
        <f t="shared" si="38"/>
        <v>-500</v>
      </c>
      <c r="Y61" s="2"/>
      <c r="Z61" s="6">
        <f t="shared" si="39"/>
        <v>-1</v>
      </c>
    </row>
    <row r="62" spans="1:26" s="24" customFormat="1" hidden="1" outlineLevel="2" x14ac:dyDescent="0.25">
      <c r="A62" s="29"/>
      <c r="B62" s="11" t="str">
        <f>CONCATENATE("          ", "6241", " - ", "OFFICE EXPENSE")</f>
        <v xml:space="preserve">          6241 - OFFICE EXPENSE</v>
      </c>
      <c r="C62" s="11"/>
      <c r="D62" s="7">
        <v>135.34</v>
      </c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135.34</v>
      </c>
      <c r="M62" s="2"/>
      <c r="N62" s="6">
        <f t="shared" si="35"/>
        <v>0</v>
      </c>
      <c r="O62" s="11"/>
      <c r="P62" s="7">
        <v>135.34</v>
      </c>
      <c r="Q62" s="2"/>
      <c r="R62" s="6">
        <f t="shared" si="36"/>
        <v>0</v>
      </c>
      <c r="S62" s="2"/>
      <c r="T62" s="7"/>
      <c r="U62" s="2"/>
      <c r="V62" s="6">
        <f t="shared" si="37"/>
        <v>0</v>
      </c>
      <c r="W62" s="2"/>
      <c r="X62" s="7">
        <f t="shared" si="38"/>
        <v>135.34</v>
      </c>
      <c r="Y62" s="2"/>
      <c r="Z62" s="6">
        <f t="shared" si="39"/>
        <v>0</v>
      </c>
    </row>
    <row r="63" spans="1:26" s="24" customFormat="1" hidden="1" outlineLevel="2" x14ac:dyDescent="0.25">
      <c r="A63" s="29"/>
      <c r="B63" s="11" t="str">
        <f>CONCATENATE("          ", "6245", " - ", "PRINTING")</f>
        <v xml:space="preserve">          6245 - PRINTING</v>
      </c>
      <c r="C63" s="11"/>
      <c r="D63" s="7">
        <v>31.86</v>
      </c>
      <c r="E63" s="2"/>
      <c r="F63" s="6">
        <f t="shared" si="32"/>
        <v>0</v>
      </c>
      <c r="G63" s="2"/>
      <c r="H63" s="7"/>
      <c r="I63" s="2"/>
      <c r="J63" s="6">
        <f t="shared" si="33"/>
        <v>0</v>
      </c>
      <c r="K63" s="2"/>
      <c r="L63" s="7">
        <f t="shared" si="34"/>
        <v>31.86</v>
      </c>
      <c r="M63" s="2"/>
      <c r="N63" s="6">
        <f t="shared" si="35"/>
        <v>0</v>
      </c>
      <c r="O63" s="11"/>
      <c r="P63" s="7">
        <v>31.86</v>
      </c>
      <c r="Q63" s="2"/>
      <c r="R63" s="6">
        <f t="shared" si="36"/>
        <v>0</v>
      </c>
      <c r="S63" s="2"/>
      <c r="T63" s="7"/>
      <c r="U63" s="2"/>
      <c r="V63" s="6">
        <f t="shared" si="37"/>
        <v>0</v>
      </c>
      <c r="W63" s="2"/>
      <c r="X63" s="7">
        <f t="shared" si="38"/>
        <v>31.86</v>
      </c>
      <c r="Y63" s="2"/>
      <c r="Z63" s="6">
        <f t="shared" si="39"/>
        <v>0</v>
      </c>
    </row>
    <row r="64" spans="1:26" s="27" customFormat="1" outlineLevel="1" collapsed="1" x14ac:dyDescent="0.25">
      <c r="A64" s="28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SUM(OSRRefD22_12x_0)</f>
        <v>140.68</v>
      </c>
      <c r="E64" s="1"/>
      <c r="F64" s="5">
        <f t="shared" ref="F64:F67" si="40">IF(D$12=0,0,D64/D$12)</f>
        <v>0</v>
      </c>
      <c r="G64" s="1"/>
      <c r="H64" s="1">
        <f>SUM(OSRRefH22_12x_0)</f>
        <v>350</v>
      </c>
      <c r="I64" s="1"/>
      <c r="J64" s="5">
        <f t="shared" ref="J64:J67" si="41">IF(H$12=0,0,H64/H$12)</f>
        <v>0</v>
      </c>
      <c r="K64" s="1"/>
      <c r="L64" s="1">
        <f t="shared" ref="L64:L67" si="42">+D64-H64</f>
        <v>-209.32</v>
      </c>
      <c r="M64" s="1"/>
      <c r="N64" s="5">
        <f t="shared" ref="N64:N67" si="43">IF(H64=0,0,L64/H64)</f>
        <v>-0.59805714285714284</v>
      </c>
      <c r="O64" s="14"/>
      <c r="P64" s="1">
        <f>SUM(OSRRefP22_12x_0)</f>
        <v>140.68</v>
      </c>
      <c r="Q64" s="1"/>
      <c r="R64" s="5">
        <f t="shared" ref="R64:R67" si="44">IF(P$12=0,0,P64/P$12)</f>
        <v>0</v>
      </c>
      <c r="S64" s="1"/>
      <c r="T64" s="1">
        <f>SUM(OSRRefT22_12x_0)</f>
        <v>350</v>
      </c>
      <c r="U64" s="1"/>
      <c r="V64" s="5">
        <f t="shared" ref="V64:V67" si="45">IF(T$12=0,0,T64/T$12)</f>
        <v>0</v>
      </c>
      <c r="W64" s="1"/>
      <c r="X64" s="1">
        <f t="shared" ref="X64:X67" si="46">+P64-T64</f>
        <v>-209.32</v>
      </c>
      <c r="Y64" s="1"/>
      <c r="Z64" s="5">
        <f t="shared" ref="Z64:Z67" si="47">IF(T64=0,0,X64/T64)</f>
        <v>-0.59805714285714284</v>
      </c>
    </row>
    <row r="65" spans="1:26" s="24" customFormat="1" hidden="1" outlineLevel="2" x14ac:dyDescent="0.25">
      <c r="A65" s="29"/>
      <c r="B65" s="11" t="str">
        <f>CONCATENATE("          ", "6309", " - ", "TELEPHONE")</f>
        <v xml:space="preserve">          6309 - TELEPHONE</v>
      </c>
      <c r="C65" s="11"/>
      <c r="D65" s="7">
        <v>140.68</v>
      </c>
      <c r="E65" s="2"/>
      <c r="F65" s="6">
        <f t="shared" si="40"/>
        <v>0</v>
      </c>
      <c r="G65" s="2"/>
      <c r="H65" s="7">
        <v>350</v>
      </c>
      <c r="I65" s="2"/>
      <c r="J65" s="6">
        <f t="shared" si="41"/>
        <v>0</v>
      </c>
      <c r="K65" s="2"/>
      <c r="L65" s="7">
        <f t="shared" si="42"/>
        <v>-209.32</v>
      </c>
      <c r="M65" s="2"/>
      <c r="N65" s="6">
        <f t="shared" si="43"/>
        <v>-0.59805714285714284</v>
      </c>
      <c r="O65" s="11"/>
      <c r="P65" s="7">
        <v>140.68</v>
      </c>
      <c r="Q65" s="2"/>
      <c r="R65" s="6">
        <f t="shared" si="44"/>
        <v>0</v>
      </c>
      <c r="S65" s="2"/>
      <c r="T65" s="7">
        <v>350</v>
      </c>
      <c r="U65" s="2"/>
      <c r="V65" s="6">
        <f t="shared" si="45"/>
        <v>0</v>
      </c>
      <c r="W65" s="2"/>
      <c r="X65" s="7">
        <f t="shared" si="46"/>
        <v>-209.32</v>
      </c>
      <c r="Y65" s="2"/>
      <c r="Z65" s="6">
        <f t="shared" si="47"/>
        <v>-0.59805714285714284</v>
      </c>
    </row>
    <row r="66" spans="1:26" s="27" customFormat="1" outlineLevel="1" collapsed="1" x14ac:dyDescent="0.25">
      <c r="A66" s="28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SUM(OSRRefD22_13x_0)</f>
        <v>320.83999999999997</v>
      </c>
      <c r="E66" s="1"/>
      <c r="F66" s="5">
        <f t="shared" si="40"/>
        <v>0</v>
      </c>
      <c r="G66" s="1"/>
      <c r="H66" s="1">
        <f>SUM(OSRRefH22_13x_0)</f>
        <v>1250</v>
      </c>
      <c r="I66" s="1"/>
      <c r="J66" s="5">
        <f t="shared" si="41"/>
        <v>0</v>
      </c>
      <c r="K66" s="1"/>
      <c r="L66" s="1">
        <f t="shared" si="42"/>
        <v>-929.16000000000008</v>
      </c>
      <c r="M66" s="1"/>
      <c r="N66" s="5">
        <f t="shared" si="43"/>
        <v>-0.7433280000000001</v>
      </c>
      <c r="O66" s="14"/>
      <c r="P66" s="1">
        <f>SUM(OSRRefP22_13x_0)</f>
        <v>320.83999999999997</v>
      </c>
      <c r="Q66" s="1"/>
      <c r="R66" s="5">
        <f t="shared" si="44"/>
        <v>0</v>
      </c>
      <c r="S66" s="1"/>
      <c r="T66" s="1">
        <f>SUM(OSRRefT22_13x_0)</f>
        <v>1250</v>
      </c>
      <c r="U66" s="1"/>
      <c r="V66" s="5">
        <f t="shared" si="45"/>
        <v>0</v>
      </c>
      <c r="W66" s="1"/>
      <c r="X66" s="1">
        <f t="shared" si="46"/>
        <v>-929.16000000000008</v>
      </c>
      <c r="Y66" s="1"/>
      <c r="Z66" s="5">
        <f t="shared" si="47"/>
        <v>-0.7433280000000001</v>
      </c>
    </row>
    <row r="67" spans="1:26" s="24" customFormat="1" hidden="1" outlineLevel="2" x14ac:dyDescent="0.25">
      <c r="A67" s="29"/>
      <c r="B67" s="11" t="str">
        <f>CONCATENATE("          ", "6292", " - ", "TRAVEL/CONFERENCE")</f>
        <v xml:space="preserve">          6292 - TRAVEL/CONFERENCE</v>
      </c>
      <c r="C67" s="11"/>
      <c r="D67" s="7">
        <v>320.83999999999997</v>
      </c>
      <c r="E67" s="2"/>
      <c r="F67" s="6">
        <f t="shared" si="40"/>
        <v>0</v>
      </c>
      <c r="G67" s="2"/>
      <c r="H67" s="7">
        <v>1250</v>
      </c>
      <c r="I67" s="2"/>
      <c r="J67" s="6">
        <f t="shared" si="41"/>
        <v>0</v>
      </c>
      <c r="K67" s="2"/>
      <c r="L67" s="7">
        <f t="shared" si="42"/>
        <v>-929.16000000000008</v>
      </c>
      <c r="M67" s="2"/>
      <c r="N67" s="6">
        <f t="shared" si="43"/>
        <v>-0.7433280000000001</v>
      </c>
      <c r="O67" s="11"/>
      <c r="P67" s="7">
        <v>320.83999999999997</v>
      </c>
      <c r="Q67" s="2"/>
      <c r="R67" s="6">
        <f t="shared" si="44"/>
        <v>0</v>
      </c>
      <c r="S67" s="2"/>
      <c r="T67" s="7">
        <v>1250</v>
      </c>
      <c r="U67" s="2"/>
      <c r="V67" s="6">
        <f t="shared" si="45"/>
        <v>0</v>
      </c>
      <c r="W67" s="2"/>
      <c r="X67" s="7">
        <f t="shared" si="46"/>
        <v>-929.16000000000008</v>
      </c>
      <c r="Y67" s="2"/>
      <c r="Z67" s="6">
        <f t="shared" si="47"/>
        <v>-0.7433280000000001</v>
      </c>
    </row>
    <row r="68" spans="1:26" s="57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5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3</v>
      </c>
      <c r="C71" s="26"/>
      <c r="D71" s="21">
        <f>+D16-D18+D69</f>
        <v>-77391.169999999969</v>
      </c>
      <c r="E71" s="13"/>
      <c r="F71" s="19">
        <f>IF(D$12=0,0,D71/D$12)</f>
        <v>0</v>
      </c>
      <c r="G71" s="13"/>
      <c r="H71" s="21">
        <f>+H16-H18+H69</f>
        <v>-96461.243021153845</v>
      </c>
      <c r="I71" s="13"/>
      <c r="J71" s="19">
        <f>IF(H$12=0,0,H71/H$12)</f>
        <v>0</v>
      </c>
      <c r="K71" s="15"/>
      <c r="L71" s="21">
        <f>+D71-H71</f>
        <v>19070.073021153876</v>
      </c>
      <c r="M71" s="15"/>
      <c r="N71" s="19">
        <f>IF(H71=0,0,L71/H71)</f>
        <v>-0.19769673729968243</v>
      </c>
      <c r="O71" s="25"/>
      <c r="P71" s="21">
        <f>+P16-P18+P69</f>
        <v>-77391.169999999969</v>
      </c>
      <c r="Q71" s="13"/>
      <c r="R71" s="19">
        <f>IF(P$12=0,0,P71/P$12)</f>
        <v>0</v>
      </c>
      <c r="S71" s="13"/>
      <c r="T71" s="21">
        <f>+T16-T18+T69</f>
        <v>-96461.243021153845</v>
      </c>
      <c r="U71" s="13"/>
      <c r="V71" s="19">
        <f>IF(T$12=0,0,T71/T$12)</f>
        <v>0</v>
      </c>
      <c r="W71" s="15"/>
      <c r="X71" s="21">
        <f>+P71-T71</f>
        <v>19070.073021153876</v>
      </c>
      <c r="Y71" s="15"/>
      <c r="Z71" s="19">
        <f>IF(T71=0,0,X71/T71)</f>
        <v>-0.19769673729968243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/>
      <c r="E73" s="4"/>
      <c r="F73" s="12">
        <f>IF(D$12=0,0,D73/D$12)</f>
        <v>0</v>
      </c>
      <c r="G73" s="4"/>
      <c r="H73" s="4"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4</v>
      </c>
      <c r="C75" s="26"/>
      <c r="D75" s="32">
        <f>+D71-D73</f>
        <v>-77391.169999999969</v>
      </c>
      <c r="E75" s="13"/>
      <c r="F75" s="31">
        <f>IF(D$12=0,0,D75/D$12)</f>
        <v>0</v>
      </c>
      <c r="G75" s="13"/>
      <c r="H75" s="32">
        <f>+H71-H73</f>
        <v>-96461.243021153845</v>
      </c>
      <c r="I75" s="13"/>
      <c r="J75" s="31">
        <f>IF(H$12=0,0,H75/H$12)</f>
        <v>0</v>
      </c>
      <c r="K75" s="15"/>
      <c r="L75" s="32">
        <f>D75-H75</f>
        <v>19070.073021153876</v>
      </c>
      <c r="M75" s="15"/>
      <c r="N75" s="31">
        <f>IF(H75=0,0,L75/H75)</f>
        <v>-0.19769673729968243</v>
      </c>
      <c r="O75" s="25"/>
      <c r="P75" s="32">
        <f>+P71-P73</f>
        <v>-77391.169999999969</v>
      </c>
      <c r="Q75" s="13"/>
      <c r="R75" s="31">
        <f>IF(P$12=0,0,P75/P$12)</f>
        <v>0</v>
      </c>
      <c r="S75" s="13"/>
      <c r="T75" s="32">
        <f>+T71-T73</f>
        <v>-96461.243021153845</v>
      </c>
      <c r="U75" s="13"/>
      <c r="V75" s="31">
        <f>IF(T$12=0,0,T75/T$12)</f>
        <v>0</v>
      </c>
      <c r="W75" s="15"/>
      <c r="X75" s="32">
        <f>P75-T75</f>
        <v>19070.073021153876</v>
      </c>
      <c r="Y75" s="15"/>
      <c r="Z75" s="31">
        <f>IF(T75=0,0,X75/T75)</f>
        <v>-0.19769673729968243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5</v>
      </c>
      <c r="C78" s="26"/>
      <c r="D78" s="33">
        <f>SUM(D75:D77)</f>
        <v>-77391.169999999969</v>
      </c>
      <c r="E78" s="13"/>
      <c r="F78" s="34">
        <f>IF(D$12=0,0,D78/D$12)</f>
        <v>0</v>
      </c>
      <c r="G78" s="13"/>
      <c r="H78" s="33">
        <f>SUM(H75:H77)</f>
        <v>-96461.243021153845</v>
      </c>
      <c r="I78" s="13"/>
      <c r="J78" s="34">
        <f>IF(H$12=0,0,H78/H$12)</f>
        <v>0</v>
      </c>
      <c r="K78" s="15"/>
      <c r="L78" s="33">
        <f>+D78-H78</f>
        <v>19070.073021153876</v>
      </c>
      <c r="M78" s="15"/>
      <c r="N78" s="34">
        <f>IF(H78=0,0,L78/H78)</f>
        <v>-0.19769673729968243</v>
      </c>
      <c r="O78" s="25"/>
      <c r="P78" s="33">
        <f>SUM(P75:P77)</f>
        <v>-77391.169999999969</v>
      </c>
      <c r="Q78" s="13"/>
      <c r="R78" s="34">
        <f>IF(P$12=0,0,P78/P$12)</f>
        <v>0</v>
      </c>
      <c r="S78" s="13"/>
      <c r="T78" s="33">
        <f>SUM(T75:T77)</f>
        <v>-96461.243021153845</v>
      </c>
      <c r="U78" s="13"/>
      <c r="V78" s="34">
        <f>IF(T$12=0,0,T78/T$12)</f>
        <v>0</v>
      </c>
      <c r="W78" s="15"/>
      <c r="X78" s="33">
        <f>+P78-T78</f>
        <v>19070.073021153876</v>
      </c>
      <c r="Y78" s="15"/>
      <c r="Z78" s="34">
        <f>IF(T78=0,0,X78/T78)</f>
        <v>-0.19769673729968243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61">
        <v>43726.678417905096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6" t="s">
        <v>314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3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","202", " - ", "Accounting")</f>
        <v>Department 202 - Accounting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55287.26</v>
      </c>
      <c r="E18" s="20"/>
      <c r="F18" s="30">
        <f t="shared" ref="F18:F28" si="0">IF(D$12=0,0,D18/D$12)</f>
        <v>0</v>
      </c>
      <c r="G18" s="20"/>
      <c r="H18" s="20">
        <f>SUM(OSRRefH22x_0)</f>
        <v>59436.669142307692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-4149.4091423076898</v>
      </c>
      <c r="M18" s="4"/>
      <c r="N18" s="30">
        <f t="shared" ref="N18:N28" si="3">IF(H18=0,0,L18/H18)</f>
        <v>-6.9812275859080633E-2</v>
      </c>
      <c r="O18" s="10"/>
      <c r="P18" s="20">
        <f>SUM(OSRRefP22x_0)</f>
        <v>55287.26</v>
      </c>
      <c r="Q18" s="20"/>
      <c r="R18" s="30">
        <f t="shared" ref="R18:R28" si="4">IF(P$12=0,0,P18/P$12)</f>
        <v>0</v>
      </c>
      <c r="S18" s="20"/>
      <c r="T18" s="20">
        <f>SUM(OSRRefT22x_0)</f>
        <v>59436.669142307692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-4149.4091423076898</v>
      </c>
      <c r="Y18" s="4"/>
      <c r="Z18" s="30">
        <f t="shared" ref="Z18:Z28" si="7">IF(T18=0,0,X18/T18)</f>
        <v>-6.9812275859080633E-2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17830.54</v>
      </c>
      <c r="E19" s="1"/>
      <c r="F19" s="5">
        <f t="shared" si="0"/>
        <v>0</v>
      </c>
      <c r="G19" s="1"/>
      <c r="H19" s="1">
        <f>SUM(OSRRefH22_0x_0)</f>
        <v>16469.596065384627</v>
      </c>
      <c r="I19" s="1"/>
      <c r="J19" s="5">
        <f t="shared" si="1"/>
        <v>0</v>
      </c>
      <c r="K19" s="1"/>
      <c r="L19" s="1">
        <f t="shared" si="2"/>
        <v>1360.943934615374</v>
      </c>
      <c r="M19" s="1"/>
      <c r="N19" s="5">
        <f t="shared" si="3"/>
        <v>8.2633716650511599E-2</v>
      </c>
      <c r="O19" s="14"/>
      <c r="P19" s="1">
        <f>SUM(OSRRefP22_0x_0)</f>
        <v>17830.54</v>
      </c>
      <c r="Q19" s="1"/>
      <c r="R19" s="5">
        <f t="shared" si="4"/>
        <v>0</v>
      </c>
      <c r="S19" s="1"/>
      <c r="T19" s="1">
        <f>SUM(OSRRefT22_0x_0)</f>
        <v>16469.596065384627</v>
      </c>
      <c r="U19" s="1"/>
      <c r="V19" s="5">
        <f t="shared" si="5"/>
        <v>0</v>
      </c>
      <c r="W19" s="1"/>
      <c r="X19" s="1">
        <f t="shared" si="6"/>
        <v>1360.943934615374</v>
      </c>
      <c r="Y19" s="1"/>
      <c r="Z19" s="5">
        <f t="shared" si="7"/>
        <v>8.2633716650511599E-2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2161.67</v>
      </c>
      <c r="E20" s="2"/>
      <c r="F20" s="6">
        <f t="shared" si="0"/>
        <v>0</v>
      </c>
      <c r="G20" s="2"/>
      <c r="H20" s="7">
        <v>3235.12914230769</v>
      </c>
      <c r="I20" s="2"/>
      <c r="J20" s="6">
        <f t="shared" si="1"/>
        <v>0</v>
      </c>
      <c r="K20" s="2"/>
      <c r="L20" s="7">
        <f t="shared" si="2"/>
        <v>-1073.4591423076899</v>
      </c>
      <c r="M20" s="2"/>
      <c r="N20" s="6">
        <f t="shared" si="3"/>
        <v>-0.33181338212111294</v>
      </c>
      <c r="O20" s="11"/>
      <c r="P20" s="7">
        <v>2161.67</v>
      </c>
      <c r="Q20" s="2"/>
      <c r="R20" s="6">
        <f t="shared" si="4"/>
        <v>0</v>
      </c>
      <c r="S20" s="2"/>
      <c r="T20" s="7">
        <v>3235.12914230769</v>
      </c>
      <c r="U20" s="2"/>
      <c r="V20" s="6">
        <f t="shared" si="5"/>
        <v>0</v>
      </c>
      <c r="W20" s="2"/>
      <c r="X20" s="7">
        <f t="shared" si="6"/>
        <v>-1073.4591423076899</v>
      </c>
      <c r="Y20" s="2"/>
      <c r="Z20" s="6">
        <f t="shared" si="7"/>
        <v>-0.33181338212111294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96.59</v>
      </c>
      <c r="E21" s="2"/>
      <c r="F21" s="6">
        <f t="shared" si="0"/>
        <v>0</v>
      </c>
      <c r="G21" s="2"/>
      <c r="H21" s="7">
        <v>143.72715384615401</v>
      </c>
      <c r="I21" s="2"/>
      <c r="J21" s="6">
        <f t="shared" si="1"/>
        <v>0</v>
      </c>
      <c r="K21" s="2"/>
      <c r="L21" s="7">
        <f t="shared" si="2"/>
        <v>-47.137153846154007</v>
      </c>
      <c r="M21" s="2"/>
      <c r="N21" s="6">
        <f t="shared" si="3"/>
        <v>-0.32796275849593293</v>
      </c>
      <c r="O21" s="11"/>
      <c r="P21" s="7">
        <v>96.59</v>
      </c>
      <c r="Q21" s="2"/>
      <c r="R21" s="6">
        <f t="shared" si="4"/>
        <v>0</v>
      </c>
      <c r="S21" s="2"/>
      <c r="T21" s="7">
        <v>143.72715384615401</v>
      </c>
      <c r="U21" s="2"/>
      <c r="V21" s="6">
        <f t="shared" si="5"/>
        <v>0</v>
      </c>
      <c r="W21" s="2"/>
      <c r="X21" s="7">
        <f t="shared" si="6"/>
        <v>-47.137153846154007</v>
      </c>
      <c r="Y21" s="2"/>
      <c r="Z21" s="6">
        <f t="shared" si="7"/>
        <v>-0.32796275849593293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5942.02</v>
      </c>
      <c r="E22" s="2"/>
      <c r="F22" s="6">
        <f t="shared" si="0"/>
        <v>0</v>
      </c>
      <c r="G22" s="2"/>
      <c r="H22" s="7">
        <v>6065</v>
      </c>
      <c r="I22" s="2"/>
      <c r="J22" s="6">
        <f t="shared" si="1"/>
        <v>0</v>
      </c>
      <c r="K22" s="2"/>
      <c r="L22" s="7">
        <f t="shared" si="2"/>
        <v>-122.97999999999956</v>
      </c>
      <c r="M22" s="2"/>
      <c r="N22" s="6">
        <f t="shared" si="3"/>
        <v>-2.027699917559762E-2</v>
      </c>
      <c r="O22" s="11"/>
      <c r="P22" s="7">
        <v>5942.02</v>
      </c>
      <c r="Q22" s="2"/>
      <c r="R22" s="6">
        <f t="shared" si="4"/>
        <v>0</v>
      </c>
      <c r="S22" s="2"/>
      <c r="T22" s="7">
        <v>6065</v>
      </c>
      <c r="U22" s="2"/>
      <c r="V22" s="6">
        <f t="shared" si="5"/>
        <v>0</v>
      </c>
      <c r="W22" s="2"/>
      <c r="X22" s="7">
        <f t="shared" si="6"/>
        <v>-122.97999999999956</v>
      </c>
      <c r="Y22" s="2"/>
      <c r="Z22" s="6">
        <f t="shared" si="7"/>
        <v>-2.027699917559762E-2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73.86</v>
      </c>
      <c r="E23" s="2"/>
      <c r="F23" s="6">
        <f t="shared" si="0"/>
        <v>0</v>
      </c>
      <c r="G23" s="2"/>
      <c r="H23" s="7">
        <v>109.90900000000001</v>
      </c>
      <c r="I23" s="2"/>
      <c r="J23" s="6">
        <f t="shared" si="1"/>
        <v>0</v>
      </c>
      <c r="K23" s="2"/>
      <c r="L23" s="7">
        <f t="shared" si="2"/>
        <v>-36.049000000000007</v>
      </c>
      <c r="M23" s="2"/>
      <c r="N23" s="6">
        <f t="shared" si="3"/>
        <v>-0.32798951860175241</v>
      </c>
      <c r="O23" s="11"/>
      <c r="P23" s="7">
        <v>73.86</v>
      </c>
      <c r="Q23" s="2"/>
      <c r="R23" s="6">
        <f t="shared" si="4"/>
        <v>0</v>
      </c>
      <c r="S23" s="2"/>
      <c r="T23" s="7">
        <v>109.90900000000001</v>
      </c>
      <c r="U23" s="2"/>
      <c r="V23" s="6">
        <f t="shared" si="5"/>
        <v>0</v>
      </c>
      <c r="W23" s="2"/>
      <c r="X23" s="7">
        <f t="shared" si="6"/>
        <v>-36.049000000000007</v>
      </c>
      <c r="Y23" s="2"/>
      <c r="Z23" s="6">
        <f t="shared" si="7"/>
        <v>-0.32798951860175241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2196.79</v>
      </c>
      <c r="E24" s="2"/>
      <c r="F24" s="6">
        <f t="shared" si="0"/>
        <v>0</v>
      </c>
      <c r="G24" s="2"/>
      <c r="H24" s="7">
        <v>2699.98653846154</v>
      </c>
      <c r="I24" s="2"/>
      <c r="J24" s="6">
        <f t="shared" si="1"/>
        <v>0</v>
      </c>
      <c r="K24" s="2"/>
      <c r="L24" s="7">
        <f t="shared" si="2"/>
        <v>-503.19653846154006</v>
      </c>
      <c r="M24" s="2"/>
      <c r="N24" s="6">
        <f t="shared" si="3"/>
        <v>-0.18637001751433283</v>
      </c>
      <c r="O24" s="11"/>
      <c r="P24" s="7">
        <v>2196.79</v>
      </c>
      <c r="Q24" s="2"/>
      <c r="R24" s="6">
        <f t="shared" si="4"/>
        <v>0</v>
      </c>
      <c r="S24" s="2"/>
      <c r="T24" s="7">
        <v>2699.98653846154</v>
      </c>
      <c r="U24" s="2"/>
      <c r="V24" s="6">
        <f t="shared" si="5"/>
        <v>0</v>
      </c>
      <c r="W24" s="2"/>
      <c r="X24" s="7">
        <f t="shared" si="6"/>
        <v>-503.19653846154006</v>
      </c>
      <c r="Y24" s="2"/>
      <c r="Z24" s="6">
        <f t="shared" si="7"/>
        <v>-0.18637001751433283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2741.18</v>
      </c>
      <c r="E26" s="2"/>
      <c r="F26" s="6">
        <f t="shared" si="0"/>
        <v>0</v>
      </c>
      <c r="G26" s="2"/>
      <c r="H26" s="7">
        <v>1569.75961538462</v>
      </c>
      <c r="I26" s="2"/>
      <c r="J26" s="6">
        <f t="shared" si="1"/>
        <v>0</v>
      </c>
      <c r="K26" s="2"/>
      <c r="L26" s="7">
        <f t="shared" si="2"/>
        <v>1171.4203846153798</v>
      </c>
      <c r="M26" s="2"/>
      <c r="N26" s="6">
        <f t="shared" si="3"/>
        <v>0.7462418915193969</v>
      </c>
      <c r="O26" s="11"/>
      <c r="P26" s="7">
        <v>2741.18</v>
      </c>
      <c r="Q26" s="2"/>
      <c r="R26" s="6">
        <f t="shared" si="4"/>
        <v>0</v>
      </c>
      <c r="S26" s="2"/>
      <c r="T26" s="7">
        <v>1569.75961538462</v>
      </c>
      <c r="U26" s="2"/>
      <c r="V26" s="6">
        <f t="shared" si="5"/>
        <v>0</v>
      </c>
      <c r="W26" s="2"/>
      <c r="X26" s="7">
        <f t="shared" si="6"/>
        <v>1171.4203846153798</v>
      </c>
      <c r="Y26" s="2"/>
      <c r="Z26" s="6">
        <f t="shared" si="7"/>
        <v>0.7462418915193969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3934.91</v>
      </c>
      <c r="E27" s="2"/>
      <c r="F27" s="6">
        <f t="shared" si="0"/>
        <v>0</v>
      </c>
      <c r="G27" s="2"/>
      <c r="H27" s="7">
        <v>1896.0846153846198</v>
      </c>
      <c r="I27" s="2"/>
      <c r="J27" s="6">
        <f t="shared" si="1"/>
        <v>0</v>
      </c>
      <c r="K27" s="2"/>
      <c r="L27" s="7">
        <f t="shared" si="2"/>
        <v>2038.82538461538</v>
      </c>
      <c r="M27" s="2"/>
      <c r="N27" s="6">
        <f t="shared" si="3"/>
        <v>1.0752818561326734</v>
      </c>
      <c r="O27" s="11"/>
      <c r="P27" s="7">
        <v>3934.91</v>
      </c>
      <c r="Q27" s="2"/>
      <c r="R27" s="6">
        <f t="shared" si="4"/>
        <v>0</v>
      </c>
      <c r="S27" s="2"/>
      <c r="T27" s="7">
        <v>1896.0846153846198</v>
      </c>
      <c r="U27" s="2"/>
      <c r="V27" s="6">
        <f t="shared" si="5"/>
        <v>0</v>
      </c>
      <c r="W27" s="2"/>
      <c r="X27" s="7">
        <f t="shared" si="6"/>
        <v>2038.82538461538</v>
      </c>
      <c r="Y27" s="2"/>
      <c r="Z27" s="6">
        <f t="shared" si="7"/>
        <v>1.0752818561326734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683.52</v>
      </c>
      <c r="E28" s="2"/>
      <c r="F28" s="6">
        <f t="shared" si="0"/>
        <v>0</v>
      </c>
      <c r="G28" s="2"/>
      <c r="H28" s="7">
        <v>750</v>
      </c>
      <c r="I28" s="2"/>
      <c r="J28" s="6">
        <f t="shared" si="1"/>
        <v>0</v>
      </c>
      <c r="K28" s="2"/>
      <c r="L28" s="7">
        <f t="shared" si="2"/>
        <v>-66.480000000000018</v>
      </c>
      <c r="M28" s="2"/>
      <c r="N28" s="6">
        <f t="shared" si="3"/>
        <v>-8.8640000000000024E-2</v>
      </c>
      <c r="O28" s="11"/>
      <c r="P28" s="7">
        <v>683.52</v>
      </c>
      <c r="Q28" s="2"/>
      <c r="R28" s="6">
        <f t="shared" si="4"/>
        <v>0</v>
      </c>
      <c r="S28" s="2"/>
      <c r="T28" s="7">
        <v>750</v>
      </c>
      <c r="U28" s="2"/>
      <c r="V28" s="6">
        <f t="shared" si="5"/>
        <v>0</v>
      </c>
      <c r="W28" s="2"/>
      <c r="X28" s="7">
        <f t="shared" si="6"/>
        <v>-66.480000000000018</v>
      </c>
      <c r="Y28" s="2"/>
      <c r="Z28" s="6">
        <f t="shared" si="7"/>
        <v>-8.8640000000000024E-2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33760.5</v>
      </c>
      <c r="E29" s="1"/>
      <c r="F29" s="5">
        <f t="shared" ref="F29:F39" si="8">IF(D$12=0,0,D29/D$12)</f>
        <v>0</v>
      </c>
      <c r="G29" s="1"/>
      <c r="H29" s="1">
        <f>SUM(OSRRefH22_1x_0)</f>
        <v>39164.073076923072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-5403.5730769230722</v>
      </c>
      <c r="M29" s="1"/>
      <c r="N29" s="5">
        <f t="shared" ref="N29:N39" si="11">IF(H29=0,0,L29/H29)</f>
        <v>-0.13797270437908202</v>
      </c>
      <c r="O29" s="14"/>
      <c r="P29" s="1">
        <f>SUM(OSRRefP22_1x_0)</f>
        <v>33760.5</v>
      </c>
      <c r="Q29" s="1"/>
      <c r="R29" s="5">
        <f t="shared" ref="R29:R39" si="12">IF(P$12=0,0,P29/P$12)</f>
        <v>0</v>
      </c>
      <c r="S29" s="1"/>
      <c r="T29" s="1">
        <f>SUM(OSRRefT22_1x_0)</f>
        <v>39164.073076923072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-5403.5730769230722</v>
      </c>
      <c r="Y29" s="1"/>
      <c r="Z29" s="5">
        <f t="shared" ref="Z29:Z39" si="15">IF(T29=0,0,X29/T29)</f>
        <v>-0.13797270437908202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6774.2307692307704</v>
      </c>
      <c r="I30" s="2"/>
      <c r="J30" s="6">
        <f t="shared" si="9"/>
        <v>0</v>
      </c>
      <c r="K30" s="2"/>
      <c r="L30" s="7">
        <f t="shared" si="10"/>
        <v>-6774.2307692307704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6774.2307692307704</v>
      </c>
      <c r="U30" s="2"/>
      <c r="V30" s="6">
        <f t="shared" si="13"/>
        <v>0</v>
      </c>
      <c r="W30" s="2"/>
      <c r="X30" s="7">
        <f t="shared" si="14"/>
        <v>-6774.2307692307704</v>
      </c>
      <c r="Y30" s="2"/>
      <c r="Z30" s="6">
        <f t="shared" si="15"/>
        <v>-1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29175.53</v>
      </c>
      <c r="E31" s="2"/>
      <c r="F31" s="6">
        <f t="shared" si="8"/>
        <v>0</v>
      </c>
      <c r="G31" s="2"/>
      <c r="H31" s="7">
        <v>21481.442307692298</v>
      </c>
      <c r="I31" s="2"/>
      <c r="J31" s="6">
        <f t="shared" si="9"/>
        <v>0</v>
      </c>
      <c r="K31" s="2"/>
      <c r="L31" s="7">
        <f t="shared" si="10"/>
        <v>7694.0876923077012</v>
      </c>
      <c r="M31" s="2"/>
      <c r="N31" s="6">
        <f t="shared" si="11"/>
        <v>0.35817370091357986</v>
      </c>
      <c r="O31" s="11"/>
      <c r="P31" s="7">
        <v>29175.53</v>
      </c>
      <c r="Q31" s="2"/>
      <c r="R31" s="6">
        <f t="shared" si="12"/>
        <v>0</v>
      </c>
      <c r="S31" s="2"/>
      <c r="T31" s="7">
        <v>21481.442307692298</v>
      </c>
      <c r="U31" s="2"/>
      <c r="V31" s="6">
        <f t="shared" si="13"/>
        <v>0</v>
      </c>
      <c r="W31" s="2"/>
      <c r="X31" s="7">
        <f t="shared" si="14"/>
        <v>7694.0876923077012</v>
      </c>
      <c r="Y31" s="2"/>
      <c r="Z31" s="6">
        <f t="shared" si="15"/>
        <v>0.35817370091357986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3120.9</v>
      </c>
      <c r="I33" s="2"/>
      <c r="J33" s="6">
        <f t="shared" si="9"/>
        <v>0</v>
      </c>
      <c r="K33" s="2"/>
      <c r="L33" s="7">
        <f t="shared" si="10"/>
        <v>-3120.9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3120.9</v>
      </c>
      <c r="U33" s="2"/>
      <c r="V33" s="6">
        <f t="shared" si="13"/>
        <v>0</v>
      </c>
      <c r="W33" s="2"/>
      <c r="X33" s="7">
        <f t="shared" si="14"/>
        <v>-3120.9</v>
      </c>
      <c r="Y33" s="2"/>
      <c r="Z33" s="6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1745.35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1745.35</v>
      </c>
      <c r="M34" s="2"/>
      <c r="N34" s="6">
        <f t="shared" si="11"/>
        <v>0</v>
      </c>
      <c r="O34" s="11"/>
      <c r="P34" s="7">
        <v>1745.35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1745.35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2689.62</v>
      </c>
      <c r="E36" s="2"/>
      <c r="F36" s="6">
        <f t="shared" si="8"/>
        <v>0</v>
      </c>
      <c r="G36" s="2"/>
      <c r="H36" s="7">
        <v>7787.5</v>
      </c>
      <c r="I36" s="2"/>
      <c r="J36" s="6">
        <f t="shared" si="9"/>
        <v>0</v>
      </c>
      <c r="K36" s="2"/>
      <c r="L36" s="7">
        <f t="shared" si="10"/>
        <v>-5097.88</v>
      </c>
      <c r="M36" s="2"/>
      <c r="N36" s="6">
        <f t="shared" si="11"/>
        <v>-0.65462343499197428</v>
      </c>
      <c r="O36" s="11"/>
      <c r="P36" s="7">
        <v>2689.62</v>
      </c>
      <c r="Q36" s="2"/>
      <c r="R36" s="6">
        <f t="shared" si="12"/>
        <v>0</v>
      </c>
      <c r="S36" s="2"/>
      <c r="T36" s="7">
        <v>7787.5</v>
      </c>
      <c r="U36" s="2"/>
      <c r="V36" s="6">
        <f t="shared" si="13"/>
        <v>0</v>
      </c>
      <c r="W36" s="2"/>
      <c r="X36" s="7">
        <f t="shared" si="14"/>
        <v>-5097.88</v>
      </c>
      <c r="Y36" s="2"/>
      <c r="Z36" s="6">
        <f t="shared" si="15"/>
        <v>-0.65462343499197428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>
        <v>150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150</v>
      </c>
      <c r="M37" s="2"/>
      <c r="N37" s="6">
        <f t="shared" si="11"/>
        <v>0</v>
      </c>
      <c r="O37" s="11"/>
      <c r="P37" s="7">
        <v>150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150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8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SUM(OSRRefD22_2x_0)</f>
        <v>1558.88</v>
      </c>
      <c r="E40" s="1"/>
      <c r="F40" s="5">
        <f t="shared" ref="F40:F55" si="16">IF(D$12=0,0,D40/D$12)</f>
        <v>0</v>
      </c>
      <c r="G40" s="1"/>
      <c r="H40" s="1">
        <f>SUM(OSRRefH22_2x_0)</f>
        <v>1559</v>
      </c>
      <c r="I40" s="1"/>
      <c r="J40" s="5">
        <f t="shared" ref="J40:J55" si="17">IF(H$12=0,0,H40/H$12)</f>
        <v>0</v>
      </c>
      <c r="K40" s="1"/>
      <c r="L40" s="1">
        <f t="shared" ref="L40:L55" si="18">+D40-H40</f>
        <v>-0.11999999999989086</v>
      </c>
      <c r="M40" s="1"/>
      <c r="N40" s="5">
        <f t="shared" ref="N40:N55" si="19">IF(H40=0,0,L40/H40)</f>
        <v>-7.6972418216735637E-5</v>
      </c>
      <c r="O40" s="14"/>
      <c r="P40" s="1">
        <f>SUM(OSRRefP22_2x_0)</f>
        <v>1558.88</v>
      </c>
      <c r="Q40" s="1"/>
      <c r="R40" s="5">
        <f t="shared" ref="R40:R55" si="20">IF(P$12=0,0,P40/P$12)</f>
        <v>0</v>
      </c>
      <c r="S40" s="1"/>
      <c r="T40" s="1">
        <f>SUM(OSRRefT22_2x_0)</f>
        <v>1559</v>
      </c>
      <c r="U40" s="1"/>
      <c r="V40" s="5">
        <f t="shared" ref="V40:V55" si="21">IF(T$12=0,0,T40/T$12)</f>
        <v>0</v>
      </c>
      <c r="W40" s="1"/>
      <c r="X40" s="1">
        <f t="shared" ref="X40:X55" si="22">+P40-T40</f>
        <v>-0.11999999999989086</v>
      </c>
      <c r="Y40" s="1"/>
      <c r="Z40" s="5">
        <f t="shared" ref="Z40:Z55" si="23">IF(T40=0,0,X40/T40)</f>
        <v>-7.6972418216735637E-5</v>
      </c>
    </row>
    <row r="41" spans="1:26" s="24" customFormat="1" hidden="1" outlineLevel="2" x14ac:dyDescent="0.25">
      <c r="A41" s="29"/>
      <c r="B41" s="11" t="str">
        <f>CONCATENATE("          ", "6322", " - ", "EQUIPMENT DEPRECIATION EXPENSE")</f>
        <v xml:space="preserve">          6322 - EQUIPMENT DEPRECIATION EXPENSE</v>
      </c>
      <c r="C41" s="11"/>
      <c r="D41" s="7">
        <v>1558.88</v>
      </c>
      <c r="E41" s="2"/>
      <c r="F41" s="6">
        <f t="shared" si="16"/>
        <v>0</v>
      </c>
      <c r="G41" s="2"/>
      <c r="H41" s="7">
        <v>1559</v>
      </c>
      <c r="I41" s="2"/>
      <c r="J41" s="6">
        <f t="shared" si="17"/>
        <v>0</v>
      </c>
      <c r="K41" s="2"/>
      <c r="L41" s="7">
        <f t="shared" si="18"/>
        <v>-0.11999999999989086</v>
      </c>
      <c r="M41" s="2"/>
      <c r="N41" s="6">
        <f t="shared" si="19"/>
        <v>-7.6972418216735637E-5</v>
      </c>
      <c r="O41" s="11"/>
      <c r="P41" s="7">
        <v>1558.88</v>
      </c>
      <c r="Q41" s="2"/>
      <c r="R41" s="6">
        <f t="shared" si="20"/>
        <v>0</v>
      </c>
      <c r="S41" s="2"/>
      <c r="T41" s="7">
        <v>1559</v>
      </c>
      <c r="U41" s="2"/>
      <c r="V41" s="6">
        <f t="shared" si="21"/>
        <v>0</v>
      </c>
      <c r="W41" s="2"/>
      <c r="X41" s="7">
        <f t="shared" si="22"/>
        <v>-0.11999999999989086</v>
      </c>
      <c r="Y41" s="2"/>
      <c r="Z41" s="6">
        <f t="shared" si="23"/>
        <v>-7.6972418216735637E-5</v>
      </c>
    </row>
    <row r="42" spans="1:26" s="27" customFormat="1" outlineLevel="1" collapsed="1" x14ac:dyDescent="0.25">
      <c r="A42" s="28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-25</v>
      </c>
      <c r="M42" s="1"/>
      <c r="N42" s="5">
        <f t="shared" si="19"/>
        <v>-1</v>
      </c>
      <c r="O42" s="14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25</v>
      </c>
      <c r="U42" s="1"/>
      <c r="V42" s="5">
        <f t="shared" si="21"/>
        <v>0</v>
      </c>
      <c r="W42" s="1"/>
      <c r="X42" s="1">
        <f t="shared" si="22"/>
        <v>-25</v>
      </c>
      <c r="Y42" s="1"/>
      <c r="Z42" s="5">
        <f t="shared" si="23"/>
        <v>-1</v>
      </c>
    </row>
    <row r="43" spans="1:26" s="24" customFormat="1" hidden="1" outlineLevel="2" x14ac:dyDescent="0.25">
      <c r="A43" s="29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16"/>
        <v>0</v>
      </c>
      <c r="G43" s="2"/>
      <c r="H43" s="7">
        <v>25</v>
      </c>
      <c r="I43" s="2"/>
      <c r="J43" s="6">
        <f t="shared" si="17"/>
        <v>0</v>
      </c>
      <c r="K43" s="2"/>
      <c r="L43" s="7">
        <f t="shared" si="18"/>
        <v>-25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25</v>
      </c>
      <c r="U43" s="2"/>
      <c r="V43" s="6">
        <f t="shared" si="21"/>
        <v>0</v>
      </c>
      <c r="W43" s="2"/>
      <c r="X43" s="7">
        <f t="shared" si="22"/>
        <v>-25</v>
      </c>
      <c r="Y43" s="2"/>
      <c r="Z43" s="6">
        <f t="shared" si="23"/>
        <v>-1</v>
      </c>
    </row>
    <row r="44" spans="1:26" s="27" customFormat="1" outlineLevel="1" collapsed="1" x14ac:dyDescent="0.25">
      <c r="A44" s="28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SUM(OSRRefD22_4x_0)</f>
        <v>91.26</v>
      </c>
      <c r="E44" s="1"/>
      <c r="F44" s="5">
        <f t="shared" si="16"/>
        <v>0</v>
      </c>
      <c r="G44" s="1"/>
      <c r="H44" s="1">
        <f>SUM(OSRRefH22_4x_0)</f>
        <v>91</v>
      </c>
      <c r="I44" s="1"/>
      <c r="J44" s="5">
        <f t="shared" si="17"/>
        <v>0</v>
      </c>
      <c r="K44" s="1"/>
      <c r="L44" s="1">
        <f t="shared" si="18"/>
        <v>0.26000000000000512</v>
      </c>
      <c r="M44" s="1"/>
      <c r="N44" s="5">
        <f t="shared" si="19"/>
        <v>2.8571428571429135E-3</v>
      </c>
      <c r="O44" s="14"/>
      <c r="P44" s="1">
        <f>SUM(OSRRefP22_4x_0)</f>
        <v>91.26</v>
      </c>
      <c r="Q44" s="1"/>
      <c r="R44" s="5">
        <f t="shared" si="20"/>
        <v>0</v>
      </c>
      <c r="S44" s="1"/>
      <c r="T44" s="1">
        <f>SUM(OSRRefT22_4x_0)</f>
        <v>91</v>
      </c>
      <c r="U44" s="1"/>
      <c r="V44" s="5">
        <f t="shared" si="21"/>
        <v>0</v>
      </c>
      <c r="W44" s="1"/>
      <c r="X44" s="1">
        <f t="shared" si="22"/>
        <v>0.26000000000000512</v>
      </c>
      <c r="Y44" s="1"/>
      <c r="Z44" s="5">
        <f t="shared" si="23"/>
        <v>2.8571428571429135E-3</v>
      </c>
    </row>
    <row r="45" spans="1:26" s="24" customFormat="1" hidden="1" outlineLevel="2" x14ac:dyDescent="0.25">
      <c r="A45" s="29"/>
      <c r="B45" s="11" t="str">
        <f>CONCATENATE("          ", "6351", " - ", "EQUIPMENT RENTAL")</f>
        <v xml:space="preserve">          6351 - EQUIPMENT RENTAL</v>
      </c>
      <c r="C45" s="11"/>
      <c r="D45" s="7">
        <v>91.26</v>
      </c>
      <c r="E45" s="2"/>
      <c r="F45" s="6">
        <f t="shared" si="16"/>
        <v>0</v>
      </c>
      <c r="G45" s="2"/>
      <c r="H45" s="7">
        <v>91</v>
      </c>
      <c r="I45" s="2"/>
      <c r="J45" s="6">
        <f t="shared" si="17"/>
        <v>0</v>
      </c>
      <c r="K45" s="2"/>
      <c r="L45" s="7">
        <f t="shared" si="18"/>
        <v>0.26000000000000512</v>
      </c>
      <c r="M45" s="2"/>
      <c r="N45" s="6">
        <f t="shared" si="19"/>
        <v>2.8571428571429135E-3</v>
      </c>
      <c r="O45" s="11"/>
      <c r="P45" s="7">
        <v>91.26</v>
      </c>
      <c r="Q45" s="2"/>
      <c r="R45" s="6">
        <f t="shared" si="20"/>
        <v>0</v>
      </c>
      <c r="S45" s="2"/>
      <c r="T45" s="7">
        <v>91</v>
      </c>
      <c r="U45" s="2"/>
      <c r="V45" s="6">
        <f t="shared" si="21"/>
        <v>0</v>
      </c>
      <c r="W45" s="2"/>
      <c r="X45" s="7">
        <f t="shared" si="22"/>
        <v>0.26000000000000512</v>
      </c>
      <c r="Y45" s="2"/>
      <c r="Z45" s="6">
        <f t="shared" si="23"/>
        <v>2.8571428571429135E-3</v>
      </c>
    </row>
    <row r="46" spans="1:26" s="27" customFormat="1" outlineLevel="1" collapsed="1" x14ac:dyDescent="0.25">
      <c r="A46" s="28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SUM(OSRRefD22_5x_0)</f>
        <v>71</v>
      </c>
      <c r="E46" s="1"/>
      <c r="F46" s="5">
        <f t="shared" si="16"/>
        <v>0</v>
      </c>
      <c r="G46" s="1"/>
      <c r="H46" s="1">
        <f>SUM(OSRRefH22_5x_0)</f>
        <v>150</v>
      </c>
      <c r="I46" s="1"/>
      <c r="J46" s="5">
        <f t="shared" si="17"/>
        <v>0</v>
      </c>
      <c r="K46" s="1"/>
      <c r="L46" s="1">
        <f t="shared" si="18"/>
        <v>-79</v>
      </c>
      <c r="M46" s="1"/>
      <c r="N46" s="5">
        <f t="shared" si="19"/>
        <v>-0.52666666666666662</v>
      </c>
      <c r="O46" s="14"/>
      <c r="P46" s="1">
        <f>SUM(OSRRefP22_5x_0)</f>
        <v>71</v>
      </c>
      <c r="Q46" s="1"/>
      <c r="R46" s="5">
        <f t="shared" si="20"/>
        <v>0</v>
      </c>
      <c r="S46" s="1"/>
      <c r="T46" s="1">
        <f>SUM(OSRRefT22_5x_0)</f>
        <v>150</v>
      </c>
      <c r="U46" s="1"/>
      <c r="V46" s="5">
        <f t="shared" si="21"/>
        <v>0</v>
      </c>
      <c r="W46" s="1"/>
      <c r="X46" s="1">
        <f t="shared" si="22"/>
        <v>-79</v>
      </c>
      <c r="Y46" s="1"/>
      <c r="Z46" s="5">
        <f t="shared" si="23"/>
        <v>-0.52666666666666662</v>
      </c>
    </row>
    <row r="47" spans="1:26" s="24" customFormat="1" hidden="1" outlineLevel="2" x14ac:dyDescent="0.25">
      <c r="A47" s="29"/>
      <c r="B47" s="11" t="str">
        <f>CONCATENATE("          ", "6307", " - ", "POSTAGE")</f>
        <v xml:space="preserve">          6307 - POSTAGE</v>
      </c>
      <c r="C47" s="11"/>
      <c r="D47" s="7">
        <v>71</v>
      </c>
      <c r="E47" s="2"/>
      <c r="F47" s="6">
        <f t="shared" si="16"/>
        <v>0</v>
      </c>
      <c r="G47" s="2"/>
      <c r="H47" s="7">
        <v>150</v>
      </c>
      <c r="I47" s="2"/>
      <c r="J47" s="6">
        <f t="shared" si="17"/>
        <v>0</v>
      </c>
      <c r="K47" s="2"/>
      <c r="L47" s="7">
        <f t="shared" si="18"/>
        <v>-79</v>
      </c>
      <c r="M47" s="2"/>
      <c r="N47" s="6">
        <f t="shared" si="19"/>
        <v>-0.52666666666666662</v>
      </c>
      <c r="O47" s="11"/>
      <c r="P47" s="7">
        <v>71</v>
      </c>
      <c r="Q47" s="2"/>
      <c r="R47" s="6">
        <f t="shared" si="20"/>
        <v>0</v>
      </c>
      <c r="S47" s="2"/>
      <c r="T47" s="7">
        <v>150</v>
      </c>
      <c r="U47" s="2"/>
      <c r="V47" s="6">
        <f t="shared" si="21"/>
        <v>0</v>
      </c>
      <c r="W47" s="2"/>
      <c r="X47" s="7">
        <f t="shared" si="22"/>
        <v>-79</v>
      </c>
      <c r="Y47" s="2"/>
      <c r="Z47" s="6">
        <f t="shared" si="23"/>
        <v>-0.52666666666666662</v>
      </c>
    </row>
    <row r="48" spans="1:26" s="27" customFormat="1" outlineLevel="1" collapsed="1" x14ac:dyDescent="0.25">
      <c r="A48" s="28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25</v>
      </c>
      <c r="I48" s="1"/>
      <c r="J48" s="5">
        <f t="shared" si="17"/>
        <v>0</v>
      </c>
      <c r="K48" s="1"/>
      <c r="L48" s="1">
        <f t="shared" si="18"/>
        <v>-25</v>
      </c>
      <c r="M48" s="1"/>
      <c r="N48" s="5">
        <f t="shared" si="19"/>
        <v>-1</v>
      </c>
      <c r="O48" s="14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25</v>
      </c>
      <c r="U48" s="1"/>
      <c r="V48" s="5">
        <f t="shared" si="21"/>
        <v>0</v>
      </c>
      <c r="W48" s="1"/>
      <c r="X48" s="1">
        <f t="shared" si="22"/>
        <v>-25</v>
      </c>
      <c r="Y48" s="1"/>
      <c r="Z48" s="5">
        <f t="shared" si="23"/>
        <v>-1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16"/>
        <v>0</v>
      </c>
      <c r="G49" s="2"/>
      <c r="H49" s="7">
        <v>25</v>
      </c>
      <c r="I49" s="2"/>
      <c r="J49" s="6">
        <f t="shared" si="17"/>
        <v>0</v>
      </c>
      <c r="K49" s="2"/>
      <c r="L49" s="7">
        <f t="shared" si="18"/>
        <v>-25</v>
      </c>
      <c r="M49" s="2"/>
      <c r="N49" s="6">
        <f t="shared" si="19"/>
        <v>-1</v>
      </c>
      <c r="O49" s="11"/>
      <c r="P49" s="7"/>
      <c r="Q49" s="2"/>
      <c r="R49" s="6">
        <f t="shared" si="20"/>
        <v>0</v>
      </c>
      <c r="S49" s="2"/>
      <c r="T49" s="7">
        <v>25</v>
      </c>
      <c r="U49" s="2"/>
      <c r="V49" s="6">
        <f t="shared" si="21"/>
        <v>0</v>
      </c>
      <c r="W49" s="2"/>
      <c r="X49" s="7">
        <f t="shared" si="22"/>
        <v>-25</v>
      </c>
      <c r="Y49" s="2"/>
      <c r="Z49" s="6">
        <f t="shared" si="23"/>
        <v>-1</v>
      </c>
    </row>
    <row r="50" spans="1:26" s="27" customFormat="1" outlineLevel="1" collapsed="1" x14ac:dyDescent="0.25">
      <c r="A50" s="28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SUM(OSRRefD22_7x_0)</f>
        <v>132.16999999999999</v>
      </c>
      <c r="E50" s="1"/>
      <c r="F50" s="5">
        <f t="shared" si="16"/>
        <v>0</v>
      </c>
      <c r="G50" s="1"/>
      <c r="H50" s="1">
        <f>SUM(OSRRefH22_7x_0)</f>
        <v>125</v>
      </c>
      <c r="I50" s="1"/>
      <c r="J50" s="5">
        <f t="shared" si="17"/>
        <v>0</v>
      </c>
      <c r="K50" s="1"/>
      <c r="L50" s="1">
        <f t="shared" si="18"/>
        <v>7.1699999999999875</v>
      </c>
      <c r="M50" s="1"/>
      <c r="N50" s="5">
        <f t="shared" si="19"/>
        <v>5.7359999999999897E-2</v>
      </c>
      <c r="O50" s="14"/>
      <c r="P50" s="1">
        <f>SUM(OSRRefP22_7x_0)</f>
        <v>132.16999999999999</v>
      </c>
      <c r="Q50" s="1"/>
      <c r="R50" s="5">
        <f t="shared" si="20"/>
        <v>0</v>
      </c>
      <c r="S50" s="1"/>
      <c r="T50" s="1">
        <f>SUM(OSRRefT22_7x_0)</f>
        <v>125</v>
      </c>
      <c r="U50" s="1"/>
      <c r="V50" s="5">
        <f t="shared" si="21"/>
        <v>0</v>
      </c>
      <c r="W50" s="1"/>
      <c r="X50" s="1">
        <f t="shared" si="22"/>
        <v>7.1699999999999875</v>
      </c>
      <c r="Y50" s="1"/>
      <c r="Z50" s="5">
        <f t="shared" si="23"/>
        <v>5.7359999999999897E-2</v>
      </c>
    </row>
    <row r="51" spans="1:26" s="24" customFormat="1" hidden="1" outlineLevel="2" x14ac:dyDescent="0.25">
      <c r="A51" s="29"/>
      <c r="B51" s="11" t="str">
        <f>CONCATENATE("          ", "6314", " - ", "LIABILITY INSURANCE")</f>
        <v xml:space="preserve">          6314 - LIABILITY INSURANCE</v>
      </c>
      <c r="C51" s="11"/>
      <c r="D51" s="7">
        <v>132.16999999999999</v>
      </c>
      <c r="E51" s="2"/>
      <c r="F51" s="6">
        <f t="shared" si="16"/>
        <v>0</v>
      </c>
      <c r="G51" s="2"/>
      <c r="H51" s="7">
        <v>125</v>
      </c>
      <c r="I51" s="2"/>
      <c r="J51" s="6">
        <f t="shared" si="17"/>
        <v>0</v>
      </c>
      <c r="K51" s="2"/>
      <c r="L51" s="7">
        <f t="shared" si="18"/>
        <v>7.1699999999999875</v>
      </c>
      <c r="M51" s="2"/>
      <c r="N51" s="6">
        <f t="shared" si="19"/>
        <v>5.7359999999999897E-2</v>
      </c>
      <c r="O51" s="11"/>
      <c r="P51" s="7">
        <v>132.16999999999999</v>
      </c>
      <c r="Q51" s="2"/>
      <c r="R51" s="6">
        <f t="shared" si="20"/>
        <v>0</v>
      </c>
      <c r="S51" s="2"/>
      <c r="T51" s="7">
        <v>125</v>
      </c>
      <c r="U51" s="2"/>
      <c r="V51" s="6">
        <f t="shared" si="21"/>
        <v>0</v>
      </c>
      <c r="W51" s="2"/>
      <c r="X51" s="7">
        <f t="shared" si="22"/>
        <v>7.1699999999999875</v>
      </c>
      <c r="Y51" s="2"/>
      <c r="Z51" s="6">
        <f t="shared" si="23"/>
        <v>5.7359999999999897E-2</v>
      </c>
    </row>
    <row r="52" spans="1:26" s="27" customFormat="1" outlineLevel="1" collapsed="1" x14ac:dyDescent="0.25">
      <c r="A52" s="28"/>
      <c r="B52" s="14" t="str">
        <f>CONCATENATE("     ","Interest                                          ")</f>
        <v xml:space="preserve">     Interest                                          </v>
      </c>
      <c r="C52" s="14"/>
      <c r="D52" s="1">
        <f>SUM(OSRRefD22_8x_0)</f>
        <v>0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0</v>
      </c>
      <c r="M52" s="1"/>
      <c r="N52" s="5">
        <f t="shared" si="19"/>
        <v>0</v>
      </c>
      <c r="O52" s="14"/>
      <c r="P52" s="1">
        <f>SUM(OSRRefP22_8x_0)</f>
        <v>0</v>
      </c>
      <c r="Q52" s="1"/>
      <c r="R52" s="5">
        <f t="shared" si="20"/>
        <v>0</v>
      </c>
      <c r="S52" s="1"/>
      <c r="T52" s="1">
        <f>SUM(OSRRefT22_8x_0)</f>
        <v>0</v>
      </c>
      <c r="U52" s="1"/>
      <c r="V52" s="5">
        <f t="shared" si="21"/>
        <v>0</v>
      </c>
      <c r="W52" s="1"/>
      <c r="X52" s="1">
        <f t="shared" si="22"/>
        <v>0</v>
      </c>
      <c r="Y52" s="1"/>
      <c r="Z52" s="5">
        <f t="shared" si="23"/>
        <v>0</v>
      </c>
    </row>
    <row r="53" spans="1:26" s="24" customFormat="1" hidden="1" outlineLevel="2" x14ac:dyDescent="0.25">
      <c r="A53" s="29"/>
      <c r="B53" s="11" t="str">
        <f>CONCATENATE("          ", "6401", " - ", "INTEREST EXPENSE")</f>
        <v xml:space="preserve">          6401 - INTEREST EXPENSE</v>
      </c>
      <c r="C53" s="11"/>
      <c r="D53" s="7"/>
      <c r="E53" s="2"/>
      <c r="F53" s="6">
        <f t="shared" si="16"/>
        <v>0</v>
      </c>
      <c r="G53" s="2"/>
      <c r="H53" s="7">
        <v>0</v>
      </c>
      <c r="I53" s="2"/>
      <c r="J53" s="6">
        <f t="shared" si="17"/>
        <v>0</v>
      </c>
      <c r="K53" s="2"/>
      <c r="L53" s="7">
        <f t="shared" si="18"/>
        <v>0</v>
      </c>
      <c r="M53" s="2"/>
      <c r="N53" s="6">
        <f t="shared" si="19"/>
        <v>0</v>
      </c>
      <c r="O53" s="11"/>
      <c r="P53" s="7"/>
      <c r="Q53" s="2"/>
      <c r="R53" s="6">
        <f t="shared" si="20"/>
        <v>0</v>
      </c>
      <c r="S53" s="2"/>
      <c r="T53" s="7">
        <v>0</v>
      </c>
      <c r="U53" s="2"/>
      <c r="V53" s="6">
        <f t="shared" si="21"/>
        <v>0</v>
      </c>
      <c r="W53" s="2"/>
      <c r="X53" s="7">
        <f t="shared" si="22"/>
        <v>0</v>
      </c>
      <c r="Y53" s="2"/>
      <c r="Z53" s="6">
        <f t="shared" si="23"/>
        <v>0</v>
      </c>
    </row>
    <row r="54" spans="1:26" s="24" customFormat="1" hidden="1" outlineLevel="2" x14ac:dyDescent="0.25">
      <c r="A54" s="29"/>
      <c r="B54" s="11" t="str">
        <f>CONCATENATE("          ", "6402", " - ", "INTEREST EXPENSE BOND ISSUANCE")</f>
        <v xml:space="preserve">          6402 - INTEREST EXPENSE BOND ISSUANCE</v>
      </c>
      <c r="C54" s="11"/>
      <c r="D54" s="7"/>
      <c r="E54" s="2"/>
      <c r="F54" s="6">
        <f t="shared" si="16"/>
        <v>0</v>
      </c>
      <c r="G54" s="2"/>
      <c r="H54" s="7">
        <v>0</v>
      </c>
      <c r="I54" s="2"/>
      <c r="J54" s="6">
        <f t="shared" si="17"/>
        <v>0</v>
      </c>
      <c r="K54" s="2"/>
      <c r="L54" s="7">
        <f t="shared" si="18"/>
        <v>0</v>
      </c>
      <c r="M54" s="2"/>
      <c r="N54" s="6">
        <f t="shared" si="19"/>
        <v>0</v>
      </c>
      <c r="O54" s="11"/>
      <c r="P54" s="7"/>
      <c r="Q54" s="2"/>
      <c r="R54" s="6">
        <f t="shared" si="20"/>
        <v>0</v>
      </c>
      <c r="S54" s="2"/>
      <c r="T54" s="7">
        <v>0</v>
      </c>
      <c r="U54" s="2"/>
      <c r="V54" s="6">
        <f t="shared" si="21"/>
        <v>0</v>
      </c>
      <c r="W54" s="2"/>
      <c r="X54" s="7">
        <f t="shared" si="22"/>
        <v>0</v>
      </c>
      <c r="Y54" s="2"/>
      <c r="Z54" s="6">
        <f t="shared" si="23"/>
        <v>0</v>
      </c>
    </row>
    <row r="55" spans="1:26" s="24" customFormat="1" hidden="1" outlineLevel="2" x14ac:dyDescent="0.25">
      <c r="A55" s="29"/>
      <c r="B55" s="11" t="str">
        <f>CONCATENATE("          ", "6403", " - ", "INTEREST EXPENSE LEASE EQUIP")</f>
        <v xml:space="preserve">          6403 - INTEREST EXPENSE LEASE EQUIP</v>
      </c>
      <c r="C55" s="11"/>
      <c r="D55" s="7"/>
      <c r="E55" s="2"/>
      <c r="F55" s="6">
        <f t="shared" si="16"/>
        <v>0</v>
      </c>
      <c r="G55" s="2"/>
      <c r="H55" s="7">
        <v>0</v>
      </c>
      <c r="I55" s="2"/>
      <c r="J55" s="6">
        <f t="shared" si="17"/>
        <v>0</v>
      </c>
      <c r="K55" s="2"/>
      <c r="L55" s="7">
        <f t="shared" si="18"/>
        <v>0</v>
      </c>
      <c r="M55" s="2"/>
      <c r="N55" s="6">
        <f t="shared" si="19"/>
        <v>0</v>
      </c>
      <c r="O55" s="11"/>
      <c r="P55" s="7"/>
      <c r="Q55" s="2"/>
      <c r="R55" s="6">
        <f t="shared" si="20"/>
        <v>0</v>
      </c>
      <c r="S55" s="2"/>
      <c r="T55" s="7">
        <v>0</v>
      </c>
      <c r="U55" s="2"/>
      <c r="V55" s="6">
        <f t="shared" si="21"/>
        <v>0</v>
      </c>
      <c r="W55" s="2"/>
      <c r="X55" s="7">
        <f t="shared" si="22"/>
        <v>0</v>
      </c>
      <c r="Y55" s="2"/>
      <c r="Z55" s="6">
        <f t="shared" si="23"/>
        <v>0</v>
      </c>
    </row>
    <row r="56" spans="1:26" s="27" customFormat="1" outlineLevel="1" collapsed="1" x14ac:dyDescent="0.25">
      <c r="A56" s="28"/>
      <c r="B56" s="14" t="str">
        <f>CONCATENATE("     ","Professional Services                             ")</f>
        <v xml:space="preserve">     Professional Services                             </v>
      </c>
      <c r="C56" s="14"/>
      <c r="D56" s="1">
        <f>SUM(OSRRefD22_9x_0)</f>
        <v>82.5</v>
      </c>
      <c r="E56" s="1"/>
      <c r="F56" s="5">
        <f t="shared" ref="F56:F67" si="24">IF(D$12=0,0,D56/D$12)</f>
        <v>0</v>
      </c>
      <c r="G56" s="1"/>
      <c r="H56" s="1">
        <f>SUM(OSRRefH22_9x_0)</f>
        <v>100</v>
      </c>
      <c r="I56" s="1"/>
      <c r="J56" s="5">
        <f t="shared" ref="J56:J67" si="25">IF(H$12=0,0,H56/H$12)</f>
        <v>0</v>
      </c>
      <c r="K56" s="1"/>
      <c r="L56" s="1">
        <f t="shared" ref="L56:L67" si="26">+D56-H56</f>
        <v>-17.5</v>
      </c>
      <c r="M56" s="1"/>
      <c r="N56" s="5">
        <f t="shared" ref="N56:N67" si="27">IF(H56=0,0,L56/H56)</f>
        <v>-0.17499999999999999</v>
      </c>
      <c r="O56" s="14"/>
      <c r="P56" s="1">
        <f>SUM(OSRRefP22_9x_0)</f>
        <v>82.5</v>
      </c>
      <c r="Q56" s="1"/>
      <c r="R56" s="5">
        <f t="shared" ref="R56:R67" si="28">IF(P$12=0,0,P56/P$12)</f>
        <v>0</v>
      </c>
      <c r="S56" s="1"/>
      <c r="T56" s="1">
        <f>SUM(OSRRefT22_9x_0)</f>
        <v>100</v>
      </c>
      <c r="U56" s="1"/>
      <c r="V56" s="5">
        <f t="shared" ref="V56:V67" si="29">IF(T$12=0,0,T56/T$12)</f>
        <v>0</v>
      </c>
      <c r="W56" s="1"/>
      <c r="X56" s="1">
        <f t="shared" ref="X56:X67" si="30">+P56-T56</f>
        <v>-17.5</v>
      </c>
      <c r="Y56" s="1"/>
      <c r="Z56" s="5">
        <f t="shared" ref="Z56:Z67" si="31">IF(T56=0,0,X56/T56)</f>
        <v>-0.17499999999999999</v>
      </c>
    </row>
    <row r="57" spans="1:26" s="24" customFormat="1" hidden="1" outlineLevel="2" x14ac:dyDescent="0.25">
      <c r="A57" s="29"/>
      <c r="B57" s="11" t="str">
        <f>CONCATENATE("          ", "6332", " - ", "CONSULTANT FEES")</f>
        <v xml:space="preserve">          6332 - CONSULTANT FEES</v>
      </c>
      <c r="C57" s="11"/>
      <c r="D57" s="7">
        <v>82.5</v>
      </c>
      <c r="E57" s="2"/>
      <c r="F57" s="6">
        <f t="shared" si="24"/>
        <v>0</v>
      </c>
      <c r="G57" s="2"/>
      <c r="H57" s="7">
        <v>100</v>
      </c>
      <c r="I57" s="2"/>
      <c r="J57" s="6">
        <f t="shared" si="25"/>
        <v>0</v>
      </c>
      <c r="K57" s="2"/>
      <c r="L57" s="7">
        <f t="shared" si="26"/>
        <v>-17.5</v>
      </c>
      <c r="M57" s="2"/>
      <c r="N57" s="6">
        <f t="shared" si="27"/>
        <v>-0.17499999999999999</v>
      </c>
      <c r="O57" s="11"/>
      <c r="P57" s="7">
        <v>82.5</v>
      </c>
      <c r="Q57" s="2"/>
      <c r="R57" s="6">
        <f t="shared" si="28"/>
        <v>0</v>
      </c>
      <c r="S57" s="2"/>
      <c r="T57" s="7">
        <v>100</v>
      </c>
      <c r="U57" s="2"/>
      <c r="V57" s="6">
        <f t="shared" si="29"/>
        <v>0</v>
      </c>
      <c r="W57" s="2"/>
      <c r="X57" s="7">
        <f t="shared" si="30"/>
        <v>-17.5</v>
      </c>
      <c r="Y57" s="2"/>
      <c r="Z57" s="6">
        <f t="shared" si="31"/>
        <v>-0.17499999999999999</v>
      </c>
    </row>
    <row r="58" spans="1:26" s="27" customFormat="1" outlineLevel="1" collapsed="1" x14ac:dyDescent="0.25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SUM(OSRRefD22_10x_0)</f>
        <v>22</v>
      </c>
      <c r="E58" s="1"/>
      <c r="F58" s="5">
        <f t="shared" si="24"/>
        <v>0</v>
      </c>
      <c r="G58" s="1"/>
      <c r="H58" s="1">
        <f>SUM(OSRRefH22_10x_0)</f>
        <v>20</v>
      </c>
      <c r="I58" s="1"/>
      <c r="J58" s="5">
        <f t="shared" si="25"/>
        <v>0</v>
      </c>
      <c r="K58" s="1"/>
      <c r="L58" s="1">
        <f t="shared" si="26"/>
        <v>2</v>
      </c>
      <c r="M58" s="1"/>
      <c r="N58" s="5">
        <f t="shared" si="27"/>
        <v>0.1</v>
      </c>
      <c r="O58" s="14"/>
      <c r="P58" s="1">
        <f>SUM(OSRRefP22_10x_0)</f>
        <v>22</v>
      </c>
      <c r="Q58" s="1"/>
      <c r="R58" s="5">
        <f t="shared" si="28"/>
        <v>0</v>
      </c>
      <c r="S58" s="1"/>
      <c r="T58" s="1">
        <f>SUM(OSRRefT22_10x_0)</f>
        <v>20</v>
      </c>
      <c r="U58" s="1"/>
      <c r="V58" s="5">
        <f t="shared" si="29"/>
        <v>0</v>
      </c>
      <c r="W58" s="1"/>
      <c r="X58" s="1">
        <f t="shared" si="30"/>
        <v>2</v>
      </c>
      <c r="Y58" s="1"/>
      <c r="Z58" s="5">
        <f t="shared" si="31"/>
        <v>0.1</v>
      </c>
    </row>
    <row r="59" spans="1:26" s="24" customFormat="1" hidden="1" outlineLevel="2" x14ac:dyDescent="0.25">
      <c r="A59" s="29"/>
      <c r="B59" s="11" t="str">
        <f>CONCATENATE("          ", "6373", " - ", "MAINTENANCE CONTRACTS")</f>
        <v xml:space="preserve">          6373 - MAINTENANCE CONTRACTS</v>
      </c>
      <c r="C59" s="11"/>
      <c r="D59" s="7">
        <v>22</v>
      </c>
      <c r="E59" s="2"/>
      <c r="F59" s="6">
        <f t="shared" si="24"/>
        <v>0</v>
      </c>
      <c r="G59" s="2"/>
      <c r="H59" s="7">
        <v>20</v>
      </c>
      <c r="I59" s="2"/>
      <c r="J59" s="6">
        <f t="shared" si="25"/>
        <v>0</v>
      </c>
      <c r="K59" s="2"/>
      <c r="L59" s="7">
        <f t="shared" si="26"/>
        <v>2</v>
      </c>
      <c r="M59" s="2"/>
      <c r="N59" s="6">
        <f t="shared" si="27"/>
        <v>0.1</v>
      </c>
      <c r="O59" s="11"/>
      <c r="P59" s="7">
        <v>22</v>
      </c>
      <c r="Q59" s="2"/>
      <c r="R59" s="6">
        <f t="shared" si="28"/>
        <v>0</v>
      </c>
      <c r="S59" s="2"/>
      <c r="T59" s="7">
        <v>20</v>
      </c>
      <c r="U59" s="2"/>
      <c r="V59" s="6">
        <f t="shared" si="29"/>
        <v>0</v>
      </c>
      <c r="W59" s="2"/>
      <c r="X59" s="7">
        <f t="shared" si="30"/>
        <v>2</v>
      </c>
      <c r="Y59" s="2"/>
      <c r="Z59" s="6">
        <f t="shared" si="31"/>
        <v>0.1</v>
      </c>
    </row>
    <row r="60" spans="1:26" s="27" customFormat="1" outlineLevel="1" collapsed="1" x14ac:dyDescent="0.25">
      <c r="A60" s="28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SUM(OSRRefD22_11x_0)</f>
        <v>1013.7</v>
      </c>
      <c r="E60" s="1"/>
      <c r="F60" s="5">
        <f t="shared" si="24"/>
        <v>0</v>
      </c>
      <c r="G60" s="1"/>
      <c r="H60" s="1">
        <f>SUM(OSRRefH22_11x_0)</f>
        <v>600</v>
      </c>
      <c r="I60" s="1"/>
      <c r="J60" s="5">
        <f t="shared" si="25"/>
        <v>0</v>
      </c>
      <c r="K60" s="1"/>
      <c r="L60" s="1">
        <f t="shared" si="26"/>
        <v>413.70000000000005</v>
      </c>
      <c r="M60" s="1"/>
      <c r="N60" s="5">
        <f t="shared" si="27"/>
        <v>0.68950000000000011</v>
      </c>
      <c r="O60" s="14"/>
      <c r="P60" s="1">
        <f>SUM(OSRRefP22_11x_0)</f>
        <v>1013.7</v>
      </c>
      <c r="Q60" s="1"/>
      <c r="R60" s="5">
        <f t="shared" si="28"/>
        <v>0</v>
      </c>
      <c r="S60" s="1"/>
      <c r="T60" s="1">
        <f>SUM(OSRRefT22_11x_0)</f>
        <v>600</v>
      </c>
      <c r="U60" s="1"/>
      <c r="V60" s="5">
        <f t="shared" si="29"/>
        <v>0</v>
      </c>
      <c r="W60" s="1"/>
      <c r="X60" s="1">
        <f t="shared" si="30"/>
        <v>413.70000000000005</v>
      </c>
      <c r="Y60" s="1"/>
      <c r="Z60" s="5">
        <f t="shared" si="31"/>
        <v>0.68950000000000011</v>
      </c>
    </row>
    <row r="61" spans="1:26" s="24" customFormat="1" hidden="1" outlineLevel="2" x14ac:dyDescent="0.25">
      <c r="A61" s="29"/>
      <c r="B61" s="11" t="str">
        <f>CONCATENATE("          ", "6281", " - ", "STORAGE FEE")</f>
        <v xml:space="preserve">          6281 - STORAGE FEE</v>
      </c>
      <c r="C61" s="11"/>
      <c r="D61" s="7">
        <v>1013.7</v>
      </c>
      <c r="E61" s="2"/>
      <c r="F61" s="6">
        <f t="shared" si="24"/>
        <v>0</v>
      </c>
      <c r="G61" s="2"/>
      <c r="H61" s="7">
        <v>600</v>
      </c>
      <c r="I61" s="2"/>
      <c r="J61" s="6">
        <f t="shared" si="25"/>
        <v>0</v>
      </c>
      <c r="K61" s="2"/>
      <c r="L61" s="7">
        <f t="shared" si="26"/>
        <v>413.70000000000005</v>
      </c>
      <c r="M61" s="2"/>
      <c r="N61" s="6">
        <f t="shared" si="27"/>
        <v>0.68950000000000011</v>
      </c>
      <c r="O61" s="11"/>
      <c r="P61" s="7">
        <v>1013.7</v>
      </c>
      <c r="Q61" s="2"/>
      <c r="R61" s="6">
        <f t="shared" si="28"/>
        <v>0</v>
      </c>
      <c r="S61" s="2"/>
      <c r="T61" s="7">
        <v>600</v>
      </c>
      <c r="U61" s="2"/>
      <c r="V61" s="6">
        <f t="shared" si="29"/>
        <v>0</v>
      </c>
      <c r="W61" s="2"/>
      <c r="X61" s="7">
        <f t="shared" si="30"/>
        <v>413.70000000000005</v>
      </c>
      <c r="Y61" s="2"/>
      <c r="Z61" s="6">
        <f t="shared" si="31"/>
        <v>0.68950000000000011</v>
      </c>
    </row>
    <row r="62" spans="1:26" s="27" customFormat="1" outlineLevel="1" collapsed="1" x14ac:dyDescent="0.25">
      <c r="A62" s="28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SUM(OSRRefD22_12x_0)</f>
        <v>358.91</v>
      </c>
      <c r="E62" s="1"/>
      <c r="F62" s="5">
        <f t="shared" si="24"/>
        <v>0</v>
      </c>
      <c r="G62" s="1"/>
      <c r="H62" s="1">
        <f>SUM(OSRRefH22_12x_0)</f>
        <v>150</v>
      </c>
      <c r="I62" s="1"/>
      <c r="J62" s="5">
        <f t="shared" si="25"/>
        <v>0</v>
      </c>
      <c r="K62" s="1"/>
      <c r="L62" s="1">
        <f t="shared" si="26"/>
        <v>208.91000000000003</v>
      </c>
      <c r="M62" s="1"/>
      <c r="N62" s="5">
        <f t="shared" si="27"/>
        <v>1.3927333333333336</v>
      </c>
      <c r="O62" s="14"/>
      <c r="P62" s="1">
        <f>SUM(OSRRefP22_12x_0)</f>
        <v>358.91</v>
      </c>
      <c r="Q62" s="1"/>
      <c r="R62" s="5">
        <f t="shared" si="28"/>
        <v>0</v>
      </c>
      <c r="S62" s="1"/>
      <c r="T62" s="1">
        <f>SUM(OSRRefT22_12x_0)</f>
        <v>150</v>
      </c>
      <c r="U62" s="1"/>
      <c r="V62" s="5">
        <f t="shared" si="29"/>
        <v>0</v>
      </c>
      <c r="W62" s="1"/>
      <c r="X62" s="1">
        <f t="shared" si="30"/>
        <v>208.91000000000003</v>
      </c>
      <c r="Y62" s="1"/>
      <c r="Z62" s="5">
        <f t="shared" si="31"/>
        <v>1.3927333333333336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7">
        <v>358.91</v>
      </c>
      <c r="E63" s="2"/>
      <c r="F63" s="6">
        <f t="shared" si="24"/>
        <v>0</v>
      </c>
      <c r="G63" s="2"/>
      <c r="H63" s="7">
        <v>150</v>
      </c>
      <c r="I63" s="2"/>
      <c r="J63" s="6">
        <f t="shared" si="25"/>
        <v>0</v>
      </c>
      <c r="K63" s="2"/>
      <c r="L63" s="7">
        <f t="shared" si="26"/>
        <v>208.91000000000003</v>
      </c>
      <c r="M63" s="2"/>
      <c r="N63" s="6">
        <f t="shared" si="27"/>
        <v>1.3927333333333336</v>
      </c>
      <c r="O63" s="11"/>
      <c r="P63" s="7">
        <v>358.91</v>
      </c>
      <c r="Q63" s="2"/>
      <c r="R63" s="6">
        <f t="shared" si="28"/>
        <v>0</v>
      </c>
      <c r="S63" s="2"/>
      <c r="T63" s="7">
        <v>150</v>
      </c>
      <c r="U63" s="2"/>
      <c r="V63" s="6">
        <f t="shared" si="29"/>
        <v>0</v>
      </c>
      <c r="W63" s="2"/>
      <c r="X63" s="7">
        <f t="shared" si="30"/>
        <v>208.91000000000003</v>
      </c>
      <c r="Y63" s="2"/>
      <c r="Z63" s="6">
        <f t="shared" si="31"/>
        <v>1.3927333333333336</v>
      </c>
    </row>
    <row r="64" spans="1:26" s="27" customFormat="1" outlineLevel="1" collapsed="1" x14ac:dyDescent="0.25">
      <c r="A64" s="28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SUM(OSRRefD22_13x_0)</f>
        <v>365.8</v>
      </c>
      <c r="E64" s="1"/>
      <c r="F64" s="5">
        <f t="shared" si="24"/>
        <v>0</v>
      </c>
      <c r="G64" s="1"/>
      <c r="H64" s="1">
        <f>SUM(OSRRefH22_13x_0)</f>
        <v>375</v>
      </c>
      <c r="I64" s="1"/>
      <c r="J64" s="5">
        <f t="shared" si="25"/>
        <v>0</v>
      </c>
      <c r="K64" s="1"/>
      <c r="L64" s="1">
        <f t="shared" si="26"/>
        <v>-9.1999999999999886</v>
      </c>
      <c r="M64" s="1"/>
      <c r="N64" s="5">
        <f t="shared" si="27"/>
        <v>-2.4533333333333303E-2</v>
      </c>
      <c r="O64" s="14"/>
      <c r="P64" s="1">
        <f>SUM(OSRRefP22_13x_0)</f>
        <v>365.8</v>
      </c>
      <c r="Q64" s="1"/>
      <c r="R64" s="5">
        <f t="shared" si="28"/>
        <v>0</v>
      </c>
      <c r="S64" s="1"/>
      <c r="T64" s="1">
        <f>SUM(OSRRefT22_13x_0)</f>
        <v>375</v>
      </c>
      <c r="U64" s="1"/>
      <c r="V64" s="5">
        <f t="shared" si="29"/>
        <v>0</v>
      </c>
      <c r="W64" s="1"/>
      <c r="X64" s="1">
        <f t="shared" si="30"/>
        <v>-9.1999999999999886</v>
      </c>
      <c r="Y64" s="1"/>
      <c r="Z64" s="5">
        <f t="shared" si="31"/>
        <v>-2.4533333333333303E-2</v>
      </c>
    </row>
    <row r="65" spans="1:26" s="24" customFormat="1" hidden="1" outlineLevel="2" x14ac:dyDescent="0.25">
      <c r="A65" s="29"/>
      <c r="B65" s="11" t="str">
        <f>CONCATENATE("          ", "6309", " - ", "TELEPHONE")</f>
        <v xml:space="preserve">          6309 - TELEPHONE</v>
      </c>
      <c r="C65" s="11"/>
      <c r="D65" s="7">
        <v>365.8</v>
      </c>
      <c r="E65" s="2"/>
      <c r="F65" s="6">
        <f t="shared" si="24"/>
        <v>0</v>
      </c>
      <c r="G65" s="2"/>
      <c r="H65" s="7">
        <v>375</v>
      </c>
      <c r="I65" s="2"/>
      <c r="J65" s="6">
        <f t="shared" si="25"/>
        <v>0</v>
      </c>
      <c r="K65" s="2"/>
      <c r="L65" s="7">
        <f t="shared" si="26"/>
        <v>-9.1999999999999886</v>
      </c>
      <c r="M65" s="2"/>
      <c r="N65" s="6">
        <f t="shared" si="27"/>
        <v>-2.4533333333333303E-2</v>
      </c>
      <c r="O65" s="11"/>
      <c r="P65" s="7">
        <v>365.8</v>
      </c>
      <c r="Q65" s="2"/>
      <c r="R65" s="6">
        <f t="shared" si="28"/>
        <v>0</v>
      </c>
      <c r="S65" s="2"/>
      <c r="T65" s="7">
        <v>375</v>
      </c>
      <c r="U65" s="2"/>
      <c r="V65" s="6">
        <f t="shared" si="29"/>
        <v>0</v>
      </c>
      <c r="W65" s="2"/>
      <c r="X65" s="7">
        <f t="shared" si="30"/>
        <v>-9.1999999999999886</v>
      </c>
      <c r="Y65" s="2"/>
      <c r="Z65" s="6">
        <f t="shared" si="31"/>
        <v>-2.4533333333333303E-2</v>
      </c>
    </row>
    <row r="66" spans="1:26" s="27" customFormat="1" outlineLevel="1" collapsed="1" x14ac:dyDescent="0.25">
      <c r="A66" s="28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SUM(OSRRefD22_14x_0)</f>
        <v>0</v>
      </c>
      <c r="E66" s="1"/>
      <c r="F66" s="5">
        <f t="shared" si="24"/>
        <v>0</v>
      </c>
      <c r="G66" s="1"/>
      <c r="H66" s="1">
        <f>SUM(OSRRefH22_14x_0)</f>
        <v>583</v>
      </c>
      <c r="I66" s="1"/>
      <c r="J66" s="5">
        <f t="shared" si="25"/>
        <v>0</v>
      </c>
      <c r="K66" s="1"/>
      <c r="L66" s="1">
        <f t="shared" si="26"/>
        <v>-583</v>
      </c>
      <c r="M66" s="1"/>
      <c r="N66" s="5">
        <f t="shared" si="27"/>
        <v>-1</v>
      </c>
      <c r="O66" s="14"/>
      <c r="P66" s="1">
        <f>SUM(OSRRefP22_14x_0)</f>
        <v>0</v>
      </c>
      <c r="Q66" s="1"/>
      <c r="R66" s="5">
        <f t="shared" si="28"/>
        <v>0</v>
      </c>
      <c r="S66" s="1"/>
      <c r="T66" s="1">
        <f>SUM(OSRRefT22_14x_0)</f>
        <v>583</v>
      </c>
      <c r="U66" s="1"/>
      <c r="V66" s="5">
        <f t="shared" si="29"/>
        <v>0</v>
      </c>
      <c r="W66" s="1"/>
      <c r="X66" s="1">
        <f t="shared" si="30"/>
        <v>-583</v>
      </c>
      <c r="Y66" s="1"/>
      <c r="Z66" s="5">
        <f t="shared" si="31"/>
        <v>-1</v>
      </c>
    </row>
    <row r="67" spans="1:26" s="24" customFormat="1" hidden="1" outlineLevel="2" x14ac:dyDescent="0.25">
      <c r="A67" s="29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24"/>
        <v>0</v>
      </c>
      <c r="G67" s="2"/>
      <c r="H67" s="7">
        <v>583</v>
      </c>
      <c r="I67" s="2"/>
      <c r="J67" s="6">
        <f t="shared" si="25"/>
        <v>0</v>
      </c>
      <c r="K67" s="2"/>
      <c r="L67" s="7">
        <f t="shared" si="26"/>
        <v>-583</v>
      </c>
      <c r="M67" s="2"/>
      <c r="N67" s="6">
        <f t="shared" si="27"/>
        <v>-1</v>
      </c>
      <c r="O67" s="11"/>
      <c r="P67" s="7"/>
      <c r="Q67" s="2"/>
      <c r="R67" s="6">
        <f t="shared" si="28"/>
        <v>0</v>
      </c>
      <c r="S67" s="2"/>
      <c r="T67" s="7">
        <v>583</v>
      </c>
      <c r="U67" s="2"/>
      <c r="V67" s="6">
        <f t="shared" si="29"/>
        <v>0</v>
      </c>
      <c r="W67" s="2"/>
      <c r="X67" s="7">
        <f t="shared" si="30"/>
        <v>-583</v>
      </c>
      <c r="Y67" s="2"/>
      <c r="Z67" s="6">
        <f t="shared" si="31"/>
        <v>-1</v>
      </c>
    </row>
    <row r="68" spans="1:26" s="57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5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3</v>
      </c>
      <c r="C71" s="26"/>
      <c r="D71" s="21">
        <f>+D16-D18+D69</f>
        <v>-55287.26</v>
      </c>
      <c r="E71" s="13"/>
      <c r="F71" s="19">
        <f>IF(D$12=0,0,D71/D$12)</f>
        <v>0</v>
      </c>
      <c r="G71" s="13"/>
      <c r="H71" s="21">
        <f>+H16-H18+H69</f>
        <v>-59436.669142307692</v>
      </c>
      <c r="I71" s="13"/>
      <c r="J71" s="19">
        <f>IF(H$12=0,0,H71/H$12)</f>
        <v>0</v>
      </c>
      <c r="K71" s="15"/>
      <c r="L71" s="21">
        <f>+D71-H71</f>
        <v>4149.4091423076898</v>
      </c>
      <c r="M71" s="15"/>
      <c r="N71" s="19">
        <f>IF(H71=0,0,L71/H71)</f>
        <v>-6.9812275859080633E-2</v>
      </c>
      <c r="O71" s="25"/>
      <c r="P71" s="21">
        <f>+P16-P18+P69</f>
        <v>-55287.26</v>
      </c>
      <c r="Q71" s="13"/>
      <c r="R71" s="19">
        <f>IF(P$12=0,0,P71/P$12)</f>
        <v>0</v>
      </c>
      <c r="S71" s="13"/>
      <c r="T71" s="21">
        <f>+T16-T18+T69</f>
        <v>-59436.669142307692</v>
      </c>
      <c r="U71" s="13"/>
      <c r="V71" s="19">
        <f>IF(T$12=0,0,T71/T$12)</f>
        <v>0</v>
      </c>
      <c r="W71" s="15"/>
      <c r="X71" s="21">
        <f>+P71-T71</f>
        <v>4149.4091423076898</v>
      </c>
      <c r="Y71" s="15"/>
      <c r="Z71" s="19">
        <f>IF(T71=0,0,X71/T71)</f>
        <v>-6.9812275859080633E-2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4</v>
      </c>
      <c r="C75" s="26"/>
      <c r="D75" s="32">
        <f>+D71-D73</f>
        <v>-55287.26</v>
      </c>
      <c r="E75" s="13"/>
      <c r="F75" s="31">
        <f>IF(D$12=0,0,D75/D$12)</f>
        <v>0</v>
      </c>
      <c r="G75" s="13"/>
      <c r="H75" s="32">
        <f>+H71-H73</f>
        <v>-59436.669142307692</v>
      </c>
      <c r="I75" s="13"/>
      <c r="J75" s="31">
        <f>IF(H$12=0,0,H75/H$12)</f>
        <v>0</v>
      </c>
      <c r="K75" s="15"/>
      <c r="L75" s="32">
        <f>D75-H75</f>
        <v>4149.4091423076898</v>
      </c>
      <c r="M75" s="15"/>
      <c r="N75" s="31">
        <f>IF(H75=0,0,L75/H75)</f>
        <v>-6.9812275859080633E-2</v>
      </c>
      <c r="O75" s="25"/>
      <c r="P75" s="32">
        <f>+P71-P73</f>
        <v>-55287.26</v>
      </c>
      <c r="Q75" s="13"/>
      <c r="R75" s="31">
        <f>IF(P$12=0,0,P75/P$12)</f>
        <v>0</v>
      </c>
      <c r="S75" s="13"/>
      <c r="T75" s="32">
        <f>+T71-T73</f>
        <v>-59436.669142307692</v>
      </c>
      <c r="U75" s="13"/>
      <c r="V75" s="31">
        <f>IF(T$12=0,0,T75/T$12)</f>
        <v>0</v>
      </c>
      <c r="W75" s="15"/>
      <c r="X75" s="32">
        <f>P75-T75</f>
        <v>4149.4091423076898</v>
      </c>
      <c r="Y75" s="15"/>
      <c r="Z75" s="31">
        <f>IF(T75=0,0,X75/T75)</f>
        <v>-6.9812275859080633E-2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5</v>
      </c>
      <c r="C78" s="26"/>
      <c r="D78" s="33">
        <f>SUM(D75:D77)</f>
        <v>-55287.26</v>
      </c>
      <c r="E78" s="13"/>
      <c r="F78" s="34">
        <f>IF(D$12=0,0,D78/D$12)</f>
        <v>0</v>
      </c>
      <c r="G78" s="13"/>
      <c r="H78" s="33">
        <f>SUM(H75:H77)</f>
        <v>-59436.669142307692</v>
      </c>
      <c r="I78" s="13"/>
      <c r="J78" s="34">
        <f>IF(H$12=0,0,H78/H$12)</f>
        <v>0</v>
      </c>
      <c r="K78" s="15"/>
      <c r="L78" s="33">
        <f>+D78-H78</f>
        <v>4149.4091423076898</v>
      </c>
      <c r="M78" s="15"/>
      <c r="N78" s="34">
        <f>IF(H78=0,0,L78/H78)</f>
        <v>-6.9812275859080633E-2</v>
      </c>
      <c r="O78" s="25"/>
      <c r="P78" s="33">
        <f>SUM(P75:P77)</f>
        <v>-55287.26</v>
      </c>
      <c r="Q78" s="13"/>
      <c r="R78" s="34">
        <f>IF(P$12=0,0,P78/P$12)</f>
        <v>0</v>
      </c>
      <c r="S78" s="13"/>
      <c r="T78" s="33">
        <f>SUM(T75:T77)</f>
        <v>-59436.669142307692</v>
      </c>
      <c r="U78" s="13"/>
      <c r="V78" s="34">
        <f>IF(T$12=0,0,T78/T$12)</f>
        <v>0</v>
      </c>
      <c r="W78" s="15"/>
      <c r="X78" s="33">
        <f>+P78-T78</f>
        <v>4149.4091423076898</v>
      </c>
      <c r="Y78" s="15"/>
      <c r="Z78" s="34">
        <f>IF(T78=0,0,X78/T78)</f>
        <v>-6.9812275859080633E-2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61">
        <v>43726.678431365741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6" t="s">
        <v>314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3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","203", " - ", "Human Resources")</f>
        <v>Department 203 - Human Resources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65612.84</v>
      </c>
      <c r="E18" s="20"/>
      <c r="F18" s="30">
        <f t="shared" ref="F18:F29" si="0">IF(D$12=0,0,D18/D$12)</f>
        <v>0</v>
      </c>
      <c r="G18" s="20"/>
      <c r="H18" s="20">
        <f>SUM(OSRRefH22x_0)</f>
        <v>80947.587754592299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-15334.747754592303</v>
      </c>
      <c r="M18" s="4"/>
      <c r="N18" s="30">
        <f t="shared" ref="N18:N29" si="3">IF(H18=0,0,L18/H18)</f>
        <v>-0.18944045375487223</v>
      </c>
      <c r="O18" s="10"/>
      <c r="P18" s="20">
        <f>SUM(OSRRefP22x_0)</f>
        <v>65612.84</v>
      </c>
      <c r="Q18" s="20"/>
      <c r="R18" s="30">
        <f t="shared" ref="R18:R29" si="4">IF(P$12=0,0,P18/P$12)</f>
        <v>0</v>
      </c>
      <c r="S18" s="20"/>
      <c r="T18" s="20">
        <f>SUM(OSRRefT22x_0)</f>
        <v>80947.587754592299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-15334.747754592303</v>
      </c>
      <c r="Y18" s="4"/>
      <c r="Z18" s="30">
        <f t="shared" ref="Z18:Z29" si="7">IF(T18=0,0,X18/T18)</f>
        <v>-0.18944045375487223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16041.999999999998</v>
      </c>
      <c r="E19" s="1"/>
      <c r="F19" s="5">
        <f t="shared" si="0"/>
        <v>0</v>
      </c>
      <c r="G19" s="1"/>
      <c r="H19" s="1">
        <f>SUM(OSRRefH22_0x_0)</f>
        <v>11811.610600746157</v>
      </c>
      <c r="I19" s="1"/>
      <c r="J19" s="5">
        <f t="shared" si="1"/>
        <v>0</v>
      </c>
      <c r="K19" s="1"/>
      <c r="L19" s="1">
        <f t="shared" si="2"/>
        <v>4230.3893992538415</v>
      </c>
      <c r="M19" s="1"/>
      <c r="N19" s="5">
        <f t="shared" si="3"/>
        <v>0.35815516970959077</v>
      </c>
      <c r="O19" s="14"/>
      <c r="P19" s="1">
        <f>SUM(OSRRefP22_0x_0)</f>
        <v>16041.999999999998</v>
      </c>
      <c r="Q19" s="1"/>
      <c r="R19" s="5">
        <f t="shared" si="4"/>
        <v>0</v>
      </c>
      <c r="S19" s="1"/>
      <c r="T19" s="1">
        <f>SUM(OSRRefT22_0x_0)</f>
        <v>11811.610600746157</v>
      </c>
      <c r="U19" s="1"/>
      <c r="V19" s="5">
        <f t="shared" si="5"/>
        <v>0</v>
      </c>
      <c r="W19" s="1"/>
      <c r="X19" s="1">
        <f t="shared" si="6"/>
        <v>4230.3893992538415</v>
      </c>
      <c r="Y19" s="1"/>
      <c r="Z19" s="5">
        <f t="shared" si="7"/>
        <v>0.35815516970959077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1763.78</v>
      </c>
      <c r="E20" s="2"/>
      <c r="F20" s="6">
        <f t="shared" si="0"/>
        <v>0</v>
      </c>
      <c r="G20" s="2"/>
      <c r="H20" s="7">
        <v>1606.77378228462</v>
      </c>
      <c r="I20" s="2"/>
      <c r="J20" s="6">
        <f t="shared" si="1"/>
        <v>0</v>
      </c>
      <c r="K20" s="2"/>
      <c r="L20" s="7">
        <f t="shared" si="2"/>
        <v>157.00621771537999</v>
      </c>
      <c r="M20" s="2"/>
      <c r="N20" s="6">
        <f t="shared" si="3"/>
        <v>9.7715197650373592E-2</v>
      </c>
      <c r="O20" s="11"/>
      <c r="P20" s="7">
        <v>1763.78</v>
      </c>
      <c r="Q20" s="2"/>
      <c r="R20" s="6">
        <f t="shared" si="4"/>
        <v>0</v>
      </c>
      <c r="S20" s="2"/>
      <c r="T20" s="7">
        <v>1606.77378228462</v>
      </c>
      <c r="U20" s="2"/>
      <c r="V20" s="6">
        <f t="shared" si="5"/>
        <v>0</v>
      </c>
      <c r="W20" s="2"/>
      <c r="X20" s="7">
        <f t="shared" si="6"/>
        <v>157.00621771537999</v>
      </c>
      <c r="Y20" s="2"/>
      <c r="Z20" s="6">
        <f t="shared" si="7"/>
        <v>9.7715197650373592E-2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78.290000000000006</v>
      </c>
      <c r="E21" s="2"/>
      <c r="F21" s="6">
        <f t="shared" si="0"/>
        <v>0</v>
      </c>
      <c r="G21" s="2"/>
      <c r="H21" s="7">
        <v>101.95017430769201</v>
      </c>
      <c r="I21" s="2"/>
      <c r="J21" s="6">
        <f t="shared" si="1"/>
        <v>0</v>
      </c>
      <c r="K21" s="2"/>
      <c r="L21" s="7">
        <f t="shared" si="2"/>
        <v>-23.660174307692003</v>
      </c>
      <c r="M21" s="2"/>
      <c r="N21" s="6">
        <f t="shared" si="3"/>
        <v>-0.23207585929460126</v>
      </c>
      <c r="O21" s="11"/>
      <c r="P21" s="7">
        <v>78.290000000000006</v>
      </c>
      <c r="Q21" s="2"/>
      <c r="R21" s="6">
        <f t="shared" si="4"/>
        <v>0</v>
      </c>
      <c r="S21" s="2"/>
      <c r="T21" s="7">
        <v>101.95017430769201</v>
      </c>
      <c r="U21" s="2"/>
      <c r="V21" s="6">
        <f t="shared" si="5"/>
        <v>0</v>
      </c>
      <c r="W21" s="2"/>
      <c r="X21" s="7">
        <f t="shared" si="6"/>
        <v>-23.660174307692003</v>
      </c>
      <c r="Y21" s="2"/>
      <c r="Z21" s="6">
        <f t="shared" si="7"/>
        <v>-0.23207585929460126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5861.61</v>
      </c>
      <c r="E22" s="2"/>
      <c r="F22" s="6">
        <f t="shared" si="0"/>
        <v>0</v>
      </c>
      <c r="G22" s="2"/>
      <c r="H22" s="7">
        <v>6539.3076923076906</v>
      </c>
      <c r="I22" s="2"/>
      <c r="J22" s="6">
        <f t="shared" si="1"/>
        <v>0</v>
      </c>
      <c r="K22" s="2"/>
      <c r="L22" s="7">
        <f t="shared" si="2"/>
        <v>-677.69769230769089</v>
      </c>
      <c r="M22" s="2"/>
      <c r="N22" s="6">
        <f t="shared" si="3"/>
        <v>-0.10363447083318611</v>
      </c>
      <c r="O22" s="11"/>
      <c r="P22" s="7">
        <v>5861.61</v>
      </c>
      <c r="Q22" s="2"/>
      <c r="R22" s="6">
        <f t="shared" si="4"/>
        <v>0</v>
      </c>
      <c r="S22" s="2"/>
      <c r="T22" s="7">
        <v>6539.3076923076906</v>
      </c>
      <c r="U22" s="2"/>
      <c r="V22" s="6">
        <f t="shared" si="5"/>
        <v>0</v>
      </c>
      <c r="W22" s="2"/>
      <c r="X22" s="7">
        <f t="shared" si="6"/>
        <v>-677.69769230769089</v>
      </c>
      <c r="Y22" s="2"/>
      <c r="Z22" s="6">
        <f t="shared" si="7"/>
        <v>-0.10363447083318611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59.87</v>
      </c>
      <c r="E23" s="2"/>
      <c r="F23" s="6">
        <f t="shared" si="0"/>
        <v>0</v>
      </c>
      <c r="G23" s="2"/>
      <c r="H23" s="7">
        <v>77.961898000000005</v>
      </c>
      <c r="I23" s="2"/>
      <c r="J23" s="6">
        <f t="shared" si="1"/>
        <v>0</v>
      </c>
      <c r="K23" s="2"/>
      <c r="L23" s="7">
        <f t="shared" si="2"/>
        <v>-18.091898000000008</v>
      </c>
      <c r="M23" s="2"/>
      <c r="N23" s="6">
        <f t="shared" si="3"/>
        <v>-0.23206076896691261</v>
      </c>
      <c r="O23" s="11"/>
      <c r="P23" s="7">
        <v>59.87</v>
      </c>
      <c r="Q23" s="2"/>
      <c r="R23" s="6">
        <f t="shared" si="4"/>
        <v>0</v>
      </c>
      <c r="S23" s="2"/>
      <c r="T23" s="7">
        <v>77.961898000000005</v>
      </c>
      <c r="U23" s="2"/>
      <c r="V23" s="6">
        <f t="shared" si="5"/>
        <v>0</v>
      </c>
      <c r="W23" s="2"/>
      <c r="X23" s="7">
        <f t="shared" si="6"/>
        <v>-18.091898000000008</v>
      </c>
      <c r="Y23" s="2"/>
      <c r="Z23" s="6">
        <f t="shared" si="7"/>
        <v>-0.23206076896691261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919.4</v>
      </c>
      <c r="E24" s="2"/>
      <c r="F24" s="6">
        <f t="shared" si="0"/>
        <v>0</v>
      </c>
      <c r="G24" s="2"/>
      <c r="H24" s="7">
        <v>855.989423076923</v>
      </c>
      <c r="I24" s="2"/>
      <c r="J24" s="6">
        <f t="shared" si="1"/>
        <v>0</v>
      </c>
      <c r="K24" s="2"/>
      <c r="L24" s="7">
        <f t="shared" si="2"/>
        <v>63.410576923076974</v>
      </c>
      <c r="M24" s="2"/>
      <c r="N24" s="6">
        <f t="shared" si="3"/>
        <v>7.4078692111805011E-2</v>
      </c>
      <c r="O24" s="11"/>
      <c r="P24" s="7">
        <v>919.4</v>
      </c>
      <c r="Q24" s="2"/>
      <c r="R24" s="6">
        <f t="shared" si="4"/>
        <v>0</v>
      </c>
      <c r="S24" s="2"/>
      <c r="T24" s="7">
        <v>855.989423076923</v>
      </c>
      <c r="U24" s="2"/>
      <c r="V24" s="6">
        <f t="shared" si="5"/>
        <v>0</v>
      </c>
      <c r="W24" s="2"/>
      <c r="X24" s="7">
        <f t="shared" si="6"/>
        <v>63.410576923076974</v>
      </c>
      <c r="Y24" s="2"/>
      <c r="Z24" s="6">
        <f t="shared" si="7"/>
        <v>7.4078692111805011E-2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500</v>
      </c>
      <c r="I25" s="2"/>
      <c r="J25" s="6">
        <f t="shared" si="1"/>
        <v>0</v>
      </c>
      <c r="K25" s="2"/>
      <c r="L25" s="7">
        <f t="shared" si="2"/>
        <v>-500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500</v>
      </c>
      <c r="U25" s="2"/>
      <c r="V25" s="6">
        <f t="shared" si="5"/>
        <v>0</v>
      </c>
      <c r="W25" s="2"/>
      <c r="X25" s="7">
        <f t="shared" si="6"/>
        <v>-500</v>
      </c>
      <c r="Y25" s="2"/>
      <c r="Z25" s="6">
        <f t="shared" si="7"/>
        <v>-1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435.72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435.72</v>
      </c>
      <c r="M26" s="2"/>
      <c r="N26" s="6">
        <f t="shared" si="3"/>
        <v>0</v>
      </c>
      <c r="O26" s="11"/>
      <c r="P26" s="7">
        <v>435.72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435.72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4461.43</v>
      </c>
      <c r="E27" s="2"/>
      <c r="F27" s="6">
        <f t="shared" si="0"/>
        <v>0</v>
      </c>
      <c r="G27" s="2"/>
      <c r="H27" s="7">
        <v>1049.7672692307699</v>
      </c>
      <c r="I27" s="2"/>
      <c r="J27" s="6">
        <f t="shared" si="1"/>
        <v>0</v>
      </c>
      <c r="K27" s="2"/>
      <c r="L27" s="7">
        <f t="shared" si="2"/>
        <v>3411.6627307692306</v>
      </c>
      <c r="M27" s="2"/>
      <c r="N27" s="6">
        <f t="shared" si="3"/>
        <v>3.2499229407954098</v>
      </c>
      <c r="O27" s="11"/>
      <c r="P27" s="7">
        <v>4461.43</v>
      </c>
      <c r="Q27" s="2"/>
      <c r="R27" s="6">
        <f t="shared" si="4"/>
        <v>0</v>
      </c>
      <c r="S27" s="2"/>
      <c r="T27" s="7">
        <v>1049.7672692307699</v>
      </c>
      <c r="U27" s="2"/>
      <c r="V27" s="6">
        <f t="shared" si="5"/>
        <v>0</v>
      </c>
      <c r="W27" s="2"/>
      <c r="X27" s="7">
        <f t="shared" si="6"/>
        <v>3411.6627307692306</v>
      </c>
      <c r="Y27" s="2"/>
      <c r="Z27" s="6">
        <f t="shared" si="7"/>
        <v>3.2499229407954098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2102.69</v>
      </c>
      <c r="E28" s="2"/>
      <c r="F28" s="6">
        <f t="shared" si="0"/>
        <v>0</v>
      </c>
      <c r="G28" s="2"/>
      <c r="H28" s="7">
        <v>629.86036153846203</v>
      </c>
      <c r="I28" s="2"/>
      <c r="J28" s="6">
        <f t="shared" si="1"/>
        <v>0</v>
      </c>
      <c r="K28" s="2"/>
      <c r="L28" s="7">
        <f t="shared" si="2"/>
        <v>1472.829638461538</v>
      </c>
      <c r="M28" s="2"/>
      <c r="N28" s="6">
        <f t="shared" si="3"/>
        <v>2.3383431128513723</v>
      </c>
      <c r="O28" s="11"/>
      <c r="P28" s="7">
        <v>2102.69</v>
      </c>
      <c r="Q28" s="2"/>
      <c r="R28" s="6">
        <f t="shared" si="4"/>
        <v>0</v>
      </c>
      <c r="S28" s="2"/>
      <c r="T28" s="7">
        <v>629.86036153846203</v>
      </c>
      <c r="U28" s="2"/>
      <c r="V28" s="6">
        <f t="shared" si="5"/>
        <v>0</v>
      </c>
      <c r="W28" s="2"/>
      <c r="X28" s="7">
        <f t="shared" si="6"/>
        <v>1472.829638461538</v>
      </c>
      <c r="Y28" s="2"/>
      <c r="Z28" s="6">
        <f t="shared" si="7"/>
        <v>2.3383431128513723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359.21</v>
      </c>
      <c r="E29" s="2"/>
      <c r="F29" s="6">
        <f t="shared" si="0"/>
        <v>0</v>
      </c>
      <c r="G29" s="2"/>
      <c r="H29" s="7">
        <v>450</v>
      </c>
      <c r="I29" s="2"/>
      <c r="J29" s="6">
        <f t="shared" si="1"/>
        <v>0</v>
      </c>
      <c r="K29" s="2"/>
      <c r="L29" s="7">
        <f t="shared" si="2"/>
        <v>-90.79000000000002</v>
      </c>
      <c r="M29" s="2"/>
      <c r="N29" s="6">
        <f t="shared" si="3"/>
        <v>-0.2017555555555556</v>
      </c>
      <c r="O29" s="11"/>
      <c r="P29" s="7">
        <v>359.21</v>
      </c>
      <c r="Q29" s="2"/>
      <c r="R29" s="6">
        <f t="shared" si="4"/>
        <v>0</v>
      </c>
      <c r="S29" s="2"/>
      <c r="T29" s="7">
        <v>450</v>
      </c>
      <c r="U29" s="2"/>
      <c r="V29" s="6">
        <f t="shared" si="5"/>
        <v>0</v>
      </c>
      <c r="W29" s="2"/>
      <c r="X29" s="7">
        <f t="shared" si="6"/>
        <v>-90.79000000000002</v>
      </c>
      <c r="Y29" s="2"/>
      <c r="Z29" s="6">
        <f t="shared" si="7"/>
        <v>-0.2017555555555556</v>
      </c>
    </row>
    <row r="30" spans="1:26" s="27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28330.95</v>
      </c>
      <c r="E30" s="1"/>
      <c r="F30" s="5">
        <f t="shared" ref="F30:F40" si="8">IF(D$12=0,0,D30/D$12)</f>
        <v>0</v>
      </c>
      <c r="G30" s="1"/>
      <c r="H30" s="1">
        <f>SUM(OSRRefH22_1x_0)</f>
        <v>28636.97715384615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-306.0271538461493</v>
      </c>
      <c r="M30" s="1"/>
      <c r="N30" s="5">
        <f t="shared" ref="N30:N40" si="11">IF(H30=0,0,L30/H30)</f>
        <v>-1.0686433564621107E-2</v>
      </c>
      <c r="O30" s="14"/>
      <c r="P30" s="1">
        <f>SUM(OSRRefP22_1x_0)</f>
        <v>28330.95</v>
      </c>
      <c r="Q30" s="1"/>
      <c r="R30" s="5">
        <f t="shared" ref="R30:R40" si="12">IF(P$12=0,0,P30/P$12)</f>
        <v>0</v>
      </c>
      <c r="S30" s="1"/>
      <c r="T30" s="1">
        <f>SUM(OSRRefT22_1x_0)</f>
        <v>28636.97715384615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-306.0271538461493</v>
      </c>
      <c r="Y30" s="1"/>
      <c r="Z30" s="5">
        <f t="shared" ref="Z30:Z40" si="15">IF(T30=0,0,X30/T30)</f>
        <v>-1.0686433564621107E-2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11244.16</v>
      </c>
      <c r="E31" s="2"/>
      <c r="F31" s="6">
        <f t="shared" si="8"/>
        <v>0</v>
      </c>
      <c r="G31" s="2"/>
      <c r="H31" s="7">
        <v>9157.0961538461506</v>
      </c>
      <c r="I31" s="2"/>
      <c r="J31" s="6">
        <f t="shared" si="9"/>
        <v>0</v>
      </c>
      <c r="K31" s="2"/>
      <c r="L31" s="7">
        <f t="shared" si="10"/>
        <v>2087.0638461538492</v>
      </c>
      <c r="M31" s="2"/>
      <c r="N31" s="6">
        <f t="shared" si="11"/>
        <v>0.2279176510860644</v>
      </c>
      <c r="O31" s="11"/>
      <c r="P31" s="7">
        <v>11244.16</v>
      </c>
      <c r="Q31" s="2"/>
      <c r="R31" s="6">
        <f t="shared" si="12"/>
        <v>0</v>
      </c>
      <c r="S31" s="2"/>
      <c r="T31" s="7">
        <v>9157.0961538461506</v>
      </c>
      <c r="U31" s="2"/>
      <c r="V31" s="6">
        <f t="shared" si="13"/>
        <v>0</v>
      </c>
      <c r="W31" s="2"/>
      <c r="X31" s="7">
        <f t="shared" si="14"/>
        <v>2087.0638461538492</v>
      </c>
      <c r="Y31" s="2"/>
      <c r="Z31" s="6">
        <f t="shared" si="15"/>
        <v>0.2279176510860644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8636.86</v>
      </c>
      <c r="E34" s="2"/>
      <c r="F34" s="6">
        <f t="shared" si="8"/>
        <v>0</v>
      </c>
      <c r="G34" s="2"/>
      <c r="H34" s="7">
        <v>10489.880999999999</v>
      </c>
      <c r="I34" s="2"/>
      <c r="J34" s="6">
        <f t="shared" si="9"/>
        <v>0</v>
      </c>
      <c r="K34" s="2"/>
      <c r="L34" s="7">
        <f t="shared" si="10"/>
        <v>-1853.0209999999988</v>
      </c>
      <c r="M34" s="2"/>
      <c r="N34" s="6">
        <f t="shared" si="11"/>
        <v>-0.17664842909085421</v>
      </c>
      <c r="O34" s="11"/>
      <c r="P34" s="7">
        <v>8636.86</v>
      </c>
      <c r="Q34" s="2"/>
      <c r="R34" s="6">
        <f t="shared" si="12"/>
        <v>0</v>
      </c>
      <c r="S34" s="2"/>
      <c r="T34" s="7">
        <v>10489.880999999999</v>
      </c>
      <c r="U34" s="2"/>
      <c r="V34" s="6">
        <f t="shared" si="13"/>
        <v>0</v>
      </c>
      <c r="W34" s="2"/>
      <c r="X34" s="7">
        <f t="shared" si="14"/>
        <v>-1853.0209999999988</v>
      </c>
      <c r="Y34" s="2"/>
      <c r="Z34" s="6">
        <f t="shared" si="15"/>
        <v>-0.17664842909085421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5163.93</v>
      </c>
      <c r="E35" s="2"/>
      <c r="F35" s="6">
        <f t="shared" si="8"/>
        <v>0</v>
      </c>
      <c r="G35" s="2"/>
      <c r="H35" s="7">
        <v>8990</v>
      </c>
      <c r="I35" s="2"/>
      <c r="J35" s="6">
        <f t="shared" si="9"/>
        <v>0</v>
      </c>
      <c r="K35" s="2"/>
      <c r="L35" s="7">
        <f t="shared" si="10"/>
        <v>-3826.0699999999997</v>
      </c>
      <c r="M35" s="2"/>
      <c r="N35" s="6">
        <f t="shared" si="11"/>
        <v>-0.42559176863181308</v>
      </c>
      <c r="O35" s="11"/>
      <c r="P35" s="7">
        <v>5163.93</v>
      </c>
      <c r="Q35" s="2"/>
      <c r="R35" s="6">
        <f t="shared" si="12"/>
        <v>0</v>
      </c>
      <c r="S35" s="2"/>
      <c r="T35" s="7">
        <v>8990</v>
      </c>
      <c r="U35" s="2"/>
      <c r="V35" s="6">
        <f t="shared" si="13"/>
        <v>0</v>
      </c>
      <c r="W35" s="2"/>
      <c r="X35" s="7">
        <f t="shared" si="14"/>
        <v>-3826.0699999999997</v>
      </c>
      <c r="Y35" s="2"/>
      <c r="Z35" s="6">
        <f t="shared" si="15"/>
        <v>-0.42559176863181308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3286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3286</v>
      </c>
      <c r="M37" s="2"/>
      <c r="N37" s="6">
        <f t="shared" si="11"/>
        <v>0</v>
      </c>
      <c r="O37" s="11"/>
      <c r="P37" s="7">
        <v>3286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3286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7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588.74</v>
      </c>
      <c r="E41" s="1"/>
      <c r="F41" s="5">
        <f t="shared" ref="F41:F55" si="16">IF(D$12=0,0,D41/D$12)</f>
        <v>0</v>
      </c>
      <c r="G41" s="1"/>
      <c r="H41" s="1">
        <f>SUM(OSRRefH22_2x_0)</f>
        <v>260</v>
      </c>
      <c r="I41" s="1"/>
      <c r="J41" s="5">
        <f t="shared" ref="J41:J55" si="17">IF(H$12=0,0,H41/H$12)</f>
        <v>0</v>
      </c>
      <c r="K41" s="1"/>
      <c r="L41" s="1">
        <f t="shared" ref="L41:L55" si="18">+D41-H41</f>
        <v>328.74</v>
      </c>
      <c r="M41" s="1"/>
      <c r="N41" s="5">
        <f t="shared" ref="N41:N55" si="19">IF(H41=0,0,L41/H41)</f>
        <v>1.2643846153846154</v>
      </c>
      <c r="O41" s="14"/>
      <c r="P41" s="1">
        <f>SUM(OSRRefP22_2x_0)</f>
        <v>588.74</v>
      </c>
      <c r="Q41" s="1"/>
      <c r="R41" s="5">
        <f t="shared" ref="R41:R55" si="20">IF(P$12=0,0,P41/P$12)</f>
        <v>0</v>
      </c>
      <c r="S41" s="1"/>
      <c r="T41" s="1">
        <f>SUM(OSRRefT22_2x_0)</f>
        <v>260</v>
      </c>
      <c r="U41" s="1"/>
      <c r="V41" s="5">
        <f t="shared" ref="V41:V55" si="21">IF(T$12=0,0,T41/T$12)</f>
        <v>0</v>
      </c>
      <c r="W41" s="1"/>
      <c r="X41" s="1">
        <f t="shared" ref="X41:X55" si="22">+P41-T41</f>
        <v>328.74</v>
      </c>
      <c r="Y41" s="1"/>
      <c r="Z41" s="5">
        <f t="shared" ref="Z41:Z55" si="23">IF(T41=0,0,X41/T41)</f>
        <v>1.2643846153846154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>
        <v>588.74</v>
      </c>
      <c r="E42" s="2"/>
      <c r="F42" s="6">
        <f t="shared" si="16"/>
        <v>0</v>
      </c>
      <c r="G42" s="2"/>
      <c r="H42" s="7">
        <v>260</v>
      </c>
      <c r="I42" s="2"/>
      <c r="J42" s="6">
        <f t="shared" si="17"/>
        <v>0</v>
      </c>
      <c r="K42" s="2"/>
      <c r="L42" s="7">
        <f t="shared" si="18"/>
        <v>328.74</v>
      </c>
      <c r="M42" s="2"/>
      <c r="N42" s="6">
        <f t="shared" si="19"/>
        <v>1.2643846153846154</v>
      </c>
      <c r="O42" s="11"/>
      <c r="P42" s="7">
        <v>588.74</v>
      </c>
      <c r="Q42" s="2"/>
      <c r="R42" s="6">
        <f t="shared" si="20"/>
        <v>0</v>
      </c>
      <c r="S42" s="2"/>
      <c r="T42" s="7">
        <v>260</v>
      </c>
      <c r="U42" s="2"/>
      <c r="V42" s="6">
        <f t="shared" si="21"/>
        <v>0</v>
      </c>
      <c r="W42" s="2"/>
      <c r="X42" s="7">
        <f t="shared" si="22"/>
        <v>328.74</v>
      </c>
      <c r="Y42" s="2"/>
      <c r="Z42" s="6">
        <f t="shared" si="23"/>
        <v>1.2643846153846154</v>
      </c>
    </row>
    <row r="43" spans="1:26" s="27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224.18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0.18000000000000682</v>
      </c>
      <c r="M43" s="1"/>
      <c r="N43" s="5">
        <f t="shared" si="19"/>
        <v>8.0357142857145902E-4</v>
      </c>
      <c r="O43" s="14"/>
      <c r="P43" s="1">
        <f>SUM(OSRRefP22_3x_0)</f>
        <v>224.18</v>
      </c>
      <c r="Q43" s="1"/>
      <c r="R43" s="5">
        <f t="shared" si="20"/>
        <v>0</v>
      </c>
      <c r="S43" s="1"/>
      <c r="T43" s="1">
        <f>SUM(OSRRefT22_3x_0)</f>
        <v>224</v>
      </c>
      <c r="U43" s="1"/>
      <c r="V43" s="5">
        <f t="shared" si="21"/>
        <v>0</v>
      </c>
      <c r="W43" s="1"/>
      <c r="X43" s="1">
        <f t="shared" si="22"/>
        <v>0.18000000000000682</v>
      </c>
      <c r="Y43" s="1"/>
      <c r="Z43" s="5">
        <f t="shared" si="23"/>
        <v>8.0357142857145902E-4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224.18</v>
      </c>
      <c r="E44" s="2"/>
      <c r="F44" s="6">
        <f t="shared" si="16"/>
        <v>0</v>
      </c>
      <c r="G44" s="2"/>
      <c r="H44" s="7">
        <v>224</v>
      </c>
      <c r="I44" s="2"/>
      <c r="J44" s="6">
        <f t="shared" si="17"/>
        <v>0</v>
      </c>
      <c r="K44" s="2"/>
      <c r="L44" s="7">
        <f t="shared" si="18"/>
        <v>0.18000000000000682</v>
      </c>
      <c r="M44" s="2"/>
      <c r="N44" s="6">
        <f t="shared" si="19"/>
        <v>8.0357142857145902E-4</v>
      </c>
      <c r="O44" s="11"/>
      <c r="P44" s="7">
        <v>224.18</v>
      </c>
      <c r="Q44" s="2"/>
      <c r="R44" s="6">
        <f t="shared" si="20"/>
        <v>0</v>
      </c>
      <c r="S44" s="2"/>
      <c r="T44" s="7">
        <v>224</v>
      </c>
      <c r="U44" s="2"/>
      <c r="V44" s="6">
        <f t="shared" si="21"/>
        <v>0</v>
      </c>
      <c r="W44" s="2"/>
      <c r="X44" s="7">
        <f t="shared" si="22"/>
        <v>0.18000000000000682</v>
      </c>
      <c r="Y44" s="2"/>
      <c r="Z44" s="6">
        <f t="shared" si="23"/>
        <v>8.0357142857145902E-4</v>
      </c>
    </row>
    <row r="45" spans="1:26" s="27" customFormat="1" outlineLevel="1" collapsed="1" x14ac:dyDescent="0.25">
      <c r="A45" s="28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5147.58</v>
      </c>
      <c r="E45" s="1"/>
      <c r="F45" s="5">
        <f t="shared" si="16"/>
        <v>0</v>
      </c>
      <c r="G45" s="1"/>
      <c r="H45" s="1">
        <f>SUM(OSRRefH22_4x_0)</f>
        <v>10583</v>
      </c>
      <c r="I45" s="1"/>
      <c r="J45" s="5">
        <f t="shared" si="17"/>
        <v>0</v>
      </c>
      <c r="K45" s="1"/>
      <c r="L45" s="1">
        <f t="shared" si="18"/>
        <v>-5435.42</v>
      </c>
      <c r="M45" s="1"/>
      <c r="N45" s="5">
        <f t="shared" si="19"/>
        <v>-0.51359916847774734</v>
      </c>
      <c r="O45" s="14"/>
      <c r="P45" s="1">
        <f>SUM(OSRRefP22_4x_0)</f>
        <v>5147.58</v>
      </c>
      <c r="Q45" s="1"/>
      <c r="R45" s="5">
        <f t="shared" si="20"/>
        <v>0</v>
      </c>
      <c r="S45" s="1"/>
      <c r="T45" s="1">
        <f>SUM(OSRRefT22_4x_0)</f>
        <v>10583</v>
      </c>
      <c r="U45" s="1"/>
      <c r="V45" s="5">
        <f t="shared" si="21"/>
        <v>0</v>
      </c>
      <c r="W45" s="1"/>
      <c r="X45" s="1">
        <f t="shared" si="22"/>
        <v>-5435.42</v>
      </c>
      <c r="Y45" s="1"/>
      <c r="Z45" s="5">
        <f t="shared" si="23"/>
        <v>-0.51359916847774734</v>
      </c>
    </row>
    <row r="46" spans="1:26" s="24" customFormat="1" hidden="1" outlineLevel="2" x14ac:dyDescent="0.25">
      <c r="A46" s="29"/>
      <c r="B46" s="11" t="str">
        <f>CONCATENATE("          ", "6277", " - ", "EMPLOYEE APPRECIATION")</f>
        <v xml:space="preserve">          6277 - EMPLOYEE APPRECIATION</v>
      </c>
      <c r="C46" s="11"/>
      <c r="D46" s="7">
        <v>5147.58</v>
      </c>
      <c r="E46" s="2"/>
      <c r="F46" s="6">
        <f t="shared" si="16"/>
        <v>0</v>
      </c>
      <c r="G46" s="2"/>
      <c r="H46" s="7">
        <v>10583</v>
      </c>
      <c r="I46" s="2"/>
      <c r="J46" s="6">
        <f t="shared" si="17"/>
        <v>0</v>
      </c>
      <c r="K46" s="2"/>
      <c r="L46" s="7">
        <f t="shared" si="18"/>
        <v>-5435.42</v>
      </c>
      <c r="M46" s="2"/>
      <c r="N46" s="6">
        <f t="shared" si="19"/>
        <v>-0.51359916847774734</v>
      </c>
      <c r="O46" s="11"/>
      <c r="P46" s="7">
        <v>5147.58</v>
      </c>
      <c r="Q46" s="2"/>
      <c r="R46" s="6">
        <f t="shared" si="20"/>
        <v>0</v>
      </c>
      <c r="S46" s="2"/>
      <c r="T46" s="7">
        <v>10583</v>
      </c>
      <c r="U46" s="2"/>
      <c r="V46" s="6">
        <f t="shared" si="21"/>
        <v>0</v>
      </c>
      <c r="W46" s="2"/>
      <c r="X46" s="7">
        <f t="shared" si="22"/>
        <v>-5435.42</v>
      </c>
      <c r="Y46" s="2"/>
      <c r="Z46" s="6">
        <f t="shared" si="23"/>
        <v>-0.51359916847774734</v>
      </c>
    </row>
    <row r="47" spans="1:26" s="27" customFormat="1" outlineLevel="1" collapsed="1" x14ac:dyDescent="0.25">
      <c r="A47" s="28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91.26</v>
      </c>
      <c r="E47" s="1"/>
      <c r="F47" s="5">
        <f t="shared" si="16"/>
        <v>0</v>
      </c>
      <c r="G47" s="1"/>
      <c r="H47" s="1">
        <f>SUM(OSRRefH22_5x_0)</f>
        <v>0</v>
      </c>
      <c r="I47" s="1"/>
      <c r="J47" s="5">
        <f t="shared" si="17"/>
        <v>0</v>
      </c>
      <c r="K47" s="1"/>
      <c r="L47" s="1">
        <f t="shared" si="18"/>
        <v>91.26</v>
      </c>
      <c r="M47" s="1"/>
      <c r="N47" s="5">
        <f t="shared" si="19"/>
        <v>0</v>
      </c>
      <c r="O47" s="14"/>
      <c r="P47" s="1">
        <f>SUM(OSRRefP22_5x_0)</f>
        <v>91.26</v>
      </c>
      <c r="Q47" s="1"/>
      <c r="R47" s="5">
        <f t="shared" si="20"/>
        <v>0</v>
      </c>
      <c r="S47" s="1"/>
      <c r="T47" s="1">
        <f>SUM(OSRRefT22_5x_0)</f>
        <v>0</v>
      </c>
      <c r="U47" s="1"/>
      <c r="V47" s="5">
        <f t="shared" si="21"/>
        <v>0</v>
      </c>
      <c r="W47" s="1"/>
      <c r="X47" s="1">
        <f t="shared" si="22"/>
        <v>91.26</v>
      </c>
      <c r="Y47" s="1"/>
      <c r="Z47" s="5">
        <f t="shared" si="23"/>
        <v>0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7">
        <v>91.26</v>
      </c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91.26</v>
      </c>
      <c r="M48" s="2"/>
      <c r="N48" s="6">
        <f t="shared" si="19"/>
        <v>0</v>
      </c>
      <c r="O48" s="11"/>
      <c r="P48" s="7">
        <v>91.26</v>
      </c>
      <c r="Q48" s="2"/>
      <c r="R48" s="6">
        <f t="shared" si="20"/>
        <v>0</v>
      </c>
      <c r="S48" s="2"/>
      <c r="T48" s="7"/>
      <c r="U48" s="2"/>
      <c r="V48" s="6">
        <f t="shared" si="21"/>
        <v>0</v>
      </c>
      <c r="W48" s="2"/>
      <c r="X48" s="7">
        <f t="shared" si="22"/>
        <v>91.26</v>
      </c>
      <c r="Y48" s="2"/>
      <c r="Z48" s="6">
        <f t="shared" si="23"/>
        <v>0</v>
      </c>
    </row>
    <row r="49" spans="1:26" s="27" customFormat="1" outlineLevel="1" collapsed="1" x14ac:dyDescent="0.25">
      <c r="A49" s="28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37.65</v>
      </c>
      <c r="E49" s="1"/>
      <c r="F49" s="5">
        <f t="shared" si="16"/>
        <v>0</v>
      </c>
      <c r="G49" s="1"/>
      <c r="H49" s="1">
        <f>SUM(OSRRefH22_6x_0)</f>
        <v>0</v>
      </c>
      <c r="I49" s="1"/>
      <c r="J49" s="5">
        <f t="shared" si="17"/>
        <v>0</v>
      </c>
      <c r="K49" s="1"/>
      <c r="L49" s="1">
        <f t="shared" si="18"/>
        <v>37.65</v>
      </c>
      <c r="M49" s="1"/>
      <c r="N49" s="5">
        <f t="shared" si="19"/>
        <v>0</v>
      </c>
      <c r="O49" s="14"/>
      <c r="P49" s="1">
        <f>SUM(OSRRefP22_6x_0)</f>
        <v>37.65</v>
      </c>
      <c r="Q49" s="1"/>
      <c r="R49" s="5">
        <f t="shared" si="20"/>
        <v>0</v>
      </c>
      <c r="S49" s="1"/>
      <c r="T49" s="1">
        <f>SUM(OSRRefT22_6x_0)</f>
        <v>0</v>
      </c>
      <c r="U49" s="1"/>
      <c r="V49" s="5">
        <f t="shared" si="21"/>
        <v>0</v>
      </c>
      <c r="W49" s="1"/>
      <c r="X49" s="1">
        <f t="shared" si="22"/>
        <v>37.65</v>
      </c>
      <c r="Y49" s="1"/>
      <c r="Z49" s="5">
        <f t="shared" si="23"/>
        <v>0</v>
      </c>
    </row>
    <row r="50" spans="1:26" s="24" customFormat="1" hidden="1" outlineLevel="2" x14ac:dyDescent="0.25">
      <c r="A50" s="29"/>
      <c r="B50" s="11" t="str">
        <f>CONCATENATE("          ", "6307", " - ", "POSTAGE")</f>
        <v xml:space="preserve">          6307 - POSTAGE</v>
      </c>
      <c r="C50" s="11"/>
      <c r="D50" s="7">
        <v>37.65</v>
      </c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37.65</v>
      </c>
      <c r="M50" s="2"/>
      <c r="N50" s="6">
        <f t="shared" si="19"/>
        <v>0</v>
      </c>
      <c r="O50" s="11"/>
      <c r="P50" s="7">
        <v>37.65</v>
      </c>
      <c r="Q50" s="2"/>
      <c r="R50" s="6">
        <f t="shared" si="20"/>
        <v>0</v>
      </c>
      <c r="S50" s="2"/>
      <c r="T50" s="7"/>
      <c r="U50" s="2"/>
      <c r="V50" s="6">
        <f t="shared" si="21"/>
        <v>0</v>
      </c>
      <c r="W50" s="2"/>
      <c r="X50" s="7">
        <f t="shared" si="22"/>
        <v>37.65</v>
      </c>
      <c r="Y50" s="2"/>
      <c r="Z50" s="6">
        <f t="shared" si="23"/>
        <v>0</v>
      </c>
    </row>
    <row r="51" spans="1:26" s="27" customFormat="1" outlineLevel="1" collapsed="1" x14ac:dyDescent="0.25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65.47</v>
      </c>
      <c r="E51" s="1"/>
      <c r="F51" s="5">
        <f t="shared" si="16"/>
        <v>0</v>
      </c>
      <c r="G51" s="1"/>
      <c r="H51" s="1">
        <f>SUM(OSRRefH22_7x_0)</f>
        <v>65</v>
      </c>
      <c r="I51" s="1"/>
      <c r="J51" s="5">
        <f t="shared" si="17"/>
        <v>0</v>
      </c>
      <c r="K51" s="1"/>
      <c r="L51" s="1">
        <f t="shared" si="18"/>
        <v>0.46999999999999886</v>
      </c>
      <c r="M51" s="1"/>
      <c r="N51" s="5">
        <f t="shared" si="19"/>
        <v>7.2307692307692134E-3</v>
      </c>
      <c r="O51" s="14"/>
      <c r="P51" s="1">
        <f>SUM(OSRRefP22_7x_0)</f>
        <v>65.47</v>
      </c>
      <c r="Q51" s="1"/>
      <c r="R51" s="5">
        <f t="shared" si="20"/>
        <v>0</v>
      </c>
      <c r="S51" s="1"/>
      <c r="T51" s="1">
        <f>SUM(OSRRefT22_7x_0)</f>
        <v>65</v>
      </c>
      <c r="U51" s="1"/>
      <c r="V51" s="5">
        <f t="shared" si="21"/>
        <v>0</v>
      </c>
      <c r="W51" s="1"/>
      <c r="X51" s="1">
        <f t="shared" si="22"/>
        <v>0.46999999999999886</v>
      </c>
      <c r="Y51" s="1"/>
      <c r="Z51" s="5">
        <f t="shared" si="23"/>
        <v>7.2307692307692134E-3</v>
      </c>
    </row>
    <row r="52" spans="1:26" s="24" customFormat="1" hidden="1" outlineLevel="2" x14ac:dyDescent="0.25">
      <c r="A52" s="29"/>
      <c r="B52" s="11" t="str">
        <f>CONCATENATE("          ", "6314", " - ", "LIABILITY INSURANCE")</f>
        <v xml:space="preserve">          6314 - LIABILITY INSURANCE</v>
      </c>
      <c r="C52" s="11"/>
      <c r="D52" s="7">
        <v>65.47</v>
      </c>
      <c r="E52" s="2"/>
      <c r="F52" s="6">
        <f t="shared" si="16"/>
        <v>0</v>
      </c>
      <c r="G52" s="2"/>
      <c r="H52" s="7">
        <v>65</v>
      </c>
      <c r="I52" s="2"/>
      <c r="J52" s="6">
        <f t="shared" si="17"/>
        <v>0</v>
      </c>
      <c r="K52" s="2"/>
      <c r="L52" s="7">
        <f t="shared" si="18"/>
        <v>0.46999999999999886</v>
      </c>
      <c r="M52" s="2"/>
      <c r="N52" s="6">
        <f t="shared" si="19"/>
        <v>7.2307692307692134E-3</v>
      </c>
      <c r="O52" s="11"/>
      <c r="P52" s="7">
        <v>65.47</v>
      </c>
      <c r="Q52" s="2"/>
      <c r="R52" s="6">
        <f t="shared" si="20"/>
        <v>0</v>
      </c>
      <c r="S52" s="2"/>
      <c r="T52" s="7">
        <v>65</v>
      </c>
      <c r="U52" s="2"/>
      <c r="V52" s="6">
        <f t="shared" si="21"/>
        <v>0</v>
      </c>
      <c r="W52" s="2"/>
      <c r="X52" s="7">
        <f t="shared" si="22"/>
        <v>0.46999999999999886</v>
      </c>
      <c r="Y52" s="2"/>
      <c r="Z52" s="6">
        <f t="shared" si="23"/>
        <v>7.2307692307692134E-3</v>
      </c>
    </row>
    <row r="53" spans="1:26" s="27" customFormat="1" outlineLevel="1" collapsed="1" x14ac:dyDescent="0.25">
      <c r="A53" s="28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653.74</v>
      </c>
      <c r="E53" s="1"/>
      <c r="F53" s="5">
        <f t="shared" si="16"/>
        <v>0</v>
      </c>
      <c r="G53" s="1"/>
      <c r="H53" s="1">
        <f>SUM(OSRRefH22_8x_0)</f>
        <v>20833</v>
      </c>
      <c r="I53" s="1"/>
      <c r="J53" s="5">
        <f t="shared" si="17"/>
        <v>0</v>
      </c>
      <c r="K53" s="1"/>
      <c r="L53" s="1">
        <f t="shared" si="18"/>
        <v>-20179.259999999998</v>
      </c>
      <c r="M53" s="1"/>
      <c r="N53" s="5">
        <f t="shared" si="19"/>
        <v>-0.9686199779196466</v>
      </c>
      <c r="O53" s="14"/>
      <c r="P53" s="1">
        <f>SUM(OSRRefP22_8x_0)</f>
        <v>653.74</v>
      </c>
      <c r="Q53" s="1"/>
      <c r="R53" s="5">
        <f t="shared" si="20"/>
        <v>0</v>
      </c>
      <c r="S53" s="1"/>
      <c r="T53" s="1">
        <f>SUM(OSRRefT22_8x_0)</f>
        <v>20833</v>
      </c>
      <c r="U53" s="1"/>
      <c r="V53" s="5">
        <f t="shared" si="21"/>
        <v>0</v>
      </c>
      <c r="W53" s="1"/>
      <c r="X53" s="1">
        <f t="shared" si="22"/>
        <v>-20179.259999999998</v>
      </c>
      <c r="Y53" s="1"/>
      <c r="Z53" s="5">
        <f t="shared" si="23"/>
        <v>-0.9686199779196466</v>
      </c>
    </row>
    <row r="54" spans="1:26" s="24" customFormat="1" hidden="1" outlineLevel="2" x14ac:dyDescent="0.25">
      <c r="A54" s="29"/>
      <c r="B54" s="11" t="str">
        <f>CONCATENATE("          ", "6334", " - ", "LEGAL COUNCIL EXPENSE")</f>
        <v xml:space="preserve">          6334 - LEGAL COUNCIL EXPENSE</v>
      </c>
      <c r="C54" s="11"/>
      <c r="D54" s="7"/>
      <c r="E54" s="2"/>
      <c r="F54" s="6">
        <f t="shared" si="16"/>
        <v>0</v>
      </c>
      <c r="G54" s="2"/>
      <c r="H54" s="7">
        <v>833</v>
      </c>
      <c r="I54" s="2"/>
      <c r="J54" s="6">
        <f t="shared" si="17"/>
        <v>0</v>
      </c>
      <c r="K54" s="2"/>
      <c r="L54" s="7">
        <f t="shared" si="18"/>
        <v>-833</v>
      </c>
      <c r="M54" s="2"/>
      <c r="N54" s="6">
        <f t="shared" si="19"/>
        <v>-1</v>
      </c>
      <c r="O54" s="11"/>
      <c r="P54" s="7"/>
      <c r="Q54" s="2"/>
      <c r="R54" s="6">
        <f t="shared" si="20"/>
        <v>0</v>
      </c>
      <c r="S54" s="2"/>
      <c r="T54" s="7">
        <v>833</v>
      </c>
      <c r="U54" s="2"/>
      <c r="V54" s="6">
        <f t="shared" si="21"/>
        <v>0</v>
      </c>
      <c r="W54" s="2"/>
      <c r="X54" s="7">
        <f t="shared" si="22"/>
        <v>-833</v>
      </c>
      <c r="Y54" s="2"/>
      <c r="Z54" s="6">
        <f t="shared" si="23"/>
        <v>-1</v>
      </c>
    </row>
    <row r="55" spans="1:26" s="24" customFormat="1" hidden="1" outlineLevel="2" x14ac:dyDescent="0.25">
      <c r="A55" s="29"/>
      <c r="B55" s="11" t="str">
        <f>CONCATENATE("          ", "6336", " - ", "PROFESSIONAL SERVICES")</f>
        <v xml:space="preserve">          6336 - PROFESSIONAL SERVICES</v>
      </c>
      <c r="C55" s="11"/>
      <c r="D55" s="7">
        <v>653.74</v>
      </c>
      <c r="E55" s="2"/>
      <c r="F55" s="6">
        <f t="shared" si="16"/>
        <v>0</v>
      </c>
      <c r="G55" s="2"/>
      <c r="H55" s="7">
        <v>20000</v>
      </c>
      <c r="I55" s="2"/>
      <c r="J55" s="6">
        <f t="shared" si="17"/>
        <v>0</v>
      </c>
      <c r="K55" s="2"/>
      <c r="L55" s="7">
        <f t="shared" si="18"/>
        <v>-19346.259999999998</v>
      </c>
      <c r="M55" s="2"/>
      <c r="N55" s="6">
        <f t="shared" si="19"/>
        <v>-0.96731299999999987</v>
      </c>
      <c r="O55" s="11"/>
      <c r="P55" s="7">
        <v>653.74</v>
      </c>
      <c r="Q55" s="2"/>
      <c r="R55" s="6">
        <f t="shared" si="20"/>
        <v>0</v>
      </c>
      <c r="S55" s="2"/>
      <c r="T55" s="7">
        <v>20000</v>
      </c>
      <c r="U55" s="2"/>
      <c r="V55" s="6">
        <f t="shared" si="21"/>
        <v>0</v>
      </c>
      <c r="W55" s="2"/>
      <c r="X55" s="7">
        <f t="shared" si="22"/>
        <v>-19346.259999999998</v>
      </c>
      <c r="Y55" s="2"/>
      <c r="Z55" s="6">
        <f t="shared" si="23"/>
        <v>-0.96731299999999987</v>
      </c>
    </row>
    <row r="56" spans="1:26" s="27" customFormat="1" outlineLevel="1" collapsed="1" x14ac:dyDescent="0.25">
      <c r="A56" s="28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SUM(OSRRefD22_9x_0)</f>
        <v>10694.3</v>
      </c>
      <c r="E56" s="1"/>
      <c r="F56" s="5">
        <f t="shared" ref="F56:F58" si="24">IF(D$12=0,0,D56/D$12)</f>
        <v>0</v>
      </c>
      <c r="G56" s="1"/>
      <c r="H56" s="1">
        <f>SUM(OSRRefH22_9x_0)</f>
        <v>0</v>
      </c>
      <c r="I56" s="1"/>
      <c r="J56" s="5">
        <f t="shared" ref="J56:J58" si="25">IF(H$12=0,0,H56/H$12)</f>
        <v>0</v>
      </c>
      <c r="K56" s="1"/>
      <c r="L56" s="1">
        <f t="shared" ref="L56:L58" si="26">+D56-H56</f>
        <v>10694.3</v>
      </c>
      <c r="M56" s="1"/>
      <c r="N56" s="5">
        <f t="shared" ref="N56:N58" si="27">IF(H56=0,0,L56/H56)</f>
        <v>0</v>
      </c>
      <c r="O56" s="14"/>
      <c r="P56" s="1">
        <f>SUM(OSRRefP22_9x_0)</f>
        <v>10694.3</v>
      </c>
      <c r="Q56" s="1"/>
      <c r="R56" s="5">
        <f t="shared" ref="R56:R58" si="28">IF(P$12=0,0,P56/P$12)</f>
        <v>0</v>
      </c>
      <c r="S56" s="1"/>
      <c r="T56" s="1">
        <f>SUM(OSRRefT22_9x_0)</f>
        <v>0</v>
      </c>
      <c r="U56" s="1"/>
      <c r="V56" s="5">
        <f t="shared" ref="V56:V58" si="29">IF(T$12=0,0,T56/T$12)</f>
        <v>0</v>
      </c>
      <c r="W56" s="1"/>
      <c r="X56" s="1">
        <f t="shared" ref="X56:X58" si="30">+P56-T56</f>
        <v>10694.3</v>
      </c>
      <c r="Y56" s="1"/>
      <c r="Z56" s="5">
        <f t="shared" ref="Z56:Z58" si="31">IF(T56=0,0,X56/T56)</f>
        <v>0</v>
      </c>
    </row>
    <row r="57" spans="1:26" s="24" customFormat="1" hidden="1" outlineLevel="2" x14ac:dyDescent="0.25">
      <c r="A57" s="29"/>
      <c r="B57" s="11" t="str">
        <f>CONCATENATE("          ", "6371", " - ", "COMPUTER SOFTWARE MAINTENANCE")</f>
        <v xml:space="preserve">          6371 - COMPUTER SOFTWARE MAINTENANCE</v>
      </c>
      <c r="C57" s="11"/>
      <c r="D57" s="7">
        <v>10664.96</v>
      </c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10664.96</v>
      </c>
      <c r="M57" s="2"/>
      <c r="N57" s="6">
        <f t="shared" si="27"/>
        <v>0</v>
      </c>
      <c r="O57" s="11"/>
      <c r="P57" s="7">
        <v>10664.96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10664.96</v>
      </c>
      <c r="Y57" s="2"/>
      <c r="Z57" s="6">
        <f t="shared" si="31"/>
        <v>0</v>
      </c>
    </row>
    <row r="58" spans="1:26" s="24" customFormat="1" hidden="1" outlineLevel="2" x14ac:dyDescent="0.25">
      <c r="A58" s="29"/>
      <c r="B58" s="11" t="str">
        <f>CONCATENATE("          ", "6373", " - ", "MAINTENANCE CONTRACTS")</f>
        <v xml:space="preserve">          6373 - MAINTENANCE CONTRACTS</v>
      </c>
      <c r="C58" s="11"/>
      <c r="D58" s="7">
        <v>29.34</v>
      </c>
      <c r="E58" s="2"/>
      <c r="F58" s="6">
        <f t="shared" si="24"/>
        <v>0</v>
      </c>
      <c r="G58" s="2"/>
      <c r="H58" s="7"/>
      <c r="I58" s="2"/>
      <c r="J58" s="6">
        <f t="shared" si="25"/>
        <v>0</v>
      </c>
      <c r="K58" s="2"/>
      <c r="L58" s="7">
        <f t="shared" si="26"/>
        <v>29.34</v>
      </c>
      <c r="M58" s="2"/>
      <c r="N58" s="6">
        <f t="shared" si="27"/>
        <v>0</v>
      </c>
      <c r="O58" s="11"/>
      <c r="P58" s="7">
        <v>29.34</v>
      </c>
      <c r="Q58" s="2"/>
      <c r="R58" s="6">
        <f t="shared" si="28"/>
        <v>0</v>
      </c>
      <c r="S58" s="2"/>
      <c r="T58" s="7"/>
      <c r="U58" s="2"/>
      <c r="V58" s="6">
        <f t="shared" si="29"/>
        <v>0</v>
      </c>
      <c r="W58" s="2"/>
      <c r="X58" s="7">
        <f t="shared" si="30"/>
        <v>29.34</v>
      </c>
      <c r="Y58" s="2"/>
      <c r="Z58" s="6">
        <f t="shared" si="31"/>
        <v>0</v>
      </c>
    </row>
    <row r="59" spans="1:26" s="27" customFormat="1" outlineLevel="1" collapsed="1" x14ac:dyDescent="0.25">
      <c r="A59" s="28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SUM(OSRRefD22_10x_0)</f>
        <v>0</v>
      </c>
      <c r="E59" s="1"/>
      <c r="F59" s="5">
        <f t="shared" ref="F59:F64" si="32">IF(D$12=0,0,D59/D$12)</f>
        <v>0</v>
      </c>
      <c r="G59" s="1"/>
      <c r="H59" s="1">
        <f>SUM(OSRRefH22_10x_0)</f>
        <v>627</v>
      </c>
      <c r="I59" s="1"/>
      <c r="J59" s="5">
        <f t="shared" ref="J59:J64" si="33">IF(H$12=0,0,H59/H$12)</f>
        <v>0</v>
      </c>
      <c r="K59" s="1"/>
      <c r="L59" s="1">
        <f t="shared" ref="L59:L64" si="34">+D59-H59</f>
        <v>-627</v>
      </c>
      <c r="M59" s="1"/>
      <c r="N59" s="5">
        <f t="shared" ref="N59:N64" si="35">IF(H59=0,0,L59/H59)</f>
        <v>-1</v>
      </c>
      <c r="O59" s="14"/>
      <c r="P59" s="1">
        <f>SUM(OSRRefP22_10x_0)</f>
        <v>0</v>
      </c>
      <c r="Q59" s="1"/>
      <c r="R59" s="5">
        <f t="shared" ref="R59:R64" si="36">IF(P$12=0,0,P59/P$12)</f>
        <v>0</v>
      </c>
      <c r="S59" s="1"/>
      <c r="T59" s="1">
        <f>SUM(OSRRefT22_10x_0)</f>
        <v>627</v>
      </c>
      <c r="U59" s="1"/>
      <c r="V59" s="5">
        <f t="shared" ref="V59:V64" si="37">IF(T$12=0,0,T59/T$12)</f>
        <v>0</v>
      </c>
      <c r="W59" s="1"/>
      <c r="X59" s="1">
        <f t="shared" ref="X59:X64" si="38">+P59-T59</f>
        <v>-627</v>
      </c>
      <c r="Y59" s="1"/>
      <c r="Z59" s="5">
        <f t="shared" ref="Z59:Z64" si="39">IF(T59=0,0,X59/T59)</f>
        <v>-1</v>
      </c>
    </row>
    <row r="60" spans="1:26" s="24" customFormat="1" hidden="1" outlineLevel="2" x14ac:dyDescent="0.25">
      <c r="A60" s="29"/>
      <c r="B60" s="11" t="str">
        <f>CONCATENATE("          ", "6258", " - ", "MEMBERSHIP DUES")</f>
        <v xml:space="preserve">          6258 - MEMBERSHIP DUES</v>
      </c>
      <c r="C60" s="11"/>
      <c r="D60" s="7"/>
      <c r="E60" s="2"/>
      <c r="F60" s="6">
        <f t="shared" si="32"/>
        <v>0</v>
      </c>
      <c r="G60" s="2"/>
      <c r="H60" s="7">
        <v>627</v>
      </c>
      <c r="I60" s="2"/>
      <c r="J60" s="6">
        <f t="shared" si="33"/>
        <v>0</v>
      </c>
      <c r="K60" s="2"/>
      <c r="L60" s="7">
        <f t="shared" si="34"/>
        <v>-627</v>
      </c>
      <c r="M60" s="2"/>
      <c r="N60" s="6">
        <f t="shared" si="35"/>
        <v>-1</v>
      </c>
      <c r="O60" s="11"/>
      <c r="P60" s="7"/>
      <c r="Q60" s="2"/>
      <c r="R60" s="6">
        <f t="shared" si="36"/>
        <v>0</v>
      </c>
      <c r="S60" s="2"/>
      <c r="T60" s="7">
        <v>627</v>
      </c>
      <c r="U60" s="2"/>
      <c r="V60" s="6">
        <f t="shared" si="37"/>
        <v>0</v>
      </c>
      <c r="W60" s="2"/>
      <c r="X60" s="7">
        <f t="shared" si="38"/>
        <v>-627</v>
      </c>
      <c r="Y60" s="2"/>
      <c r="Z60" s="6">
        <f t="shared" si="39"/>
        <v>-1</v>
      </c>
    </row>
    <row r="61" spans="1:26" s="27" customFormat="1" outlineLevel="1" collapsed="1" x14ac:dyDescent="0.25">
      <c r="A61" s="28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SUM(OSRRefD22_11x_0)</f>
        <v>2451.34</v>
      </c>
      <c r="E61" s="1"/>
      <c r="F61" s="5">
        <f t="shared" si="32"/>
        <v>0</v>
      </c>
      <c r="G61" s="1"/>
      <c r="H61" s="1">
        <f>SUM(OSRRefH22_11x_0)</f>
        <v>2617</v>
      </c>
      <c r="I61" s="1"/>
      <c r="J61" s="5">
        <f t="shared" si="33"/>
        <v>0</v>
      </c>
      <c r="K61" s="1"/>
      <c r="L61" s="1">
        <f t="shared" si="34"/>
        <v>-165.65999999999985</v>
      </c>
      <c r="M61" s="1"/>
      <c r="N61" s="5">
        <f t="shared" si="35"/>
        <v>-6.3301490256018292E-2</v>
      </c>
      <c r="O61" s="14"/>
      <c r="P61" s="1">
        <f>SUM(OSRRefP22_11x_0)</f>
        <v>2451.34</v>
      </c>
      <c r="Q61" s="1"/>
      <c r="R61" s="5">
        <f t="shared" si="36"/>
        <v>0</v>
      </c>
      <c r="S61" s="1"/>
      <c r="T61" s="1">
        <f>SUM(OSRRefT22_11x_0)</f>
        <v>2617</v>
      </c>
      <c r="U61" s="1"/>
      <c r="V61" s="5">
        <f t="shared" si="37"/>
        <v>0</v>
      </c>
      <c r="W61" s="1"/>
      <c r="X61" s="1">
        <f t="shared" si="38"/>
        <v>-165.65999999999985</v>
      </c>
      <c r="Y61" s="1"/>
      <c r="Z61" s="5">
        <f t="shared" si="39"/>
        <v>-6.3301490256018292E-2</v>
      </c>
    </row>
    <row r="62" spans="1:26" s="24" customFormat="1" hidden="1" outlineLevel="2" x14ac:dyDescent="0.25">
      <c r="A62" s="29"/>
      <c r="B62" s="11" t="str">
        <f>CONCATENATE("          ", "6241", " - ", "OFFICE EXPENSE")</f>
        <v xml:space="preserve">          6241 - OFFICE EXPENSE</v>
      </c>
      <c r="C62" s="11"/>
      <c r="D62" s="7">
        <v>1746.59</v>
      </c>
      <c r="E62" s="2"/>
      <c r="F62" s="6">
        <f t="shared" si="32"/>
        <v>0</v>
      </c>
      <c r="G62" s="2"/>
      <c r="H62" s="7">
        <v>2200</v>
      </c>
      <c r="I62" s="2"/>
      <c r="J62" s="6">
        <f t="shared" si="33"/>
        <v>0</v>
      </c>
      <c r="K62" s="2"/>
      <c r="L62" s="7">
        <f t="shared" si="34"/>
        <v>-453.41000000000008</v>
      </c>
      <c r="M62" s="2"/>
      <c r="N62" s="6">
        <f t="shared" si="35"/>
        <v>-0.20609545454545458</v>
      </c>
      <c r="O62" s="11"/>
      <c r="P62" s="7">
        <v>1746.59</v>
      </c>
      <c r="Q62" s="2"/>
      <c r="R62" s="6">
        <f t="shared" si="36"/>
        <v>0</v>
      </c>
      <c r="S62" s="2"/>
      <c r="T62" s="7">
        <v>2200</v>
      </c>
      <c r="U62" s="2"/>
      <c r="V62" s="6">
        <f t="shared" si="37"/>
        <v>0</v>
      </c>
      <c r="W62" s="2"/>
      <c r="X62" s="7">
        <f t="shared" si="38"/>
        <v>-453.41000000000008</v>
      </c>
      <c r="Y62" s="2"/>
      <c r="Z62" s="6">
        <f t="shared" si="39"/>
        <v>-0.20609545454545458</v>
      </c>
    </row>
    <row r="63" spans="1:26" s="24" customFormat="1" hidden="1" outlineLevel="2" x14ac:dyDescent="0.25">
      <c r="A63" s="29"/>
      <c r="B63" s="11" t="str">
        <f>CONCATENATE("          ", "6244", " - ", "SAFETY SUPPLY EXPENSE")</f>
        <v xml:space="preserve">          6244 - SAFETY SUPPLY EXPENSE</v>
      </c>
      <c r="C63" s="11"/>
      <c r="D63" s="7">
        <v>127.92</v>
      </c>
      <c r="E63" s="2"/>
      <c r="F63" s="6">
        <f t="shared" si="32"/>
        <v>0</v>
      </c>
      <c r="G63" s="2"/>
      <c r="H63" s="7">
        <v>417</v>
      </c>
      <c r="I63" s="2"/>
      <c r="J63" s="6">
        <f t="shared" si="33"/>
        <v>0</v>
      </c>
      <c r="K63" s="2"/>
      <c r="L63" s="7">
        <f t="shared" si="34"/>
        <v>-289.08</v>
      </c>
      <c r="M63" s="2"/>
      <c r="N63" s="6">
        <f t="shared" si="35"/>
        <v>-0.69323741007194239</v>
      </c>
      <c r="O63" s="11"/>
      <c r="P63" s="7">
        <v>127.92</v>
      </c>
      <c r="Q63" s="2"/>
      <c r="R63" s="6">
        <f t="shared" si="36"/>
        <v>0</v>
      </c>
      <c r="S63" s="2"/>
      <c r="T63" s="7">
        <v>417</v>
      </c>
      <c r="U63" s="2"/>
      <c r="V63" s="6">
        <f t="shared" si="37"/>
        <v>0</v>
      </c>
      <c r="W63" s="2"/>
      <c r="X63" s="7">
        <f t="shared" si="38"/>
        <v>-289.08</v>
      </c>
      <c r="Y63" s="2"/>
      <c r="Z63" s="6">
        <f t="shared" si="39"/>
        <v>-0.69323741007194239</v>
      </c>
    </row>
    <row r="64" spans="1:26" s="24" customFormat="1" hidden="1" outlineLevel="2" x14ac:dyDescent="0.25">
      <c r="A64" s="29"/>
      <c r="B64" s="11" t="str">
        <f>CONCATENATE("          ", "6245", " - ", "PRINTING")</f>
        <v xml:space="preserve">          6245 - PRINTING</v>
      </c>
      <c r="C64" s="11"/>
      <c r="D64" s="7">
        <v>576.83000000000004</v>
      </c>
      <c r="E64" s="2"/>
      <c r="F64" s="6">
        <f t="shared" si="32"/>
        <v>0</v>
      </c>
      <c r="G64" s="2"/>
      <c r="H64" s="7"/>
      <c r="I64" s="2"/>
      <c r="J64" s="6">
        <f t="shared" si="33"/>
        <v>0</v>
      </c>
      <c r="K64" s="2"/>
      <c r="L64" s="7">
        <f t="shared" si="34"/>
        <v>576.83000000000004</v>
      </c>
      <c r="M64" s="2"/>
      <c r="N64" s="6">
        <f t="shared" si="35"/>
        <v>0</v>
      </c>
      <c r="O64" s="11"/>
      <c r="P64" s="7">
        <v>576.83000000000004</v>
      </c>
      <c r="Q64" s="2"/>
      <c r="R64" s="6">
        <f t="shared" si="36"/>
        <v>0</v>
      </c>
      <c r="S64" s="2"/>
      <c r="T64" s="7"/>
      <c r="U64" s="2"/>
      <c r="V64" s="6">
        <f t="shared" si="37"/>
        <v>0</v>
      </c>
      <c r="W64" s="2"/>
      <c r="X64" s="7">
        <f t="shared" si="38"/>
        <v>576.83000000000004</v>
      </c>
      <c r="Y64" s="2"/>
      <c r="Z64" s="6">
        <f t="shared" si="39"/>
        <v>0</v>
      </c>
    </row>
    <row r="65" spans="1:26" s="27" customFormat="1" outlineLevel="1" collapsed="1" x14ac:dyDescent="0.25">
      <c r="A65" s="28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SUM(OSRRefD22_12x_0)</f>
        <v>339.85</v>
      </c>
      <c r="E65" s="1"/>
      <c r="F65" s="5">
        <f t="shared" ref="F65:F70" si="40">IF(D$12=0,0,D65/D$12)</f>
        <v>0</v>
      </c>
      <c r="G65" s="1"/>
      <c r="H65" s="1">
        <f>SUM(OSRRefH22_12x_0)</f>
        <v>290</v>
      </c>
      <c r="I65" s="1"/>
      <c r="J65" s="5">
        <f t="shared" ref="J65:J70" si="41">IF(H$12=0,0,H65/H$12)</f>
        <v>0</v>
      </c>
      <c r="K65" s="1"/>
      <c r="L65" s="1">
        <f t="shared" ref="L65:L70" si="42">+D65-H65</f>
        <v>49.850000000000023</v>
      </c>
      <c r="M65" s="1"/>
      <c r="N65" s="5">
        <f t="shared" ref="N65:N70" si="43">IF(H65=0,0,L65/H65)</f>
        <v>0.17189655172413801</v>
      </c>
      <c r="O65" s="14"/>
      <c r="P65" s="1">
        <f>SUM(OSRRefP22_12x_0)</f>
        <v>339.85</v>
      </c>
      <c r="Q65" s="1"/>
      <c r="R65" s="5">
        <f t="shared" ref="R65:R70" si="44">IF(P$12=0,0,P65/P$12)</f>
        <v>0</v>
      </c>
      <c r="S65" s="1"/>
      <c r="T65" s="1">
        <f>SUM(OSRRefT22_12x_0)</f>
        <v>290</v>
      </c>
      <c r="U65" s="1"/>
      <c r="V65" s="5">
        <f t="shared" ref="V65:V70" si="45">IF(T$12=0,0,T65/T$12)</f>
        <v>0</v>
      </c>
      <c r="W65" s="1"/>
      <c r="X65" s="1">
        <f t="shared" ref="X65:X70" si="46">+P65-T65</f>
        <v>49.850000000000023</v>
      </c>
      <c r="Y65" s="1"/>
      <c r="Z65" s="5">
        <f t="shared" ref="Z65:Z70" si="47">IF(T65=0,0,X65/T65)</f>
        <v>0.17189655172413801</v>
      </c>
    </row>
    <row r="66" spans="1:26" s="24" customFormat="1" hidden="1" outlineLevel="2" x14ac:dyDescent="0.25">
      <c r="A66" s="29"/>
      <c r="B66" s="11" t="str">
        <f>CONCATENATE("          ", "6309", " - ", "TELEPHONE")</f>
        <v xml:space="preserve">          6309 - TELEPHONE</v>
      </c>
      <c r="C66" s="11"/>
      <c r="D66" s="7">
        <v>339.85</v>
      </c>
      <c r="E66" s="2"/>
      <c r="F66" s="6">
        <f t="shared" si="40"/>
        <v>0</v>
      </c>
      <c r="G66" s="2"/>
      <c r="H66" s="7">
        <v>290</v>
      </c>
      <c r="I66" s="2"/>
      <c r="J66" s="6">
        <f t="shared" si="41"/>
        <v>0</v>
      </c>
      <c r="K66" s="2"/>
      <c r="L66" s="7">
        <f t="shared" si="42"/>
        <v>49.850000000000023</v>
      </c>
      <c r="M66" s="2"/>
      <c r="N66" s="6">
        <f t="shared" si="43"/>
        <v>0.17189655172413801</v>
      </c>
      <c r="O66" s="11"/>
      <c r="P66" s="7">
        <v>339.85</v>
      </c>
      <c r="Q66" s="2"/>
      <c r="R66" s="6">
        <f t="shared" si="44"/>
        <v>0</v>
      </c>
      <c r="S66" s="2"/>
      <c r="T66" s="7">
        <v>290</v>
      </c>
      <c r="U66" s="2"/>
      <c r="V66" s="6">
        <f t="shared" si="45"/>
        <v>0</v>
      </c>
      <c r="W66" s="2"/>
      <c r="X66" s="7">
        <f t="shared" si="46"/>
        <v>49.850000000000023</v>
      </c>
      <c r="Y66" s="2"/>
      <c r="Z66" s="6">
        <f t="shared" si="47"/>
        <v>0.17189655172413801</v>
      </c>
    </row>
    <row r="67" spans="1:26" s="27" customFormat="1" outlineLevel="1" collapsed="1" x14ac:dyDescent="0.25">
      <c r="A67" s="28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SUM(OSRRefD22_13x_0)</f>
        <v>697.62</v>
      </c>
      <c r="E67" s="1"/>
      <c r="F67" s="5">
        <f t="shared" si="40"/>
        <v>0</v>
      </c>
      <c r="G67" s="1"/>
      <c r="H67" s="1">
        <f>SUM(OSRRefH22_13x_0)</f>
        <v>4000</v>
      </c>
      <c r="I67" s="1"/>
      <c r="J67" s="5">
        <f t="shared" si="41"/>
        <v>0</v>
      </c>
      <c r="K67" s="1"/>
      <c r="L67" s="1">
        <f t="shared" si="42"/>
        <v>-3302.38</v>
      </c>
      <c r="M67" s="1"/>
      <c r="N67" s="5">
        <f t="shared" si="43"/>
        <v>-0.82559500000000008</v>
      </c>
      <c r="O67" s="14"/>
      <c r="P67" s="1">
        <f>SUM(OSRRefP22_13x_0)</f>
        <v>697.62</v>
      </c>
      <c r="Q67" s="1"/>
      <c r="R67" s="5">
        <f t="shared" si="44"/>
        <v>0</v>
      </c>
      <c r="S67" s="1"/>
      <c r="T67" s="1">
        <f>SUM(OSRRefT22_13x_0)</f>
        <v>4000</v>
      </c>
      <c r="U67" s="1"/>
      <c r="V67" s="5">
        <f t="shared" si="45"/>
        <v>0</v>
      </c>
      <c r="W67" s="1"/>
      <c r="X67" s="1">
        <f t="shared" si="46"/>
        <v>-3302.38</v>
      </c>
      <c r="Y67" s="1"/>
      <c r="Z67" s="5">
        <f t="shared" si="47"/>
        <v>-0.82559500000000008</v>
      </c>
    </row>
    <row r="68" spans="1:26" s="24" customFormat="1" hidden="1" outlineLevel="2" x14ac:dyDescent="0.25">
      <c r="A68" s="29"/>
      <c r="B68" s="11" t="str">
        <f>CONCATENATE("          ", "6376", " - ", "TRAINING")</f>
        <v xml:space="preserve">          6376 - TRAINING</v>
      </c>
      <c r="C68" s="11"/>
      <c r="D68" s="7">
        <v>697.62</v>
      </c>
      <c r="E68" s="2"/>
      <c r="F68" s="6">
        <f t="shared" si="40"/>
        <v>0</v>
      </c>
      <c r="G68" s="2"/>
      <c r="H68" s="7">
        <v>4000</v>
      </c>
      <c r="I68" s="2"/>
      <c r="J68" s="6">
        <f t="shared" si="41"/>
        <v>0</v>
      </c>
      <c r="K68" s="2"/>
      <c r="L68" s="7">
        <f t="shared" si="42"/>
        <v>-3302.38</v>
      </c>
      <c r="M68" s="2"/>
      <c r="N68" s="6">
        <f t="shared" si="43"/>
        <v>-0.82559500000000008</v>
      </c>
      <c r="O68" s="11"/>
      <c r="P68" s="7">
        <v>697.62</v>
      </c>
      <c r="Q68" s="2"/>
      <c r="R68" s="6">
        <f t="shared" si="44"/>
        <v>0</v>
      </c>
      <c r="S68" s="2"/>
      <c r="T68" s="7">
        <v>4000</v>
      </c>
      <c r="U68" s="2"/>
      <c r="V68" s="6">
        <f t="shared" si="45"/>
        <v>0</v>
      </c>
      <c r="W68" s="2"/>
      <c r="X68" s="7">
        <f t="shared" si="46"/>
        <v>-3302.38</v>
      </c>
      <c r="Y68" s="2"/>
      <c r="Z68" s="6">
        <f t="shared" si="47"/>
        <v>-0.82559500000000008</v>
      </c>
    </row>
    <row r="69" spans="1:26" s="27" customFormat="1" outlineLevel="1" collapsed="1" x14ac:dyDescent="0.25">
      <c r="A69" s="28"/>
      <c r="B69" s="14" t="str">
        <f>CONCATENATE("     ","Travel                                            ")</f>
        <v xml:space="preserve">     Travel                                            </v>
      </c>
      <c r="C69" s="14"/>
      <c r="D69" s="1">
        <f>SUM(OSRRefD22_14x_0)</f>
        <v>248.16</v>
      </c>
      <c r="E69" s="1"/>
      <c r="F69" s="5">
        <f t="shared" si="40"/>
        <v>0</v>
      </c>
      <c r="G69" s="1"/>
      <c r="H69" s="1">
        <f>SUM(OSRRefH22_14x_0)</f>
        <v>1000</v>
      </c>
      <c r="I69" s="1"/>
      <c r="J69" s="5">
        <f t="shared" si="41"/>
        <v>0</v>
      </c>
      <c r="K69" s="1"/>
      <c r="L69" s="1">
        <f t="shared" si="42"/>
        <v>-751.84</v>
      </c>
      <c r="M69" s="1"/>
      <c r="N69" s="5">
        <f t="shared" si="43"/>
        <v>-0.75184000000000006</v>
      </c>
      <c r="O69" s="14"/>
      <c r="P69" s="1">
        <f>SUM(OSRRefP22_14x_0)</f>
        <v>248.16</v>
      </c>
      <c r="Q69" s="1"/>
      <c r="R69" s="5">
        <f t="shared" si="44"/>
        <v>0</v>
      </c>
      <c r="S69" s="1"/>
      <c r="T69" s="1">
        <f>SUM(OSRRefT22_14x_0)</f>
        <v>1000</v>
      </c>
      <c r="U69" s="1"/>
      <c r="V69" s="5">
        <f t="shared" si="45"/>
        <v>0</v>
      </c>
      <c r="W69" s="1"/>
      <c r="X69" s="1">
        <f t="shared" si="46"/>
        <v>-751.84</v>
      </c>
      <c r="Y69" s="1"/>
      <c r="Z69" s="5">
        <f t="shared" si="47"/>
        <v>-0.75184000000000006</v>
      </c>
    </row>
    <row r="70" spans="1:26" s="24" customFormat="1" hidden="1" outlineLevel="2" x14ac:dyDescent="0.25">
      <c r="A70" s="29"/>
      <c r="B70" s="11" t="str">
        <f>CONCATENATE("          ", "6292", " - ", "TRAVEL/CONFERENCE")</f>
        <v xml:space="preserve">          6292 - TRAVEL/CONFERENCE</v>
      </c>
      <c r="C70" s="11"/>
      <c r="D70" s="7">
        <v>248.16</v>
      </c>
      <c r="E70" s="2"/>
      <c r="F70" s="6">
        <f t="shared" si="40"/>
        <v>0</v>
      </c>
      <c r="G70" s="2"/>
      <c r="H70" s="7">
        <v>1000</v>
      </c>
      <c r="I70" s="2"/>
      <c r="J70" s="6">
        <f t="shared" si="41"/>
        <v>0</v>
      </c>
      <c r="K70" s="2"/>
      <c r="L70" s="7">
        <f t="shared" si="42"/>
        <v>-751.84</v>
      </c>
      <c r="M70" s="2"/>
      <c r="N70" s="6">
        <f t="shared" si="43"/>
        <v>-0.75184000000000006</v>
      </c>
      <c r="O70" s="11"/>
      <c r="P70" s="7">
        <v>248.16</v>
      </c>
      <c r="Q70" s="2"/>
      <c r="R70" s="6">
        <f t="shared" si="44"/>
        <v>0</v>
      </c>
      <c r="S70" s="2"/>
      <c r="T70" s="7">
        <v>1000</v>
      </c>
      <c r="U70" s="2"/>
      <c r="V70" s="6">
        <f t="shared" si="45"/>
        <v>0</v>
      </c>
      <c r="W70" s="2"/>
      <c r="X70" s="7">
        <f t="shared" si="46"/>
        <v>-751.84</v>
      </c>
      <c r="Y70" s="2"/>
      <c r="Z70" s="6">
        <f t="shared" si="47"/>
        <v>-0.75184000000000006</v>
      </c>
    </row>
    <row r="71" spans="1:26" s="57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5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6" t="s">
        <v>3</v>
      </c>
      <c r="C74" s="26"/>
      <c r="D74" s="21">
        <f>+D16-D18+D72</f>
        <v>-65612.84</v>
      </c>
      <c r="E74" s="13"/>
      <c r="F74" s="19">
        <f>IF(D$12=0,0,D74/D$12)</f>
        <v>0</v>
      </c>
      <c r="G74" s="13"/>
      <c r="H74" s="21">
        <f>+H16-H18+H72</f>
        <v>-80947.587754592299</v>
      </c>
      <c r="I74" s="13"/>
      <c r="J74" s="19">
        <f>IF(H$12=0,0,H74/H$12)</f>
        <v>0</v>
      </c>
      <c r="K74" s="15"/>
      <c r="L74" s="21">
        <f>+D74-H74</f>
        <v>15334.747754592303</v>
      </c>
      <c r="M74" s="15"/>
      <c r="N74" s="19">
        <f>IF(H74=0,0,L74/H74)</f>
        <v>-0.18944045375487223</v>
      </c>
      <c r="O74" s="25"/>
      <c r="P74" s="21">
        <f>+P16-P18+P72</f>
        <v>-65612.84</v>
      </c>
      <c r="Q74" s="13"/>
      <c r="R74" s="19">
        <f>IF(P$12=0,0,P74/P$12)</f>
        <v>0</v>
      </c>
      <c r="S74" s="13"/>
      <c r="T74" s="21">
        <f>+T16-T18+T72</f>
        <v>-80947.587754592299</v>
      </c>
      <c r="U74" s="13"/>
      <c r="V74" s="19">
        <f>IF(T$12=0,0,T74/T$12)</f>
        <v>0</v>
      </c>
      <c r="W74" s="15"/>
      <c r="X74" s="21">
        <f>+P74-T74</f>
        <v>15334.747754592303</v>
      </c>
      <c r="Y74" s="15"/>
      <c r="Z74" s="19">
        <f>IF(T74=0,0,X74/T74)</f>
        <v>-0.18944045375487223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4</v>
      </c>
      <c r="C78" s="26"/>
      <c r="D78" s="32">
        <f>+D74-D76</f>
        <v>-65612.84</v>
      </c>
      <c r="E78" s="13"/>
      <c r="F78" s="31">
        <f>IF(D$12=0,0,D78/D$12)</f>
        <v>0</v>
      </c>
      <c r="G78" s="13"/>
      <c r="H78" s="32">
        <f>+H74-H76</f>
        <v>-80947.587754592299</v>
      </c>
      <c r="I78" s="13"/>
      <c r="J78" s="31">
        <f>IF(H$12=0,0,H78/H$12)</f>
        <v>0</v>
      </c>
      <c r="K78" s="15"/>
      <c r="L78" s="32">
        <f>D78-H78</f>
        <v>15334.747754592303</v>
      </c>
      <c r="M78" s="15"/>
      <c r="N78" s="31">
        <f>IF(H78=0,0,L78/H78)</f>
        <v>-0.18944045375487223</v>
      </c>
      <c r="O78" s="25"/>
      <c r="P78" s="32">
        <f>+P74-P76</f>
        <v>-65612.84</v>
      </c>
      <c r="Q78" s="13"/>
      <c r="R78" s="31">
        <f>IF(P$12=0,0,P78/P$12)</f>
        <v>0</v>
      </c>
      <c r="S78" s="13"/>
      <c r="T78" s="32">
        <f>+T74-T76</f>
        <v>-80947.587754592299</v>
      </c>
      <c r="U78" s="13"/>
      <c r="V78" s="31">
        <f>IF(T$12=0,0,T78/T$12)</f>
        <v>0</v>
      </c>
      <c r="W78" s="15"/>
      <c r="X78" s="32">
        <f>P78-T78</f>
        <v>15334.747754592303</v>
      </c>
      <c r="Y78" s="15"/>
      <c r="Z78" s="31">
        <f>IF(T78=0,0,X78/T78)</f>
        <v>-0.18944045375487223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5</v>
      </c>
      <c r="C81" s="26"/>
      <c r="D81" s="33">
        <f>SUM(D78:D80)</f>
        <v>-65612.84</v>
      </c>
      <c r="E81" s="13"/>
      <c r="F81" s="34">
        <f>IF(D$12=0,0,D81/D$12)</f>
        <v>0</v>
      </c>
      <c r="G81" s="13"/>
      <c r="H81" s="33">
        <f>SUM(H78:H80)</f>
        <v>-80947.587754592299</v>
      </c>
      <c r="I81" s="13"/>
      <c r="J81" s="34">
        <f>IF(H$12=0,0,H81/H$12)</f>
        <v>0</v>
      </c>
      <c r="K81" s="15"/>
      <c r="L81" s="33">
        <f>+D81-H81</f>
        <v>15334.747754592303</v>
      </c>
      <c r="M81" s="15"/>
      <c r="N81" s="34">
        <f>IF(H81=0,0,L81/H81)</f>
        <v>-0.18944045375487223</v>
      </c>
      <c r="O81" s="25"/>
      <c r="P81" s="33">
        <f>SUM(P78:P80)</f>
        <v>-65612.84</v>
      </c>
      <c r="Q81" s="13"/>
      <c r="R81" s="34">
        <f>IF(P$12=0,0,P81/P$12)</f>
        <v>0</v>
      </c>
      <c r="S81" s="13"/>
      <c r="T81" s="33">
        <f>SUM(T78:T80)</f>
        <v>-80947.587754592299</v>
      </c>
      <c r="U81" s="13"/>
      <c r="V81" s="34">
        <f>IF(T$12=0,0,T81/T$12)</f>
        <v>0</v>
      </c>
      <c r="W81" s="15"/>
      <c r="X81" s="33">
        <f>+P81-T81</f>
        <v>15334.747754592303</v>
      </c>
      <c r="Y81" s="15"/>
      <c r="Z81" s="34">
        <f>IF(T81=0,0,X81/T81)</f>
        <v>-0.18944045375487223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25">
      <c r="A83" s="9"/>
      <c r="B83" s="61">
        <v>43726.678446990743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56" t="s">
        <v>314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3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","204", " - ", "Information Technology")</f>
        <v>Department 204 - Information Technology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67675.849999999991</v>
      </c>
      <c r="E18" s="20"/>
      <c r="F18" s="30">
        <f t="shared" ref="F18:F29" si="0">IF(D$12=0,0,D18/D$12)</f>
        <v>0</v>
      </c>
      <c r="G18" s="20"/>
      <c r="H18" s="20">
        <f>SUM(OSRRefH22x_0)</f>
        <v>64686.963158153849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2988.8868418461425</v>
      </c>
      <c r="M18" s="4"/>
      <c r="N18" s="30">
        <f t="shared" ref="N18:N29" si="3">IF(H18=0,0,L18/H18)</f>
        <v>4.6205397439026179E-2</v>
      </c>
      <c r="O18" s="10"/>
      <c r="P18" s="20">
        <f>SUM(OSRRefP22x_0)</f>
        <v>67675.849999999991</v>
      </c>
      <c r="Q18" s="20"/>
      <c r="R18" s="30">
        <f t="shared" ref="R18:R29" si="4">IF(P$12=0,0,P18/P$12)</f>
        <v>0</v>
      </c>
      <c r="S18" s="20"/>
      <c r="T18" s="20">
        <f>SUM(OSRRefT22x_0)</f>
        <v>64686.963158153849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2988.8868418461425</v>
      </c>
      <c r="Y18" s="4"/>
      <c r="Z18" s="30">
        <f t="shared" ref="Z18:Z29" si="7">IF(T18=0,0,X18/T18)</f>
        <v>4.6205397439026179E-2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12650.86</v>
      </c>
      <c r="E19" s="1"/>
      <c r="F19" s="5">
        <f t="shared" si="0"/>
        <v>0</v>
      </c>
      <c r="G19" s="1"/>
      <c r="H19" s="1">
        <f>SUM(OSRRefH22_0x_0)</f>
        <v>16337.202235076944</v>
      </c>
      <c r="I19" s="1"/>
      <c r="J19" s="5">
        <f t="shared" si="1"/>
        <v>0</v>
      </c>
      <c r="K19" s="1"/>
      <c r="L19" s="1">
        <f t="shared" si="2"/>
        <v>-3686.3422350769433</v>
      </c>
      <c r="M19" s="1"/>
      <c r="N19" s="5">
        <f t="shared" si="3"/>
        <v>-0.22564097463163843</v>
      </c>
      <c r="O19" s="14"/>
      <c r="P19" s="1">
        <f>SUM(OSRRefP22_0x_0)</f>
        <v>12650.86</v>
      </c>
      <c r="Q19" s="1"/>
      <c r="R19" s="5">
        <f t="shared" si="4"/>
        <v>0</v>
      </c>
      <c r="S19" s="1"/>
      <c r="T19" s="1">
        <f>SUM(OSRRefT22_0x_0)</f>
        <v>16337.202235076944</v>
      </c>
      <c r="U19" s="1"/>
      <c r="V19" s="5">
        <f t="shared" si="5"/>
        <v>0</v>
      </c>
      <c r="W19" s="1"/>
      <c r="X19" s="1">
        <f t="shared" si="6"/>
        <v>-3686.3422350769433</v>
      </c>
      <c r="Y19" s="1"/>
      <c r="Z19" s="5">
        <f t="shared" si="7"/>
        <v>-0.22564097463163843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1739.07</v>
      </c>
      <c r="E20" s="2"/>
      <c r="F20" s="6">
        <f t="shared" si="0"/>
        <v>0</v>
      </c>
      <c r="G20" s="2"/>
      <c r="H20" s="7">
        <v>2788.2539889230798</v>
      </c>
      <c r="I20" s="2"/>
      <c r="J20" s="6">
        <f t="shared" si="1"/>
        <v>0</v>
      </c>
      <c r="K20" s="2"/>
      <c r="L20" s="7">
        <f t="shared" si="2"/>
        <v>-1049.1839889230798</v>
      </c>
      <c r="M20" s="2"/>
      <c r="N20" s="6">
        <f t="shared" si="3"/>
        <v>-0.37628709331760374</v>
      </c>
      <c r="O20" s="11"/>
      <c r="P20" s="7">
        <v>1739.07</v>
      </c>
      <c r="Q20" s="2"/>
      <c r="R20" s="6">
        <f t="shared" si="4"/>
        <v>0</v>
      </c>
      <c r="S20" s="2"/>
      <c r="T20" s="7">
        <v>2788.2539889230798</v>
      </c>
      <c r="U20" s="2"/>
      <c r="V20" s="6">
        <f t="shared" si="5"/>
        <v>0</v>
      </c>
      <c r="W20" s="2"/>
      <c r="X20" s="7">
        <f t="shared" si="6"/>
        <v>-1049.1839889230798</v>
      </c>
      <c r="Y20" s="2"/>
      <c r="Z20" s="6">
        <f t="shared" si="7"/>
        <v>-0.37628709331760374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83</v>
      </c>
      <c r="E21" s="2"/>
      <c r="F21" s="6">
        <f t="shared" si="0"/>
        <v>0</v>
      </c>
      <c r="G21" s="2"/>
      <c r="H21" s="7">
        <v>131.489821538462</v>
      </c>
      <c r="I21" s="2"/>
      <c r="J21" s="6">
        <f t="shared" si="1"/>
        <v>0</v>
      </c>
      <c r="K21" s="2"/>
      <c r="L21" s="7">
        <f t="shared" si="2"/>
        <v>-48.489821538461996</v>
      </c>
      <c r="M21" s="2"/>
      <c r="N21" s="6">
        <f t="shared" si="3"/>
        <v>-0.36877243402660087</v>
      </c>
      <c r="O21" s="11"/>
      <c r="P21" s="7">
        <v>83</v>
      </c>
      <c r="Q21" s="2"/>
      <c r="R21" s="6">
        <f t="shared" si="4"/>
        <v>0</v>
      </c>
      <c r="S21" s="2"/>
      <c r="T21" s="7">
        <v>131.489821538462</v>
      </c>
      <c r="U21" s="2"/>
      <c r="V21" s="6">
        <f t="shared" si="5"/>
        <v>0</v>
      </c>
      <c r="W21" s="2"/>
      <c r="X21" s="7">
        <f t="shared" si="6"/>
        <v>-48.489821538461996</v>
      </c>
      <c r="Y21" s="2"/>
      <c r="Z21" s="6">
        <f t="shared" si="7"/>
        <v>-0.36877243402660087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4633.38</v>
      </c>
      <c r="E22" s="2"/>
      <c r="F22" s="6">
        <f t="shared" si="0"/>
        <v>0</v>
      </c>
      <c r="G22" s="2"/>
      <c r="H22" s="7">
        <v>7803.9230769230808</v>
      </c>
      <c r="I22" s="2"/>
      <c r="J22" s="6">
        <f t="shared" si="1"/>
        <v>0</v>
      </c>
      <c r="K22" s="2"/>
      <c r="L22" s="7">
        <f t="shared" si="2"/>
        <v>-3170.5430769230807</v>
      </c>
      <c r="M22" s="2"/>
      <c r="N22" s="6">
        <f t="shared" si="3"/>
        <v>-0.40627554188721676</v>
      </c>
      <c r="O22" s="11"/>
      <c r="P22" s="7">
        <v>4633.38</v>
      </c>
      <c r="Q22" s="2"/>
      <c r="R22" s="6">
        <f t="shared" si="4"/>
        <v>0</v>
      </c>
      <c r="S22" s="2"/>
      <c r="T22" s="7">
        <v>7803.9230769230808</v>
      </c>
      <c r="U22" s="2"/>
      <c r="V22" s="6">
        <f t="shared" si="5"/>
        <v>0</v>
      </c>
      <c r="W22" s="2"/>
      <c r="X22" s="7">
        <f t="shared" si="6"/>
        <v>-3170.5430769230807</v>
      </c>
      <c r="Y22" s="2"/>
      <c r="Z22" s="6">
        <f t="shared" si="7"/>
        <v>-0.40627554188721676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63.47</v>
      </c>
      <c r="E23" s="2"/>
      <c r="F23" s="6">
        <f t="shared" si="0"/>
        <v>0</v>
      </c>
      <c r="G23" s="2"/>
      <c r="H23" s="7">
        <v>100.55104</v>
      </c>
      <c r="I23" s="2"/>
      <c r="J23" s="6">
        <f t="shared" si="1"/>
        <v>0</v>
      </c>
      <c r="K23" s="2"/>
      <c r="L23" s="7">
        <f t="shared" si="2"/>
        <v>-37.081040000000002</v>
      </c>
      <c r="M23" s="2"/>
      <c r="N23" s="6">
        <f t="shared" si="3"/>
        <v>-0.36877828414305813</v>
      </c>
      <c r="O23" s="11"/>
      <c r="P23" s="7">
        <v>63.47</v>
      </c>
      <c r="Q23" s="2"/>
      <c r="R23" s="6">
        <f t="shared" si="4"/>
        <v>0</v>
      </c>
      <c r="S23" s="2"/>
      <c r="T23" s="7">
        <v>100.55104</v>
      </c>
      <c r="U23" s="2"/>
      <c r="V23" s="6">
        <f t="shared" si="5"/>
        <v>0</v>
      </c>
      <c r="W23" s="2"/>
      <c r="X23" s="7">
        <f t="shared" si="6"/>
        <v>-37.081040000000002</v>
      </c>
      <c r="Y23" s="2"/>
      <c r="Z23" s="6">
        <f t="shared" si="7"/>
        <v>-0.36877828414305813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1339.05</v>
      </c>
      <c r="E24" s="2"/>
      <c r="F24" s="6">
        <f t="shared" si="0"/>
        <v>0</v>
      </c>
      <c r="G24" s="2"/>
      <c r="H24" s="7">
        <v>2010.0846153846198</v>
      </c>
      <c r="I24" s="2"/>
      <c r="J24" s="6">
        <f t="shared" si="1"/>
        <v>0</v>
      </c>
      <c r="K24" s="2"/>
      <c r="L24" s="7">
        <f t="shared" si="2"/>
        <v>-671.03461538461988</v>
      </c>
      <c r="M24" s="2"/>
      <c r="N24" s="6">
        <f t="shared" si="3"/>
        <v>-0.33383401387618733</v>
      </c>
      <c r="O24" s="11"/>
      <c r="P24" s="7">
        <v>1339.05</v>
      </c>
      <c r="Q24" s="2"/>
      <c r="R24" s="6">
        <f t="shared" si="4"/>
        <v>0</v>
      </c>
      <c r="S24" s="2"/>
      <c r="T24" s="7">
        <v>2010.0846153846198</v>
      </c>
      <c r="U24" s="2"/>
      <c r="V24" s="6">
        <f t="shared" si="5"/>
        <v>0</v>
      </c>
      <c r="W24" s="2"/>
      <c r="X24" s="7">
        <f t="shared" si="6"/>
        <v>-671.03461538461988</v>
      </c>
      <c r="Y24" s="2"/>
      <c r="Z24" s="6">
        <f t="shared" si="7"/>
        <v>-0.33383401387618733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196.6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196.6</v>
      </c>
      <c r="M26" s="2"/>
      <c r="N26" s="6">
        <f t="shared" si="3"/>
        <v>0</v>
      </c>
      <c r="O26" s="11"/>
      <c r="P26" s="7">
        <v>196.6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196.6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2423.39</v>
      </c>
      <c r="E27" s="2"/>
      <c r="F27" s="6">
        <f t="shared" si="0"/>
        <v>0</v>
      </c>
      <c r="G27" s="2"/>
      <c r="H27" s="7">
        <v>1673.3538461538501</v>
      </c>
      <c r="I27" s="2"/>
      <c r="J27" s="6">
        <f t="shared" si="1"/>
        <v>0</v>
      </c>
      <c r="K27" s="2"/>
      <c r="L27" s="7">
        <f t="shared" si="2"/>
        <v>750.03615384614977</v>
      </c>
      <c r="M27" s="2"/>
      <c r="N27" s="6">
        <f t="shared" si="3"/>
        <v>0.44822328258310917</v>
      </c>
      <c r="O27" s="11"/>
      <c r="P27" s="7">
        <v>2423.39</v>
      </c>
      <c r="Q27" s="2"/>
      <c r="R27" s="6">
        <f t="shared" si="4"/>
        <v>0</v>
      </c>
      <c r="S27" s="2"/>
      <c r="T27" s="7">
        <v>1673.3538461538501</v>
      </c>
      <c r="U27" s="2"/>
      <c r="V27" s="6">
        <f t="shared" si="5"/>
        <v>0</v>
      </c>
      <c r="W27" s="2"/>
      <c r="X27" s="7">
        <f t="shared" si="6"/>
        <v>750.03615384614977</v>
      </c>
      <c r="Y27" s="2"/>
      <c r="Z27" s="6">
        <f t="shared" si="7"/>
        <v>0.44822328258310917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1627.31</v>
      </c>
      <c r="E28" s="2"/>
      <c r="F28" s="6">
        <f t="shared" si="0"/>
        <v>0</v>
      </c>
      <c r="G28" s="2"/>
      <c r="H28" s="7">
        <v>1829.5458461538501</v>
      </c>
      <c r="I28" s="2"/>
      <c r="J28" s="6">
        <f t="shared" si="1"/>
        <v>0</v>
      </c>
      <c r="K28" s="2"/>
      <c r="L28" s="7">
        <f t="shared" si="2"/>
        <v>-202.23584615385016</v>
      </c>
      <c r="M28" s="2"/>
      <c r="N28" s="6">
        <f t="shared" si="3"/>
        <v>-0.11053882392671331</v>
      </c>
      <c r="O28" s="11"/>
      <c r="P28" s="7">
        <v>1627.31</v>
      </c>
      <c r="Q28" s="2"/>
      <c r="R28" s="6">
        <f t="shared" si="4"/>
        <v>0</v>
      </c>
      <c r="S28" s="2"/>
      <c r="T28" s="7">
        <v>1829.5458461538501</v>
      </c>
      <c r="U28" s="2"/>
      <c r="V28" s="6">
        <f t="shared" si="5"/>
        <v>0</v>
      </c>
      <c r="W28" s="2"/>
      <c r="X28" s="7">
        <f t="shared" si="6"/>
        <v>-202.23584615385016</v>
      </c>
      <c r="Y28" s="2"/>
      <c r="Z28" s="6">
        <f t="shared" si="7"/>
        <v>-0.11053882392671331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545.59</v>
      </c>
      <c r="E29" s="2"/>
      <c r="F29" s="6">
        <f t="shared" si="0"/>
        <v>0</v>
      </c>
      <c r="G29" s="2"/>
      <c r="H29" s="7"/>
      <c r="I29" s="2"/>
      <c r="J29" s="6">
        <f t="shared" si="1"/>
        <v>0</v>
      </c>
      <c r="K29" s="2"/>
      <c r="L29" s="7">
        <f t="shared" si="2"/>
        <v>545.59</v>
      </c>
      <c r="M29" s="2"/>
      <c r="N29" s="6">
        <f t="shared" si="3"/>
        <v>0</v>
      </c>
      <c r="O29" s="11"/>
      <c r="P29" s="7">
        <v>545.59</v>
      </c>
      <c r="Q29" s="2"/>
      <c r="R29" s="6">
        <f t="shared" si="4"/>
        <v>0</v>
      </c>
      <c r="S29" s="2"/>
      <c r="T29" s="7"/>
      <c r="U29" s="2"/>
      <c r="V29" s="6">
        <f t="shared" si="5"/>
        <v>0</v>
      </c>
      <c r="W29" s="2"/>
      <c r="X29" s="7">
        <f t="shared" si="6"/>
        <v>545.59</v>
      </c>
      <c r="Y29" s="2"/>
      <c r="Z29" s="6">
        <f t="shared" si="7"/>
        <v>0</v>
      </c>
    </row>
    <row r="30" spans="1:26" s="27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28444.059999999998</v>
      </c>
      <c r="E30" s="1"/>
      <c r="F30" s="5">
        <f t="shared" ref="F30:F40" si="8">IF(D$12=0,0,D30/D$12)</f>
        <v>0</v>
      </c>
      <c r="G30" s="1"/>
      <c r="H30" s="1">
        <f>SUM(OSRRefH22_1x_0)</f>
        <v>35668.760923076901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-7224.7009230769036</v>
      </c>
      <c r="M30" s="1"/>
      <c r="N30" s="5">
        <f t="shared" ref="N30:N40" si="11">IF(H30=0,0,L30/H30)</f>
        <v>-0.2025498149110832</v>
      </c>
      <c r="O30" s="14"/>
      <c r="P30" s="1">
        <f>SUM(OSRRefP22_1x_0)</f>
        <v>28444.059999999998</v>
      </c>
      <c r="Q30" s="1"/>
      <c r="R30" s="5">
        <f t="shared" ref="R30:R40" si="12">IF(P$12=0,0,P30/P$12)</f>
        <v>0</v>
      </c>
      <c r="S30" s="1"/>
      <c r="T30" s="1">
        <f>SUM(OSRRefT22_1x_0)</f>
        <v>35668.760923076901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-7224.7009230769036</v>
      </c>
      <c r="Y30" s="1"/>
      <c r="Z30" s="5">
        <f t="shared" ref="Z30:Z40" si="15">IF(T30=0,0,X30/T30)</f>
        <v>-0.2025498149110832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13877.4</v>
      </c>
      <c r="E32" s="2"/>
      <c r="F32" s="6">
        <f t="shared" si="8"/>
        <v>0</v>
      </c>
      <c r="G32" s="2"/>
      <c r="H32" s="7">
        <v>23373.0769230769</v>
      </c>
      <c r="I32" s="2"/>
      <c r="J32" s="6">
        <f t="shared" si="9"/>
        <v>0</v>
      </c>
      <c r="K32" s="2"/>
      <c r="L32" s="7">
        <f t="shared" si="10"/>
        <v>-9495.6769230769005</v>
      </c>
      <c r="M32" s="2"/>
      <c r="N32" s="6">
        <f t="shared" si="11"/>
        <v>-0.40626559157478964</v>
      </c>
      <c r="O32" s="11"/>
      <c r="P32" s="7">
        <v>13877.4</v>
      </c>
      <c r="Q32" s="2"/>
      <c r="R32" s="6">
        <f t="shared" si="12"/>
        <v>0</v>
      </c>
      <c r="S32" s="2"/>
      <c r="T32" s="7">
        <v>23373.0769230769</v>
      </c>
      <c r="U32" s="2"/>
      <c r="V32" s="6">
        <f t="shared" si="13"/>
        <v>0</v>
      </c>
      <c r="W32" s="2"/>
      <c r="X32" s="7">
        <f t="shared" si="14"/>
        <v>-9495.6769230769005</v>
      </c>
      <c r="Y32" s="2"/>
      <c r="Z32" s="6">
        <f t="shared" si="15"/>
        <v>-0.40626559157478964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6273.41</v>
      </c>
      <c r="E34" s="2"/>
      <c r="F34" s="6">
        <f t="shared" si="8"/>
        <v>0</v>
      </c>
      <c r="G34" s="2"/>
      <c r="H34" s="7">
        <v>10055.683999999999</v>
      </c>
      <c r="I34" s="2"/>
      <c r="J34" s="6">
        <f t="shared" si="9"/>
        <v>0</v>
      </c>
      <c r="K34" s="2"/>
      <c r="L34" s="7">
        <f t="shared" si="10"/>
        <v>-3782.2739999999994</v>
      </c>
      <c r="M34" s="2"/>
      <c r="N34" s="6">
        <f t="shared" si="11"/>
        <v>-0.37613294132950076</v>
      </c>
      <c r="O34" s="11"/>
      <c r="P34" s="7">
        <v>6273.41</v>
      </c>
      <c r="Q34" s="2"/>
      <c r="R34" s="6">
        <f t="shared" si="12"/>
        <v>0</v>
      </c>
      <c r="S34" s="2"/>
      <c r="T34" s="7">
        <v>10055.683999999999</v>
      </c>
      <c r="U34" s="2"/>
      <c r="V34" s="6">
        <f t="shared" si="13"/>
        <v>0</v>
      </c>
      <c r="W34" s="2"/>
      <c r="X34" s="7">
        <f t="shared" si="14"/>
        <v>-3782.2739999999994</v>
      </c>
      <c r="Y34" s="2"/>
      <c r="Z34" s="6">
        <f t="shared" si="15"/>
        <v>-0.37613294132950076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1446.75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1446.75</v>
      </c>
      <c r="M35" s="2"/>
      <c r="N35" s="6">
        <f t="shared" si="11"/>
        <v>0</v>
      </c>
      <c r="O35" s="11"/>
      <c r="P35" s="7">
        <v>1446.75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1446.75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5054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5054</v>
      </c>
      <c r="M37" s="2"/>
      <c r="N37" s="6">
        <f t="shared" si="11"/>
        <v>0</v>
      </c>
      <c r="O37" s="11"/>
      <c r="P37" s="7">
        <v>5054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5054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>
        <v>1792.5</v>
      </c>
      <c r="E38" s="2"/>
      <c r="F38" s="6">
        <f t="shared" si="8"/>
        <v>0</v>
      </c>
      <c r="G38" s="2"/>
      <c r="H38" s="7">
        <v>2240</v>
      </c>
      <c r="I38" s="2"/>
      <c r="J38" s="6">
        <f t="shared" si="9"/>
        <v>0</v>
      </c>
      <c r="K38" s="2"/>
      <c r="L38" s="7">
        <f t="shared" si="10"/>
        <v>-447.5</v>
      </c>
      <c r="M38" s="2"/>
      <c r="N38" s="6">
        <f t="shared" si="11"/>
        <v>-0.19977678571428573</v>
      </c>
      <c r="O38" s="11"/>
      <c r="P38" s="7">
        <v>1792.5</v>
      </c>
      <c r="Q38" s="2"/>
      <c r="R38" s="6">
        <f t="shared" si="12"/>
        <v>0</v>
      </c>
      <c r="S38" s="2"/>
      <c r="T38" s="7">
        <v>2240</v>
      </c>
      <c r="U38" s="2"/>
      <c r="V38" s="6">
        <f t="shared" si="13"/>
        <v>0</v>
      </c>
      <c r="W38" s="2"/>
      <c r="X38" s="7">
        <f t="shared" si="14"/>
        <v>-447.5</v>
      </c>
      <c r="Y38" s="2"/>
      <c r="Z38" s="6">
        <f t="shared" si="15"/>
        <v>-0.19977678571428573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7" customFormat="1" outlineLevel="1" collapsed="1" x14ac:dyDescent="0.25">
      <c r="A41" s="28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SUM(OSRRefD22_2x_0)</f>
        <v>6175.97</v>
      </c>
      <c r="E41" s="1"/>
      <c r="F41" s="5">
        <f t="shared" ref="F41:F53" si="16">IF(D$12=0,0,D41/D$12)</f>
        <v>0</v>
      </c>
      <c r="G41" s="1"/>
      <c r="H41" s="1">
        <f>SUM(OSRRefH22_2x_0)</f>
        <v>6176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-2.9999999999745341E-2</v>
      </c>
      <c r="M41" s="1"/>
      <c r="N41" s="5">
        <f t="shared" ref="N41:N53" si="19">IF(H41=0,0,L41/H41)</f>
        <v>-4.8575129533266417E-6</v>
      </c>
      <c r="O41" s="14"/>
      <c r="P41" s="1">
        <f>SUM(OSRRefP22_2x_0)</f>
        <v>6175.97</v>
      </c>
      <c r="Q41" s="1"/>
      <c r="R41" s="5">
        <f t="shared" ref="R41:R53" si="20">IF(P$12=0,0,P41/P$12)</f>
        <v>0</v>
      </c>
      <c r="S41" s="1"/>
      <c r="T41" s="1">
        <f>SUM(OSRRefT22_2x_0)</f>
        <v>6176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-2.9999999999745341E-2</v>
      </c>
      <c r="Y41" s="1"/>
      <c r="Z41" s="5">
        <f t="shared" ref="Z41:Z53" si="23">IF(T41=0,0,X41/T41)</f>
        <v>-4.8575129533266417E-6</v>
      </c>
    </row>
    <row r="42" spans="1:26" s="24" customFormat="1" hidden="1" outlineLevel="2" x14ac:dyDescent="0.25">
      <c r="A42" s="29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6175.97</v>
      </c>
      <c r="E42" s="2"/>
      <c r="F42" s="6">
        <f t="shared" si="16"/>
        <v>0</v>
      </c>
      <c r="G42" s="2"/>
      <c r="H42" s="7">
        <v>6176</v>
      </c>
      <c r="I42" s="2"/>
      <c r="J42" s="6">
        <f t="shared" si="17"/>
        <v>0</v>
      </c>
      <c r="K42" s="2"/>
      <c r="L42" s="7">
        <f t="shared" si="18"/>
        <v>-2.9999999999745341E-2</v>
      </c>
      <c r="M42" s="2"/>
      <c r="N42" s="6">
        <f t="shared" si="19"/>
        <v>-4.8575129533266417E-6</v>
      </c>
      <c r="O42" s="11"/>
      <c r="P42" s="7">
        <v>6175.97</v>
      </c>
      <c r="Q42" s="2"/>
      <c r="R42" s="6">
        <f t="shared" si="20"/>
        <v>0</v>
      </c>
      <c r="S42" s="2"/>
      <c r="T42" s="7">
        <v>6176</v>
      </c>
      <c r="U42" s="2"/>
      <c r="V42" s="6">
        <f t="shared" si="21"/>
        <v>0</v>
      </c>
      <c r="W42" s="2"/>
      <c r="X42" s="7">
        <f t="shared" si="22"/>
        <v>-2.9999999999745341E-2</v>
      </c>
      <c r="Y42" s="2"/>
      <c r="Z42" s="6">
        <f t="shared" si="23"/>
        <v>-4.8575129533266417E-6</v>
      </c>
    </row>
    <row r="43" spans="1:26" s="27" customFormat="1" outlineLevel="1" collapsed="1" x14ac:dyDescent="0.25">
      <c r="A43" s="28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100</v>
      </c>
      <c r="I43" s="1"/>
      <c r="J43" s="5">
        <f t="shared" si="17"/>
        <v>0</v>
      </c>
      <c r="K43" s="1"/>
      <c r="L43" s="1">
        <f t="shared" si="18"/>
        <v>-100</v>
      </c>
      <c r="M43" s="1"/>
      <c r="N43" s="5">
        <f t="shared" si="19"/>
        <v>-1</v>
      </c>
      <c r="O43" s="14"/>
      <c r="P43" s="1">
        <f>SUM(OSRRefP22_3x_0)</f>
        <v>0</v>
      </c>
      <c r="Q43" s="1"/>
      <c r="R43" s="5">
        <f t="shared" si="20"/>
        <v>0</v>
      </c>
      <c r="S43" s="1"/>
      <c r="T43" s="1">
        <f>SUM(OSRRefT22_3x_0)</f>
        <v>100</v>
      </c>
      <c r="U43" s="1"/>
      <c r="V43" s="5">
        <f t="shared" si="21"/>
        <v>0</v>
      </c>
      <c r="W43" s="1"/>
      <c r="X43" s="1">
        <f t="shared" si="22"/>
        <v>-100</v>
      </c>
      <c r="Y43" s="1"/>
      <c r="Z43" s="5">
        <f t="shared" si="23"/>
        <v>-1</v>
      </c>
    </row>
    <row r="44" spans="1:26" s="24" customFormat="1" hidden="1" outlineLevel="2" x14ac:dyDescent="0.25">
      <c r="A44" s="29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16"/>
        <v>0</v>
      </c>
      <c r="G44" s="2"/>
      <c r="H44" s="7">
        <v>100</v>
      </c>
      <c r="I44" s="2"/>
      <c r="J44" s="6">
        <f t="shared" si="17"/>
        <v>0</v>
      </c>
      <c r="K44" s="2"/>
      <c r="L44" s="7">
        <f t="shared" si="18"/>
        <v>-100</v>
      </c>
      <c r="M44" s="2"/>
      <c r="N44" s="6">
        <f t="shared" si="19"/>
        <v>-1</v>
      </c>
      <c r="O44" s="11"/>
      <c r="P44" s="7"/>
      <c r="Q44" s="2"/>
      <c r="R44" s="6">
        <f t="shared" si="20"/>
        <v>0</v>
      </c>
      <c r="S44" s="2"/>
      <c r="T44" s="7">
        <v>100</v>
      </c>
      <c r="U44" s="2"/>
      <c r="V44" s="6">
        <f t="shared" si="21"/>
        <v>0</v>
      </c>
      <c r="W44" s="2"/>
      <c r="X44" s="7">
        <f t="shared" si="22"/>
        <v>-100</v>
      </c>
      <c r="Y44" s="2"/>
      <c r="Z44" s="6">
        <f t="shared" si="23"/>
        <v>-1</v>
      </c>
    </row>
    <row r="45" spans="1:26" s="27" customFormat="1" outlineLevel="1" collapsed="1" x14ac:dyDescent="0.25">
      <c r="A45" s="28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SUM(OSRRefD22_4x_0)</f>
        <v>56.34</v>
      </c>
      <c r="E45" s="1"/>
      <c r="F45" s="5">
        <f t="shared" si="16"/>
        <v>0</v>
      </c>
      <c r="G45" s="1"/>
      <c r="H45" s="1">
        <f>SUM(OSRRefH22_4x_0)</f>
        <v>55</v>
      </c>
      <c r="I45" s="1"/>
      <c r="J45" s="5">
        <f t="shared" si="17"/>
        <v>0</v>
      </c>
      <c r="K45" s="1"/>
      <c r="L45" s="1">
        <f t="shared" si="18"/>
        <v>1.3400000000000034</v>
      </c>
      <c r="M45" s="1"/>
      <c r="N45" s="5">
        <f t="shared" si="19"/>
        <v>2.4363636363636424E-2</v>
      </c>
      <c r="O45" s="14"/>
      <c r="P45" s="1">
        <f>SUM(OSRRefP22_4x_0)</f>
        <v>56.34</v>
      </c>
      <c r="Q45" s="1"/>
      <c r="R45" s="5">
        <f t="shared" si="20"/>
        <v>0</v>
      </c>
      <c r="S45" s="1"/>
      <c r="T45" s="1">
        <f>SUM(OSRRefT22_4x_0)</f>
        <v>55</v>
      </c>
      <c r="U45" s="1"/>
      <c r="V45" s="5">
        <f t="shared" si="21"/>
        <v>0</v>
      </c>
      <c r="W45" s="1"/>
      <c r="X45" s="1">
        <f t="shared" si="22"/>
        <v>1.3400000000000034</v>
      </c>
      <c r="Y45" s="1"/>
      <c r="Z45" s="5">
        <f t="shared" si="23"/>
        <v>2.4363636363636424E-2</v>
      </c>
    </row>
    <row r="46" spans="1:26" s="24" customFormat="1" hidden="1" outlineLevel="2" x14ac:dyDescent="0.25">
      <c r="A46" s="29"/>
      <c r="B46" s="11" t="str">
        <f>CONCATENATE("          ", "6314", " - ", "LIABILITY INSURANCE")</f>
        <v xml:space="preserve">          6314 - LIABILITY INSURANCE</v>
      </c>
      <c r="C46" s="11"/>
      <c r="D46" s="7">
        <v>56.34</v>
      </c>
      <c r="E46" s="2"/>
      <c r="F46" s="6">
        <f t="shared" si="16"/>
        <v>0</v>
      </c>
      <c r="G46" s="2"/>
      <c r="H46" s="7">
        <v>55</v>
      </c>
      <c r="I46" s="2"/>
      <c r="J46" s="6">
        <f t="shared" si="17"/>
        <v>0</v>
      </c>
      <c r="K46" s="2"/>
      <c r="L46" s="7">
        <f t="shared" si="18"/>
        <v>1.3400000000000034</v>
      </c>
      <c r="M46" s="2"/>
      <c r="N46" s="6">
        <f t="shared" si="19"/>
        <v>2.4363636363636424E-2</v>
      </c>
      <c r="O46" s="11"/>
      <c r="P46" s="7">
        <v>56.34</v>
      </c>
      <c r="Q46" s="2"/>
      <c r="R46" s="6">
        <f t="shared" si="20"/>
        <v>0</v>
      </c>
      <c r="S46" s="2"/>
      <c r="T46" s="7">
        <v>55</v>
      </c>
      <c r="U46" s="2"/>
      <c r="V46" s="6">
        <f t="shared" si="21"/>
        <v>0</v>
      </c>
      <c r="W46" s="2"/>
      <c r="X46" s="7">
        <f t="shared" si="22"/>
        <v>1.3400000000000034</v>
      </c>
      <c r="Y46" s="2"/>
      <c r="Z46" s="6">
        <f t="shared" si="23"/>
        <v>2.4363636363636424E-2</v>
      </c>
    </row>
    <row r="47" spans="1:26" s="27" customFormat="1" outlineLevel="1" collapsed="1" x14ac:dyDescent="0.25">
      <c r="A47" s="28"/>
      <c r="B47" s="14" t="str">
        <f>CONCATENATE("     ","Professional Services                             ")</f>
        <v xml:space="preserve">     Professional Services                             </v>
      </c>
      <c r="C47" s="14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500</v>
      </c>
      <c r="I47" s="1"/>
      <c r="J47" s="5">
        <f t="shared" si="17"/>
        <v>0</v>
      </c>
      <c r="K47" s="1"/>
      <c r="L47" s="1">
        <f t="shared" si="18"/>
        <v>-500</v>
      </c>
      <c r="M47" s="1"/>
      <c r="N47" s="5">
        <f t="shared" si="19"/>
        <v>-1</v>
      </c>
      <c r="O47" s="14"/>
      <c r="P47" s="1">
        <f>SUM(OSRRefP22_5x_0)</f>
        <v>0</v>
      </c>
      <c r="Q47" s="1"/>
      <c r="R47" s="5">
        <f t="shared" si="20"/>
        <v>0</v>
      </c>
      <c r="S47" s="1"/>
      <c r="T47" s="1">
        <f>SUM(OSRRefT22_5x_0)</f>
        <v>500</v>
      </c>
      <c r="U47" s="1"/>
      <c r="V47" s="5">
        <f t="shared" si="21"/>
        <v>0</v>
      </c>
      <c r="W47" s="1"/>
      <c r="X47" s="1">
        <f t="shared" si="22"/>
        <v>-500</v>
      </c>
      <c r="Y47" s="1"/>
      <c r="Z47" s="5">
        <f t="shared" si="23"/>
        <v>-1</v>
      </c>
    </row>
    <row r="48" spans="1:26" s="24" customFormat="1" hidden="1" outlineLevel="2" x14ac:dyDescent="0.25">
      <c r="A48" s="29"/>
      <c r="B48" s="11" t="str">
        <f>CONCATENATE("          ", "6332", " - ", "CONSULTANT FEES")</f>
        <v xml:space="preserve">          6332 - CONSULTANT FEES</v>
      </c>
      <c r="C48" s="11"/>
      <c r="D48" s="7"/>
      <c r="E48" s="2"/>
      <c r="F48" s="6">
        <f t="shared" si="16"/>
        <v>0</v>
      </c>
      <c r="G48" s="2"/>
      <c r="H48" s="7">
        <v>500</v>
      </c>
      <c r="I48" s="2"/>
      <c r="J48" s="6">
        <f t="shared" si="17"/>
        <v>0</v>
      </c>
      <c r="K48" s="2"/>
      <c r="L48" s="7">
        <f t="shared" si="18"/>
        <v>-500</v>
      </c>
      <c r="M48" s="2"/>
      <c r="N48" s="6">
        <f t="shared" si="19"/>
        <v>-1</v>
      </c>
      <c r="O48" s="11"/>
      <c r="P48" s="7"/>
      <c r="Q48" s="2"/>
      <c r="R48" s="6">
        <f t="shared" si="20"/>
        <v>0</v>
      </c>
      <c r="S48" s="2"/>
      <c r="T48" s="7">
        <v>500</v>
      </c>
      <c r="U48" s="2"/>
      <c r="V48" s="6">
        <f t="shared" si="21"/>
        <v>0</v>
      </c>
      <c r="W48" s="2"/>
      <c r="X48" s="7">
        <f t="shared" si="22"/>
        <v>-500</v>
      </c>
      <c r="Y48" s="2"/>
      <c r="Z48" s="6">
        <f t="shared" si="23"/>
        <v>-1</v>
      </c>
    </row>
    <row r="49" spans="1:26" s="27" customFormat="1" outlineLevel="1" collapsed="1" x14ac:dyDescent="0.25">
      <c r="A49" s="28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SUM(OSRRefD22_6x_0)</f>
        <v>9638.7800000000007</v>
      </c>
      <c r="E49" s="1"/>
      <c r="F49" s="5">
        <f t="shared" si="16"/>
        <v>0</v>
      </c>
      <c r="G49" s="1"/>
      <c r="H49" s="1">
        <f>SUM(OSRRefH22_6x_0)</f>
        <v>1000</v>
      </c>
      <c r="I49" s="1"/>
      <c r="J49" s="5">
        <f t="shared" si="17"/>
        <v>0</v>
      </c>
      <c r="K49" s="1"/>
      <c r="L49" s="1">
        <f t="shared" si="18"/>
        <v>8638.7800000000007</v>
      </c>
      <c r="M49" s="1"/>
      <c r="N49" s="5">
        <f t="shared" si="19"/>
        <v>8.6387800000000006</v>
      </c>
      <c r="O49" s="14"/>
      <c r="P49" s="1">
        <f>SUM(OSRRefP22_6x_0)</f>
        <v>9638.7800000000007</v>
      </c>
      <c r="Q49" s="1"/>
      <c r="R49" s="5">
        <f t="shared" si="20"/>
        <v>0</v>
      </c>
      <c r="S49" s="1"/>
      <c r="T49" s="1">
        <f>SUM(OSRRefT22_6x_0)</f>
        <v>1000</v>
      </c>
      <c r="U49" s="1"/>
      <c r="V49" s="5">
        <f t="shared" si="21"/>
        <v>0</v>
      </c>
      <c r="W49" s="1"/>
      <c r="X49" s="1">
        <f t="shared" si="22"/>
        <v>8638.7800000000007</v>
      </c>
      <c r="Y49" s="1"/>
      <c r="Z49" s="5">
        <f t="shared" si="23"/>
        <v>8.6387800000000006</v>
      </c>
    </row>
    <row r="50" spans="1:26" s="24" customFormat="1" hidden="1" outlineLevel="2" x14ac:dyDescent="0.25">
      <c r="A50" s="29"/>
      <c r="B50" s="11" t="str">
        <f>CONCATENATE("          ", "6371", " - ", "COMPUTER SOFTWARE MAINTENANCE")</f>
        <v xml:space="preserve">          6371 - COMPUTER SOFTWARE MAINTENANCE</v>
      </c>
      <c r="C50" s="11"/>
      <c r="D50" s="7">
        <v>90.95</v>
      </c>
      <c r="E50" s="2"/>
      <c r="F50" s="6">
        <f t="shared" si="16"/>
        <v>0</v>
      </c>
      <c r="G50" s="2"/>
      <c r="H50" s="7">
        <v>500</v>
      </c>
      <c r="I50" s="2"/>
      <c r="J50" s="6">
        <f t="shared" si="17"/>
        <v>0</v>
      </c>
      <c r="K50" s="2"/>
      <c r="L50" s="7">
        <f t="shared" si="18"/>
        <v>-409.05</v>
      </c>
      <c r="M50" s="2"/>
      <c r="N50" s="6">
        <f t="shared" si="19"/>
        <v>-0.81810000000000005</v>
      </c>
      <c r="O50" s="11"/>
      <c r="P50" s="7">
        <v>90.95</v>
      </c>
      <c r="Q50" s="2"/>
      <c r="R50" s="6">
        <f t="shared" si="20"/>
        <v>0</v>
      </c>
      <c r="S50" s="2"/>
      <c r="T50" s="7">
        <v>500</v>
      </c>
      <c r="U50" s="2"/>
      <c r="V50" s="6">
        <f t="shared" si="21"/>
        <v>0</v>
      </c>
      <c r="W50" s="2"/>
      <c r="X50" s="7">
        <f t="shared" si="22"/>
        <v>-409.05</v>
      </c>
      <c r="Y50" s="2"/>
      <c r="Z50" s="6">
        <f t="shared" si="23"/>
        <v>-0.81810000000000005</v>
      </c>
    </row>
    <row r="51" spans="1:26" s="24" customFormat="1" hidden="1" outlineLevel="2" x14ac:dyDescent="0.25">
      <c r="A51" s="29"/>
      <c r="B51" s="11" t="str">
        <f>CONCATENATE("          ", "6372", " - ", "COMPUTER HARDWARE MAINTENANCE")</f>
        <v xml:space="preserve">          6372 - COMPUTER HARDWARE MAINTENANCE</v>
      </c>
      <c r="C51" s="11"/>
      <c r="D51" s="7"/>
      <c r="E51" s="2"/>
      <c r="F51" s="6">
        <f t="shared" si="16"/>
        <v>0</v>
      </c>
      <c r="G51" s="2"/>
      <c r="H51" s="7">
        <v>500</v>
      </c>
      <c r="I51" s="2"/>
      <c r="J51" s="6">
        <f t="shared" si="17"/>
        <v>0</v>
      </c>
      <c r="K51" s="2"/>
      <c r="L51" s="7">
        <f t="shared" si="18"/>
        <v>-500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500</v>
      </c>
      <c r="U51" s="2"/>
      <c r="V51" s="6">
        <f t="shared" si="21"/>
        <v>0</v>
      </c>
      <c r="W51" s="2"/>
      <c r="X51" s="7">
        <f t="shared" si="22"/>
        <v>-500</v>
      </c>
      <c r="Y51" s="2"/>
      <c r="Z51" s="6">
        <f t="shared" si="23"/>
        <v>-1</v>
      </c>
    </row>
    <row r="52" spans="1:26" s="24" customFormat="1" hidden="1" outlineLevel="2" x14ac:dyDescent="0.25">
      <c r="A52" s="29"/>
      <c r="B52" s="11" t="str">
        <f>CONCATENATE("          ", "6373", " - ", "MAINTENANCE CONTRACTS")</f>
        <v xml:space="preserve">          6373 - MAINTENANCE CONTRACTS</v>
      </c>
      <c r="C52" s="11"/>
      <c r="D52" s="7">
        <v>9516.15</v>
      </c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9516.15</v>
      </c>
      <c r="M52" s="2"/>
      <c r="N52" s="6">
        <f t="shared" si="19"/>
        <v>0</v>
      </c>
      <c r="O52" s="11"/>
      <c r="P52" s="7">
        <v>9516.15</v>
      </c>
      <c r="Q52" s="2"/>
      <c r="R52" s="6">
        <f t="shared" si="20"/>
        <v>0</v>
      </c>
      <c r="S52" s="2"/>
      <c r="T52" s="7"/>
      <c r="U52" s="2"/>
      <c r="V52" s="6">
        <f t="shared" si="21"/>
        <v>0</v>
      </c>
      <c r="W52" s="2"/>
      <c r="X52" s="7">
        <f t="shared" si="22"/>
        <v>9516.15</v>
      </c>
      <c r="Y52" s="2"/>
      <c r="Z52" s="6">
        <f t="shared" si="23"/>
        <v>0</v>
      </c>
    </row>
    <row r="53" spans="1:26" s="24" customFormat="1" hidden="1" outlineLevel="2" x14ac:dyDescent="0.25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7">
        <v>31.68</v>
      </c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31.68</v>
      </c>
      <c r="M53" s="2"/>
      <c r="N53" s="6">
        <f t="shared" si="19"/>
        <v>0</v>
      </c>
      <c r="O53" s="11"/>
      <c r="P53" s="7">
        <v>31.68</v>
      </c>
      <c r="Q53" s="2"/>
      <c r="R53" s="6">
        <f t="shared" si="20"/>
        <v>0</v>
      </c>
      <c r="S53" s="2"/>
      <c r="T53" s="7"/>
      <c r="U53" s="2"/>
      <c r="V53" s="6">
        <f t="shared" si="21"/>
        <v>0</v>
      </c>
      <c r="W53" s="2"/>
      <c r="X53" s="7">
        <f t="shared" si="22"/>
        <v>31.68</v>
      </c>
      <c r="Y53" s="2"/>
      <c r="Z53" s="6">
        <f t="shared" si="23"/>
        <v>0</v>
      </c>
    </row>
    <row r="54" spans="1:26" s="27" customFormat="1" outlineLevel="1" collapsed="1" x14ac:dyDescent="0.25">
      <c r="A54" s="28"/>
      <c r="B54" s="14" t="str">
        <f>CONCATENATE("     ","Subscriptions &amp; Dues                              ")</f>
        <v xml:space="preserve">     Subscriptions &amp; Dues                              </v>
      </c>
      <c r="C54" s="14"/>
      <c r="D54" s="1">
        <f>SUM(OSRRefD22_7x_0)</f>
        <v>0</v>
      </c>
      <c r="E54" s="1"/>
      <c r="F54" s="5">
        <f t="shared" ref="F54:F60" si="24">IF(D$12=0,0,D54/D$12)</f>
        <v>0</v>
      </c>
      <c r="G54" s="1"/>
      <c r="H54" s="1">
        <f>SUM(OSRRefH22_7x_0)</f>
        <v>100</v>
      </c>
      <c r="I54" s="1"/>
      <c r="J54" s="5">
        <f t="shared" ref="J54:J60" si="25">IF(H$12=0,0,H54/H$12)</f>
        <v>0</v>
      </c>
      <c r="K54" s="1"/>
      <c r="L54" s="1">
        <f t="shared" ref="L54:L60" si="26">+D54-H54</f>
        <v>-100</v>
      </c>
      <c r="M54" s="1"/>
      <c r="N54" s="5">
        <f t="shared" ref="N54:N60" si="27">IF(H54=0,0,L54/H54)</f>
        <v>-1</v>
      </c>
      <c r="O54" s="14"/>
      <c r="P54" s="1">
        <f>SUM(OSRRefP22_7x_0)</f>
        <v>0</v>
      </c>
      <c r="Q54" s="1"/>
      <c r="R54" s="5">
        <f t="shared" ref="R54:R60" si="28">IF(P$12=0,0,P54/P$12)</f>
        <v>0</v>
      </c>
      <c r="S54" s="1"/>
      <c r="T54" s="1">
        <f>SUM(OSRRefT22_7x_0)</f>
        <v>100</v>
      </c>
      <c r="U54" s="1"/>
      <c r="V54" s="5">
        <f t="shared" ref="V54:V60" si="29">IF(T$12=0,0,T54/T$12)</f>
        <v>0</v>
      </c>
      <c r="W54" s="1"/>
      <c r="X54" s="1">
        <f t="shared" ref="X54:X60" si="30">+P54-T54</f>
        <v>-100</v>
      </c>
      <c r="Y54" s="1"/>
      <c r="Z54" s="5">
        <f t="shared" ref="Z54:Z60" si="31">IF(T54=0,0,X54/T54)</f>
        <v>-1</v>
      </c>
    </row>
    <row r="55" spans="1:26" s="24" customFormat="1" hidden="1" outlineLevel="2" x14ac:dyDescent="0.25">
      <c r="A55" s="29"/>
      <c r="B55" s="11" t="str">
        <f>CONCATENATE("          ", "6275", " - ", "SUBSCRIPTIONS")</f>
        <v xml:space="preserve">          6275 - SUBSCRIPTIONS</v>
      </c>
      <c r="C55" s="11"/>
      <c r="D55" s="7"/>
      <c r="E55" s="2"/>
      <c r="F55" s="6">
        <f t="shared" si="24"/>
        <v>0</v>
      </c>
      <c r="G55" s="2"/>
      <c r="H55" s="7">
        <v>100</v>
      </c>
      <c r="I55" s="2"/>
      <c r="J55" s="6">
        <f t="shared" si="25"/>
        <v>0</v>
      </c>
      <c r="K55" s="2"/>
      <c r="L55" s="7">
        <f t="shared" si="26"/>
        <v>-100</v>
      </c>
      <c r="M55" s="2"/>
      <c r="N55" s="6">
        <f t="shared" si="27"/>
        <v>-1</v>
      </c>
      <c r="O55" s="11"/>
      <c r="P55" s="7"/>
      <c r="Q55" s="2"/>
      <c r="R55" s="6">
        <f t="shared" si="28"/>
        <v>0</v>
      </c>
      <c r="S55" s="2"/>
      <c r="T55" s="7">
        <v>100</v>
      </c>
      <c r="U55" s="2"/>
      <c r="V55" s="6">
        <f t="shared" si="29"/>
        <v>0</v>
      </c>
      <c r="W55" s="2"/>
      <c r="X55" s="7">
        <f t="shared" si="30"/>
        <v>-100</v>
      </c>
      <c r="Y55" s="2"/>
      <c r="Z55" s="6">
        <f t="shared" si="31"/>
        <v>-1</v>
      </c>
    </row>
    <row r="56" spans="1:26" s="27" customFormat="1" outlineLevel="1" collapsed="1" x14ac:dyDescent="0.25">
      <c r="A56" s="28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SUM(OSRRefD22_8x_0)</f>
        <v>6611.6</v>
      </c>
      <c r="E56" s="1"/>
      <c r="F56" s="5">
        <f t="shared" si="24"/>
        <v>0</v>
      </c>
      <c r="G56" s="1"/>
      <c r="H56" s="1">
        <f>SUM(OSRRefH22_8x_0)</f>
        <v>300</v>
      </c>
      <c r="I56" s="1"/>
      <c r="J56" s="5">
        <f t="shared" si="25"/>
        <v>0</v>
      </c>
      <c r="K56" s="1"/>
      <c r="L56" s="1">
        <f t="shared" si="26"/>
        <v>6311.6</v>
      </c>
      <c r="M56" s="1"/>
      <c r="N56" s="5">
        <f t="shared" si="27"/>
        <v>21.038666666666668</v>
      </c>
      <c r="O56" s="14"/>
      <c r="P56" s="1">
        <f>SUM(OSRRefP22_8x_0)</f>
        <v>6611.6</v>
      </c>
      <c r="Q56" s="1"/>
      <c r="R56" s="5">
        <f t="shared" si="28"/>
        <v>0</v>
      </c>
      <c r="S56" s="1"/>
      <c r="T56" s="1">
        <f>SUM(OSRRefT22_8x_0)</f>
        <v>300</v>
      </c>
      <c r="U56" s="1"/>
      <c r="V56" s="5">
        <f t="shared" si="29"/>
        <v>0</v>
      </c>
      <c r="W56" s="1"/>
      <c r="X56" s="1">
        <f t="shared" si="30"/>
        <v>6311.6</v>
      </c>
      <c r="Y56" s="1"/>
      <c r="Z56" s="5">
        <f t="shared" si="31"/>
        <v>21.038666666666668</v>
      </c>
    </row>
    <row r="57" spans="1:26" s="24" customFormat="1" hidden="1" outlineLevel="2" x14ac:dyDescent="0.25">
      <c r="A57" s="29"/>
      <c r="B57" s="11" t="str">
        <f>CONCATENATE("          ", "6241", " - ", "OFFICE EXPENSE")</f>
        <v xml:space="preserve">          6241 - OFFICE EXPENSE</v>
      </c>
      <c r="C57" s="11"/>
      <c r="D57" s="7">
        <v>6611.6</v>
      </c>
      <c r="E57" s="2"/>
      <c r="F57" s="6">
        <f t="shared" si="24"/>
        <v>0</v>
      </c>
      <c r="G57" s="2"/>
      <c r="H57" s="7">
        <v>300</v>
      </c>
      <c r="I57" s="2"/>
      <c r="J57" s="6">
        <f t="shared" si="25"/>
        <v>0</v>
      </c>
      <c r="K57" s="2"/>
      <c r="L57" s="7">
        <f t="shared" si="26"/>
        <v>6311.6</v>
      </c>
      <c r="M57" s="2"/>
      <c r="N57" s="6">
        <f t="shared" si="27"/>
        <v>21.038666666666668</v>
      </c>
      <c r="O57" s="11"/>
      <c r="P57" s="7">
        <v>6611.6</v>
      </c>
      <c r="Q57" s="2"/>
      <c r="R57" s="6">
        <f t="shared" si="28"/>
        <v>0</v>
      </c>
      <c r="S57" s="2"/>
      <c r="T57" s="7">
        <v>300</v>
      </c>
      <c r="U57" s="2"/>
      <c r="V57" s="6">
        <f t="shared" si="29"/>
        <v>0</v>
      </c>
      <c r="W57" s="2"/>
      <c r="X57" s="7">
        <f t="shared" si="30"/>
        <v>6311.6</v>
      </c>
      <c r="Y57" s="2"/>
      <c r="Z57" s="6">
        <f t="shared" si="31"/>
        <v>21.038666666666668</v>
      </c>
    </row>
    <row r="58" spans="1:26" s="27" customFormat="1" outlineLevel="1" collapsed="1" x14ac:dyDescent="0.25">
      <c r="A58" s="28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SUM(OSRRefD22_9x_0)</f>
        <v>4049.2400000000002</v>
      </c>
      <c r="E58" s="1"/>
      <c r="F58" s="5">
        <f t="shared" si="24"/>
        <v>0</v>
      </c>
      <c r="G58" s="1"/>
      <c r="H58" s="1">
        <f>SUM(OSRRefH22_9x_0)</f>
        <v>450</v>
      </c>
      <c r="I58" s="1"/>
      <c r="J58" s="5">
        <f t="shared" si="25"/>
        <v>0</v>
      </c>
      <c r="K58" s="1"/>
      <c r="L58" s="1">
        <f t="shared" si="26"/>
        <v>3599.2400000000002</v>
      </c>
      <c r="M58" s="1"/>
      <c r="N58" s="5">
        <f t="shared" si="27"/>
        <v>7.9983111111111116</v>
      </c>
      <c r="O58" s="14"/>
      <c r="P58" s="1">
        <f>SUM(OSRRefP22_9x_0)</f>
        <v>4049.2400000000002</v>
      </c>
      <c r="Q58" s="1"/>
      <c r="R58" s="5">
        <f t="shared" si="28"/>
        <v>0</v>
      </c>
      <c r="S58" s="1"/>
      <c r="T58" s="1">
        <f>SUM(OSRRefT22_9x_0)</f>
        <v>450</v>
      </c>
      <c r="U58" s="1"/>
      <c r="V58" s="5">
        <f t="shared" si="29"/>
        <v>0</v>
      </c>
      <c r="W58" s="1"/>
      <c r="X58" s="1">
        <f t="shared" si="30"/>
        <v>3599.2400000000002</v>
      </c>
      <c r="Y58" s="1"/>
      <c r="Z58" s="5">
        <f t="shared" si="31"/>
        <v>7.9983111111111116</v>
      </c>
    </row>
    <row r="59" spans="1:26" s="24" customFormat="1" hidden="1" outlineLevel="2" x14ac:dyDescent="0.25">
      <c r="A59" s="29"/>
      <c r="B59" s="11" t="str">
        <f>CONCATENATE("          ", "6303", " - ", "DATA PHONE LINES")</f>
        <v xml:space="preserve">          6303 - DATA PHONE LINES</v>
      </c>
      <c r="C59" s="11"/>
      <c r="D59" s="7">
        <v>195.53</v>
      </c>
      <c r="E59" s="2"/>
      <c r="F59" s="6">
        <f t="shared" si="24"/>
        <v>0</v>
      </c>
      <c r="G59" s="2"/>
      <c r="H59" s="7">
        <v>200</v>
      </c>
      <c r="I59" s="2"/>
      <c r="J59" s="6">
        <f t="shared" si="25"/>
        <v>0</v>
      </c>
      <c r="K59" s="2"/>
      <c r="L59" s="7">
        <f t="shared" si="26"/>
        <v>-4.4699999999999989</v>
      </c>
      <c r="M59" s="2"/>
      <c r="N59" s="6">
        <f t="shared" si="27"/>
        <v>-2.2349999999999995E-2</v>
      </c>
      <c r="O59" s="11"/>
      <c r="P59" s="7">
        <v>195.53</v>
      </c>
      <c r="Q59" s="2"/>
      <c r="R59" s="6">
        <f t="shared" si="28"/>
        <v>0</v>
      </c>
      <c r="S59" s="2"/>
      <c r="T59" s="7">
        <v>200</v>
      </c>
      <c r="U59" s="2"/>
      <c r="V59" s="6">
        <f t="shared" si="29"/>
        <v>0</v>
      </c>
      <c r="W59" s="2"/>
      <c r="X59" s="7">
        <f t="shared" si="30"/>
        <v>-4.4699999999999989</v>
      </c>
      <c r="Y59" s="2"/>
      <c r="Z59" s="6">
        <f t="shared" si="31"/>
        <v>-2.2349999999999995E-2</v>
      </c>
    </row>
    <row r="60" spans="1:26" s="24" customFormat="1" hidden="1" outlineLevel="2" x14ac:dyDescent="0.25">
      <c r="A60" s="29"/>
      <c r="B60" s="11" t="str">
        <f>CONCATENATE("          ", "6309", " - ", "TELEPHONE")</f>
        <v xml:space="preserve">          6309 - TELEPHONE</v>
      </c>
      <c r="C60" s="11"/>
      <c r="D60" s="7">
        <v>3853.71</v>
      </c>
      <c r="E60" s="2"/>
      <c r="F60" s="6">
        <f t="shared" si="24"/>
        <v>0</v>
      </c>
      <c r="G60" s="2"/>
      <c r="H60" s="7">
        <v>250</v>
      </c>
      <c r="I60" s="2"/>
      <c r="J60" s="6">
        <f t="shared" si="25"/>
        <v>0</v>
      </c>
      <c r="K60" s="2"/>
      <c r="L60" s="7">
        <f t="shared" si="26"/>
        <v>3603.71</v>
      </c>
      <c r="M60" s="2"/>
      <c r="N60" s="6">
        <f t="shared" si="27"/>
        <v>14.41484</v>
      </c>
      <c r="O60" s="11"/>
      <c r="P60" s="7">
        <v>3853.71</v>
      </c>
      <c r="Q60" s="2"/>
      <c r="R60" s="6">
        <f t="shared" si="28"/>
        <v>0</v>
      </c>
      <c r="S60" s="2"/>
      <c r="T60" s="7">
        <v>250</v>
      </c>
      <c r="U60" s="2"/>
      <c r="V60" s="6">
        <f t="shared" si="29"/>
        <v>0</v>
      </c>
      <c r="W60" s="2"/>
      <c r="X60" s="7">
        <f t="shared" si="30"/>
        <v>3603.71</v>
      </c>
      <c r="Y60" s="2"/>
      <c r="Z60" s="6">
        <f t="shared" si="31"/>
        <v>14.41484</v>
      </c>
    </row>
    <row r="61" spans="1:26" s="27" customFormat="1" outlineLevel="1" collapsed="1" x14ac:dyDescent="0.25">
      <c r="A61" s="28"/>
      <c r="B61" s="14" t="str">
        <f>CONCATENATE("     ","Training                                          ")</f>
        <v xml:space="preserve">     Training                                          </v>
      </c>
      <c r="C61" s="14"/>
      <c r="D61" s="1">
        <f>SUM(OSRRefD22_10x_0)</f>
        <v>49</v>
      </c>
      <c r="E61" s="1"/>
      <c r="F61" s="5">
        <f t="shared" ref="F61:F64" si="32">IF(D$12=0,0,D61/D$12)</f>
        <v>0</v>
      </c>
      <c r="G61" s="1"/>
      <c r="H61" s="1">
        <f>SUM(OSRRefH22_10x_0)</f>
        <v>1000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-951</v>
      </c>
      <c r="M61" s="1"/>
      <c r="N61" s="5">
        <f t="shared" ref="N61:N64" si="35">IF(H61=0,0,L61/H61)</f>
        <v>-0.95099999999999996</v>
      </c>
      <c r="O61" s="14"/>
      <c r="P61" s="1">
        <f>SUM(OSRRefP22_10x_0)</f>
        <v>49</v>
      </c>
      <c r="Q61" s="1"/>
      <c r="R61" s="5">
        <f t="shared" ref="R61:R64" si="36">IF(P$12=0,0,P61/P$12)</f>
        <v>0</v>
      </c>
      <c r="S61" s="1"/>
      <c r="T61" s="1">
        <f>SUM(OSRRefT22_10x_0)</f>
        <v>1000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-951</v>
      </c>
      <c r="Y61" s="1"/>
      <c r="Z61" s="5">
        <f t="shared" ref="Z61:Z64" si="39">IF(T61=0,0,X61/T61)</f>
        <v>-0.95099999999999996</v>
      </c>
    </row>
    <row r="62" spans="1:26" s="24" customFormat="1" hidden="1" outlineLevel="2" x14ac:dyDescent="0.25">
      <c r="A62" s="29"/>
      <c r="B62" s="11" t="str">
        <f>CONCATENATE("          ", "6376", " - ", "TRAINING")</f>
        <v xml:space="preserve">          6376 - TRAINING</v>
      </c>
      <c r="C62" s="11"/>
      <c r="D62" s="7">
        <v>49</v>
      </c>
      <c r="E62" s="2"/>
      <c r="F62" s="6">
        <f t="shared" si="32"/>
        <v>0</v>
      </c>
      <c r="G62" s="2"/>
      <c r="H62" s="7">
        <v>1000</v>
      </c>
      <c r="I62" s="2"/>
      <c r="J62" s="6">
        <f t="shared" si="33"/>
        <v>0</v>
      </c>
      <c r="K62" s="2"/>
      <c r="L62" s="7">
        <f t="shared" si="34"/>
        <v>-951</v>
      </c>
      <c r="M62" s="2"/>
      <c r="N62" s="6">
        <f t="shared" si="35"/>
        <v>-0.95099999999999996</v>
      </c>
      <c r="O62" s="11"/>
      <c r="P62" s="7">
        <v>49</v>
      </c>
      <c r="Q62" s="2"/>
      <c r="R62" s="6">
        <f t="shared" si="36"/>
        <v>0</v>
      </c>
      <c r="S62" s="2"/>
      <c r="T62" s="7">
        <v>1000</v>
      </c>
      <c r="U62" s="2"/>
      <c r="V62" s="6">
        <f t="shared" si="37"/>
        <v>0</v>
      </c>
      <c r="W62" s="2"/>
      <c r="X62" s="7">
        <f t="shared" si="38"/>
        <v>-951</v>
      </c>
      <c r="Y62" s="2"/>
      <c r="Z62" s="6">
        <f t="shared" si="39"/>
        <v>-0.95099999999999996</v>
      </c>
    </row>
    <row r="63" spans="1:26" s="27" customFormat="1" outlineLevel="1" collapsed="1" x14ac:dyDescent="0.25">
      <c r="A63" s="28"/>
      <c r="B63" s="14" t="str">
        <f>CONCATENATE("     ","Travel                                            ")</f>
        <v xml:space="preserve">     Travel                                            </v>
      </c>
      <c r="C63" s="14"/>
      <c r="D63" s="1">
        <f>SUM(OSRRefD22_11x_0)</f>
        <v>0</v>
      </c>
      <c r="E63" s="1"/>
      <c r="F63" s="5">
        <f t="shared" si="32"/>
        <v>0</v>
      </c>
      <c r="G63" s="1"/>
      <c r="H63" s="1">
        <f>SUM(OSRRefH22_11x_0)</f>
        <v>3000</v>
      </c>
      <c r="I63" s="1"/>
      <c r="J63" s="5">
        <f t="shared" si="33"/>
        <v>0</v>
      </c>
      <c r="K63" s="1"/>
      <c r="L63" s="1">
        <f t="shared" si="34"/>
        <v>-3000</v>
      </c>
      <c r="M63" s="1"/>
      <c r="N63" s="5">
        <f t="shared" si="35"/>
        <v>-1</v>
      </c>
      <c r="O63" s="14"/>
      <c r="P63" s="1">
        <f>SUM(OSRRefP22_11x_0)</f>
        <v>0</v>
      </c>
      <c r="Q63" s="1"/>
      <c r="R63" s="5">
        <f t="shared" si="36"/>
        <v>0</v>
      </c>
      <c r="S63" s="1"/>
      <c r="T63" s="1">
        <f>SUM(OSRRefT22_11x_0)</f>
        <v>3000</v>
      </c>
      <c r="U63" s="1"/>
      <c r="V63" s="5">
        <f t="shared" si="37"/>
        <v>0</v>
      </c>
      <c r="W63" s="1"/>
      <c r="X63" s="1">
        <f t="shared" si="38"/>
        <v>-3000</v>
      </c>
      <c r="Y63" s="1"/>
      <c r="Z63" s="5">
        <f t="shared" si="39"/>
        <v>-1</v>
      </c>
    </row>
    <row r="64" spans="1:26" s="24" customFormat="1" hidden="1" outlineLevel="2" x14ac:dyDescent="0.25">
      <c r="A64" s="29"/>
      <c r="B64" s="11" t="str">
        <f>CONCATENATE("          ", "6292", " - ", "TRAVEL/CONFERENCE")</f>
        <v xml:space="preserve">          6292 - TRAVEL/CONFERENCE</v>
      </c>
      <c r="C64" s="11"/>
      <c r="D64" s="7"/>
      <c r="E64" s="2"/>
      <c r="F64" s="6">
        <f t="shared" si="32"/>
        <v>0</v>
      </c>
      <c r="G64" s="2"/>
      <c r="H64" s="7">
        <v>3000</v>
      </c>
      <c r="I64" s="2"/>
      <c r="J64" s="6">
        <f t="shared" si="33"/>
        <v>0</v>
      </c>
      <c r="K64" s="2"/>
      <c r="L64" s="7">
        <f t="shared" si="34"/>
        <v>-3000</v>
      </c>
      <c r="M64" s="2"/>
      <c r="N64" s="6">
        <f t="shared" si="35"/>
        <v>-1</v>
      </c>
      <c r="O64" s="11"/>
      <c r="P64" s="7"/>
      <c r="Q64" s="2"/>
      <c r="R64" s="6">
        <f t="shared" si="36"/>
        <v>0</v>
      </c>
      <c r="S64" s="2"/>
      <c r="T64" s="7">
        <v>3000</v>
      </c>
      <c r="U64" s="2"/>
      <c r="V64" s="6">
        <f t="shared" si="37"/>
        <v>0</v>
      </c>
      <c r="W64" s="2"/>
      <c r="X64" s="7">
        <f t="shared" si="38"/>
        <v>-3000</v>
      </c>
      <c r="Y64" s="2"/>
      <c r="Z64" s="6">
        <f t="shared" si="39"/>
        <v>-1</v>
      </c>
    </row>
    <row r="65" spans="1:26" s="57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5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6" t="s">
        <v>3</v>
      </c>
      <c r="C68" s="26"/>
      <c r="D68" s="21">
        <f>+D16-D18+D66</f>
        <v>-67675.849999999991</v>
      </c>
      <c r="E68" s="13"/>
      <c r="F68" s="19">
        <f>IF(D$12=0,0,D68/D$12)</f>
        <v>0</v>
      </c>
      <c r="G68" s="13"/>
      <c r="H68" s="21">
        <f>+H16-H18+H66</f>
        <v>-64686.963158153849</v>
      </c>
      <c r="I68" s="13"/>
      <c r="J68" s="19">
        <f>IF(H$12=0,0,H68/H$12)</f>
        <v>0</v>
      </c>
      <c r="K68" s="15"/>
      <c r="L68" s="21">
        <f>+D68-H68</f>
        <v>-2988.8868418461425</v>
      </c>
      <c r="M68" s="15"/>
      <c r="N68" s="19">
        <f>IF(H68=0,0,L68/H68)</f>
        <v>4.6205397439026179E-2</v>
      </c>
      <c r="O68" s="25"/>
      <c r="P68" s="21">
        <f>+P16-P18+P66</f>
        <v>-67675.849999999991</v>
      </c>
      <c r="Q68" s="13"/>
      <c r="R68" s="19">
        <f>IF(P$12=0,0,P68/P$12)</f>
        <v>0</v>
      </c>
      <c r="S68" s="13"/>
      <c r="T68" s="21">
        <f>+T16-T18+T66</f>
        <v>-64686.963158153849</v>
      </c>
      <c r="U68" s="13"/>
      <c r="V68" s="19">
        <f>IF(T$12=0,0,T68/T$12)</f>
        <v>0</v>
      </c>
      <c r="W68" s="15"/>
      <c r="X68" s="21">
        <f>+P68-T68</f>
        <v>-2988.8868418461425</v>
      </c>
      <c r="Y68" s="15"/>
      <c r="Z68" s="19">
        <f>IF(T68=0,0,X68/T68)</f>
        <v>4.6205397439026179E-2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2"/>
      <c r="B70" s="10" t="s">
        <v>14</v>
      </c>
      <c r="C70" s="10"/>
      <c r="D70" s="4"/>
      <c r="E70" s="4"/>
      <c r="F70" s="12">
        <f>IF(D$12=0,0,D70/D$12)</f>
        <v>0</v>
      </c>
      <c r="G70" s="4"/>
      <c r="H70" s="4"/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/>
      <c r="Q70" s="4"/>
      <c r="R70" s="12">
        <f>IF(P$12=0,0,P70/P$12)</f>
        <v>0</v>
      </c>
      <c r="S70" s="4"/>
      <c r="T70" s="4"/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6" t="s">
        <v>4</v>
      </c>
      <c r="C72" s="26"/>
      <c r="D72" s="32">
        <f>+D68-D70</f>
        <v>-67675.849999999991</v>
      </c>
      <c r="E72" s="13"/>
      <c r="F72" s="31">
        <f>IF(D$12=0,0,D72/D$12)</f>
        <v>0</v>
      </c>
      <c r="G72" s="13"/>
      <c r="H72" s="32">
        <f>+H68-H70</f>
        <v>-64686.963158153849</v>
      </c>
      <c r="I72" s="13"/>
      <c r="J72" s="31">
        <f>IF(H$12=0,0,H72/H$12)</f>
        <v>0</v>
      </c>
      <c r="K72" s="15"/>
      <c r="L72" s="32">
        <f>D72-H72</f>
        <v>-2988.8868418461425</v>
      </c>
      <c r="M72" s="15"/>
      <c r="N72" s="31">
        <f>IF(H72=0,0,L72/H72)</f>
        <v>4.6205397439026179E-2</v>
      </c>
      <c r="O72" s="25"/>
      <c r="P72" s="32">
        <f>+P68-P70</f>
        <v>-67675.849999999991</v>
      </c>
      <c r="Q72" s="13"/>
      <c r="R72" s="31">
        <f>IF(P$12=0,0,P72/P$12)</f>
        <v>0</v>
      </c>
      <c r="S72" s="13"/>
      <c r="T72" s="32">
        <f>+T68-T70</f>
        <v>-64686.963158153849</v>
      </c>
      <c r="U72" s="13"/>
      <c r="V72" s="31">
        <f>IF(T$12=0,0,T72/T$12)</f>
        <v>0</v>
      </c>
      <c r="W72" s="15"/>
      <c r="X72" s="32">
        <f>P72-T72</f>
        <v>-2988.8868418461425</v>
      </c>
      <c r="Y72" s="15"/>
      <c r="Z72" s="31">
        <f>IF(T72=0,0,X72/T72)</f>
        <v>4.6205397439026179E-2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5</v>
      </c>
      <c r="C75" s="26"/>
      <c r="D75" s="33">
        <f>SUM(D72:D74)</f>
        <v>-67675.849999999991</v>
      </c>
      <c r="E75" s="13"/>
      <c r="F75" s="34">
        <f>IF(D$12=0,0,D75/D$12)</f>
        <v>0</v>
      </c>
      <c r="G75" s="13"/>
      <c r="H75" s="33">
        <f>SUM(H72:H74)</f>
        <v>-64686.963158153849</v>
      </c>
      <c r="I75" s="13"/>
      <c r="J75" s="34">
        <f>IF(H$12=0,0,H75/H$12)</f>
        <v>0</v>
      </c>
      <c r="K75" s="15"/>
      <c r="L75" s="33">
        <f>+D75-H75</f>
        <v>-2988.8868418461425</v>
      </c>
      <c r="M75" s="15"/>
      <c r="N75" s="34">
        <f>IF(H75=0,0,L75/H75)</f>
        <v>4.6205397439026179E-2</v>
      </c>
      <c r="O75" s="25"/>
      <c r="P75" s="33">
        <f>SUM(P72:P74)</f>
        <v>-67675.849999999991</v>
      </c>
      <c r="Q75" s="13"/>
      <c r="R75" s="34">
        <f>IF(P$12=0,0,P75/P$12)</f>
        <v>0</v>
      </c>
      <c r="S75" s="13"/>
      <c r="T75" s="33">
        <f>SUM(T72:T74)</f>
        <v>-64686.963158153849</v>
      </c>
      <c r="U75" s="13"/>
      <c r="V75" s="34">
        <f>IF(T$12=0,0,T75/T$12)</f>
        <v>0</v>
      </c>
      <c r="W75" s="15"/>
      <c r="X75" s="33">
        <f>+P75-T75</f>
        <v>-2988.8868418461425</v>
      </c>
      <c r="Y75" s="15"/>
      <c r="Z75" s="34">
        <f>IF(T75=0,0,X75/T75)</f>
        <v>4.6205397439026179E-2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A77" s="9"/>
      <c r="B77" s="61">
        <v>43726.678463159726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56" t="s">
        <v>314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3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","205", " - ", "Maintenance")</f>
        <v>Department 205 - Maintenance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8181.91</v>
      </c>
      <c r="E18" s="20"/>
      <c r="F18" s="30">
        <f t="shared" ref="F18:F28" si="0">IF(D$12=0,0,D18/D$12)</f>
        <v>0</v>
      </c>
      <c r="G18" s="20"/>
      <c r="H18" s="20">
        <f>SUM(OSRRefH22x_0)</f>
        <v>13457.386306673085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-5275.4763066730848</v>
      </c>
      <c r="M18" s="4"/>
      <c r="N18" s="30">
        <f t="shared" ref="N18:N28" si="3">IF(H18=0,0,L18/H18)</f>
        <v>-0.39201344053392789</v>
      </c>
      <c r="O18" s="10"/>
      <c r="P18" s="20">
        <f>SUM(OSRRefP22x_0)</f>
        <v>8181.91</v>
      </c>
      <c r="Q18" s="20"/>
      <c r="R18" s="30">
        <f t="shared" ref="R18:R28" si="4">IF(P$12=0,0,P18/P$12)</f>
        <v>0</v>
      </c>
      <c r="S18" s="20"/>
      <c r="T18" s="20">
        <f>SUM(OSRRefT22x_0)</f>
        <v>13457.386306673085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-5275.4763066730848</v>
      </c>
      <c r="Y18" s="4"/>
      <c r="Z18" s="30">
        <f t="shared" ref="Z18:Z28" si="7">IF(T18=0,0,X18/T18)</f>
        <v>-0.39201344053392789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3583.46</v>
      </c>
      <c r="E19" s="1"/>
      <c r="F19" s="5">
        <f t="shared" si="0"/>
        <v>0</v>
      </c>
      <c r="G19" s="1"/>
      <c r="H19" s="1">
        <f>SUM(OSRRefH22_0x_0)</f>
        <v>2665.227902826924</v>
      </c>
      <c r="I19" s="1"/>
      <c r="J19" s="5">
        <f t="shared" si="1"/>
        <v>0</v>
      </c>
      <c r="K19" s="1"/>
      <c r="L19" s="1">
        <f t="shared" si="2"/>
        <v>918.232097173076</v>
      </c>
      <c r="M19" s="1"/>
      <c r="N19" s="5">
        <f t="shared" si="3"/>
        <v>0.34452291910914479</v>
      </c>
      <c r="O19" s="14"/>
      <c r="P19" s="1">
        <f>SUM(OSRRefP22_0x_0)</f>
        <v>3583.46</v>
      </c>
      <c r="Q19" s="1"/>
      <c r="R19" s="5">
        <f t="shared" si="4"/>
        <v>0</v>
      </c>
      <c r="S19" s="1"/>
      <c r="T19" s="1">
        <f>SUM(OSRRefT22_0x_0)</f>
        <v>2665.227902826924</v>
      </c>
      <c r="U19" s="1"/>
      <c r="V19" s="5">
        <f t="shared" si="5"/>
        <v>0</v>
      </c>
      <c r="W19" s="1"/>
      <c r="X19" s="1">
        <f t="shared" si="6"/>
        <v>918.232097173076</v>
      </c>
      <c r="Y19" s="1"/>
      <c r="Z19" s="5">
        <f t="shared" si="7"/>
        <v>0.34452291910914479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316.26</v>
      </c>
      <c r="E20" s="2"/>
      <c r="F20" s="6">
        <f t="shared" si="0"/>
        <v>0</v>
      </c>
      <c r="G20" s="2"/>
      <c r="H20" s="7">
        <v>401.75438994230797</v>
      </c>
      <c r="I20" s="2"/>
      <c r="J20" s="6">
        <f t="shared" si="1"/>
        <v>0</v>
      </c>
      <c r="K20" s="2"/>
      <c r="L20" s="7">
        <f t="shared" si="2"/>
        <v>-85.494389942307976</v>
      </c>
      <c r="M20" s="2"/>
      <c r="N20" s="6">
        <f t="shared" si="3"/>
        <v>-0.21280262788064366</v>
      </c>
      <c r="O20" s="11"/>
      <c r="P20" s="7">
        <v>316.26</v>
      </c>
      <c r="Q20" s="2"/>
      <c r="R20" s="6">
        <f t="shared" si="4"/>
        <v>0</v>
      </c>
      <c r="S20" s="2"/>
      <c r="T20" s="7">
        <v>401.75438994230797</v>
      </c>
      <c r="U20" s="2"/>
      <c r="V20" s="6">
        <f t="shared" si="5"/>
        <v>0</v>
      </c>
      <c r="W20" s="2"/>
      <c r="X20" s="7">
        <f t="shared" si="6"/>
        <v>-85.494389942307976</v>
      </c>
      <c r="Y20" s="2"/>
      <c r="Z20" s="6">
        <f t="shared" si="7"/>
        <v>-0.21280262788064366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279.89</v>
      </c>
      <c r="E21" s="2"/>
      <c r="F21" s="6">
        <f t="shared" si="0"/>
        <v>0</v>
      </c>
      <c r="G21" s="2"/>
      <c r="H21" s="7">
        <v>355.40013326923099</v>
      </c>
      <c r="I21" s="2"/>
      <c r="J21" s="6">
        <f t="shared" si="1"/>
        <v>0</v>
      </c>
      <c r="K21" s="2"/>
      <c r="L21" s="7">
        <f t="shared" si="2"/>
        <v>-75.510133269231005</v>
      </c>
      <c r="M21" s="2"/>
      <c r="N21" s="6">
        <f t="shared" si="3"/>
        <v>-0.21246512367520359</v>
      </c>
      <c r="O21" s="11"/>
      <c r="P21" s="7">
        <v>279.89</v>
      </c>
      <c r="Q21" s="2"/>
      <c r="R21" s="6">
        <f t="shared" si="4"/>
        <v>0</v>
      </c>
      <c r="S21" s="2"/>
      <c r="T21" s="7">
        <v>355.40013326923099</v>
      </c>
      <c r="U21" s="2"/>
      <c r="V21" s="6">
        <f t="shared" si="5"/>
        <v>0</v>
      </c>
      <c r="W21" s="2"/>
      <c r="X21" s="7">
        <f t="shared" si="6"/>
        <v>-75.510133269231005</v>
      </c>
      <c r="Y21" s="2"/>
      <c r="Z21" s="6">
        <f t="shared" si="7"/>
        <v>-0.21246512367520359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695.14</v>
      </c>
      <c r="E22" s="2"/>
      <c r="F22" s="6">
        <f t="shared" si="0"/>
        <v>0</v>
      </c>
      <c r="G22" s="2"/>
      <c r="H22" s="7">
        <v>663</v>
      </c>
      <c r="I22" s="2"/>
      <c r="J22" s="6">
        <f t="shared" si="1"/>
        <v>0</v>
      </c>
      <c r="K22" s="2"/>
      <c r="L22" s="7">
        <f t="shared" si="2"/>
        <v>32.139999999999986</v>
      </c>
      <c r="M22" s="2"/>
      <c r="N22" s="6">
        <f t="shared" si="3"/>
        <v>4.847662141779787E-2</v>
      </c>
      <c r="O22" s="11"/>
      <c r="P22" s="7">
        <v>695.14</v>
      </c>
      <c r="Q22" s="2"/>
      <c r="R22" s="6">
        <f t="shared" si="4"/>
        <v>0</v>
      </c>
      <c r="S22" s="2"/>
      <c r="T22" s="7">
        <v>663</v>
      </c>
      <c r="U22" s="2"/>
      <c r="V22" s="6">
        <f t="shared" si="5"/>
        <v>0</v>
      </c>
      <c r="W22" s="2"/>
      <c r="X22" s="7">
        <f t="shared" si="6"/>
        <v>32.139999999999986</v>
      </c>
      <c r="Y22" s="2"/>
      <c r="Z22" s="6">
        <f t="shared" si="7"/>
        <v>4.847662141779787E-2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10.75</v>
      </c>
      <c r="E23" s="2"/>
      <c r="F23" s="6">
        <f t="shared" si="0"/>
        <v>0</v>
      </c>
      <c r="G23" s="2"/>
      <c r="H23" s="7">
        <v>13.649044999999999</v>
      </c>
      <c r="I23" s="2"/>
      <c r="J23" s="6">
        <f t="shared" si="1"/>
        <v>0</v>
      </c>
      <c r="K23" s="2"/>
      <c r="L23" s="7">
        <f t="shared" si="2"/>
        <v>-2.8990449999999992</v>
      </c>
      <c r="M23" s="2"/>
      <c r="N23" s="6">
        <f t="shared" si="3"/>
        <v>-0.21239910924170879</v>
      </c>
      <c r="O23" s="11"/>
      <c r="P23" s="7">
        <v>10.75</v>
      </c>
      <c r="Q23" s="2"/>
      <c r="R23" s="6">
        <f t="shared" si="4"/>
        <v>0</v>
      </c>
      <c r="S23" s="2"/>
      <c r="T23" s="7">
        <v>13.649044999999999</v>
      </c>
      <c r="U23" s="2"/>
      <c r="V23" s="6">
        <f t="shared" si="5"/>
        <v>0</v>
      </c>
      <c r="W23" s="2"/>
      <c r="X23" s="7">
        <f t="shared" si="6"/>
        <v>-2.8990449999999992</v>
      </c>
      <c r="Y23" s="2"/>
      <c r="Z23" s="6">
        <f t="shared" si="7"/>
        <v>-0.21239910924170879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429.26</v>
      </c>
      <c r="E24" s="2"/>
      <c r="F24" s="6">
        <f t="shared" si="0"/>
        <v>0</v>
      </c>
      <c r="G24" s="2"/>
      <c r="H24" s="7">
        <v>451.46841153846202</v>
      </c>
      <c r="I24" s="2"/>
      <c r="J24" s="6">
        <f t="shared" si="1"/>
        <v>0</v>
      </c>
      <c r="K24" s="2"/>
      <c r="L24" s="7">
        <f t="shared" si="2"/>
        <v>-22.20841153846203</v>
      </c>
      <c r="M24" s="2"/>
      <c r="N24" s="6">
        <f t="shared" si="3"/>
        <v>-4.9191507026555337E-2</v>
      </c>
      <c r="O24" s="11"/>
      <c r="P24" s="7">
        <v>429.26</v>
      </c>
      <c r="Q24" s="2"/>
      <c r="R24" s="6">
        <f t="shared" si="4"/>
        <v>0</v>
      </c>
      <c r="S24" s="2"/>
      <c r="T24" s="7">
        <v>451.46841153846202</v>
      </c>
      <c r="U24" s="2"/>
      <c r="V24" s="6">
        <f t="shared" si="5"/>
        <v>0</v>
      </c>
      <c r="W24" s="2"/>
      <c r="X24" s="7">
        <f t="shared" si="6"/>
        <v>-22.20841153846203</v>
      </c>
      <c r="Y24" s="2"/>
      <c r="Z24" s="6">
        <f t="shared" si="7"/>
        <v>-4.9191507026555337E-2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703.19</v>
      </c>
      <c r="E26" s="2"/>
      <c r="F26" s="6">
        <f t="shared" si="0"/>
        <v>0</v>
      </c>
      <c r="G26" s="2"/>
      <c r="H26" s="7">
        <v>524.96326923076901</v>
      </c>
      <c r="I26" s="2"/>
      <c r="J26" s="6">
        <f t="shared" si="1"/>
        <v>0</v>
      </c>
      <c r="K26" s="2"/>
      <c r="L26" s="7">
        <f t="shared" si="2"/>
        <v>178.22673076923104</v>
      </c>
      <c r="M26" s="2"/>
      <c r="N26" s="6">
        <f t="shared" si="3"/>
        <v>0.33950323997026965</v>
      </c>
      <c r="O26" s="11"/>
      <c r="P26" s="7">
        <v>703.19</v>
      </c>
      <c r="Q26" s="2"/>
      <c r="R26" s="6">
        <f t="shared" si="4"/>
        <v>0</v>
      </c>
      <c r="S26" s="2"/>
      <c r="T26" s="7">
        <v>524.96326923076901</v>
      </c>
      <c r="U26" s="2"/>
      <c r="V26" s="6">
        <f t="shared" si="5"/>
        <v>0</v>
      </c>
      <c r="W26" s="2"/>
      <c r="X26" s="7">
        <f t="shared" si="6"/>
        <v>178.22673076923104</v>
      </c>
      <c r="Y26" s="2"/>
      <c r="Z26" s="6">
        <f t="shared" si="7"/>
        <v>0.33950323997026965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1038.76</v>
      </c>
      <c r="E27" s="2"/>
      <c r="F27" s="6">
        <f t="shared" si="0"/>
        <v>0</v>
      </c>
      <c r="G27" s="2"/>
      <c r="H27" s="7">
        <v>104.992653846154</v>
      </c>
      <c r="I27" s="2"/>
      <c r="J27" s="6">
        <f t="shared" si="1"/>
        <v>0</v>
      </c>
      <c r="K27" s="2"/>
      <c r="L27" s="7">
        <f t="shared" si="2"/>
        <v>933.76734615384601</v>
      </c>
      <c r="M27" s="2"/>
      <c r="N27" s="6">
        <f t="shared" si="3"/>
        <v>8.8936445736679595</v>
      </c>
      <c r="O27" s="11"/>
      <c r="P27" s="7">
        <v>1038.76</v>
      </c>
      <c r="Q27" s="2"/>
      <c r="R27" s="6">
        <f t="shared" si="4"/>
        <v>0</v>
      </c>
      <c r="S27" s="2"/>
      <c r="T27" s="7">
        <v>104.992653846154</v>
      </c>
      <c r="U27" s="2"/>
      <c r="V27" s="6">
        <f t="shared" si="5"/>
        <v>0</v>
      </c>
      <c r="W27" s="2"/>
      <c r="X27" s="7">
        <f t="shared" si="6"/>
        <v>933.76734615384601</v>
      </c>
      <c r="Y27" s="2"/>
      <c r="Z27" s="6">
        <f t="shared" si="7"/>
        <v>8.8936445736679595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110.21</v>
      </c>
      <c r="E28" s="2"/>
      <c r="F28" s="6">
        <f t="shared" si="0"/>
        <v>0</v>
      </c>
      <c r="G28" s="2"/>
      <c r="H28" s="7">
        <v>150</v>
      </c>
      <c r="I28" s="2"/>
      <c r="J28" s="6">
        <f t="shared" si="1"/>
        <v>0</v>
      </c>
      <c r="K28" s="2"/>
      <c r="L28" s="7">
        <f t="shared" si="2"/>
        <v>-39.790000000000006</v>
      </c>
      <c r="M28" s="2"/>
      <c r="N28" s="6">
        <f t="shared" si="3"/>
        <v>-0.26526666666666671</v>
      </c>
      <c r="O28" s="11"/>
      <c r="P28" s="7">
        <v>110.21</v>
      </c>
      <c r="Q28" s="2"/>
      <c r="R28" s="6">
        <f t="shared" si="4"/>
        <v>0</v>
      </c>
      <c r="S28" s="2"/>
      <c r="T28" s="7">
        <v>150</v>
      </c>
      <c r="U28" s="2"/>
      <c r="V28" s="6">
        <f t="shared" si="5"/>
        <v>0</v>
      </c>
      <c r="W28" s="2"/>
      <c r="X28" s="7">
        <f t="shared" si="6"/>
        <v>-39.790000000000006</v>
      </c>
      <c r="Y28" s="2"/>
      <c r="Z28" s="6">
        <f t="shared" si="7"/>
        <v>-0.26526666666666671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3359.86</v>
      </c>
      <c r="E29" s="1"/>
      <c r="F29" s="5">
        <f t="shared" ref="F29:F39" si="8">IF(D$12=0,0,D29/D$12)</f>
        <v>0</v>
      </c>
      <c r="G29" s="1"/>
      <c r="H29" s="1">
        <f>SUM(OSRRefH22_1x_0)</f>
        <v>4882.1584038461606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-1522.2984038461605</v>
      </c>
      <c r="M29" s="1"/>
      <c r="N29" s="5">
        <f t="shared" ref="N29:N39" si="11">IF(H29=0,0,L29/H29)</f>
        <v>-0.31180848262663802</v>
      </c>
      <c r="O29" s="14"/>
      <c r="P29" s="1">
        <f>SUM(OSRRefP22_1x_0)</f>
        <v>3359.86</v>
      </c>
      <c r="Q29" s="1"/>
      <c r="R29" s="5">
        <f t="shared" ref="R29:R39" si="12">IF(P$12=0,0,P29/P$12)</f>
        <v>0</v>
      </c>
      <c r="S29" s="1"/>
      <c r="T29" s="1">
        <f>SUM(OSRRefT22_1x_0)</f>
        <v>4882.1584038461606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-1522.2984038461605</v>
      </c>
      <c r="Y29" s="1"/>
      <c r="Z29" s="5">
        <f t="shared" ref="Z29:Z39" si="15">IF(T29=0,0,X29/T29)</f>
        <v>-0.31180848262663802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3359.86</v>
      </c>
      <c r="E31" s="2"/>
      <c r="F31" s="6">
        <f t="shared" si="8"/>
        <v>0</v>
      </c>
      <c r="G31" s="2"/>
      <c r="H31" s="7">
        <v>4882.1584038461606</v>
      </c>
      <c r="I31" s="2"/>
      <c r="J31" s="6">
        <f t="shared" si="9"/>
        <v>0</v>
      </c>
      <c r="K31" s="2"/>
      <c r="L31" s="7">
        <f t="shared" si="10"/>
        <v>-1522.2984038461605</v>
      </c>
      <c r="M31" s="2"/>
      <c r="N31" s="6">
        <f t="shared" si="11"/>
        <v>-0.31180848262663802</v>
      </c>
      <c r="O31" s="11"/>
      <c r="P31" s="7">
        <v>3359.86</v>
      </c>
      <c r="Q31" s="2"/>
      <c r="R31" s="6">
        <f t="shared" si="12"/>
        <v>0</v>
      </c>
      <c r="S31" s="2"/>
      <c r="T31" s="7">
        <v>4882.1584038461606</v>
      </c>
      <c r="U31" s="2"/>
      <c r="V31" s="6">
        <f t="shared" si="13"/>
        <v>0</v>
      </c>
      <c r="W31" s="2"/>
      <c r="X31" s="7">
        <f t="shared" si="14"/>
        <v>-1522.2984038461605</v>
      </c>
      <c r="Y31" s="2"/>
      <c r="Z31" s="6">
        <f t="shared" si="15"/>
        <v>-0.31180848262663802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8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52" si="16">IF(D$12=0,0,D40/D$12)</f>
        <v>0</v>
      </c>
      <c r="G40" s="1"/>
      <c r="H40" s="1">
        <f>SUM(OSRRefH22_2x_0)</f>
        <v>-500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500</v>
      </c>
      <c r="M40" s="1"/>
      <c r="N40" s="5">
        <f t="shared" ref="N40:N52" si="19">IF(H40=0,0,L40/H40)</f>
        <v>-1</v>
      </c>
      <c r="O40" s="14"/>
      <c r="P40" s="1">
        <f>SUM(OSRRefP22_2x_0)</f>
        <v>0</v>
      </c>
      <c r="Q40" s="1"/>
      <c r="R40" s="5">
        <f t="shared" ref="R40:R52" si="20">IF(P$12=0,0,P40/P$12)</f>
        <v>0</v>
      </c>
      <c r="S40" s="1"/>
      <c r="T40" s="1">
        <f>SUM(OSRRefT22_2x_0)</f>
        <v>-500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500</v>
      </c>
      <c r="Y40" s="1"/>
      <c r="Z40" s="5">
        <f t="shared" ref="Z40:Z52" si="23">IF(T40=0,0,X40/T40)</f>
        <v>-1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>
        <v>-500</v>
      </c>
      <c r="I41" s="2"/>
      <c r="J41" s="6">
        <f t="shared" si="17"/>
        <v>0</v>
      </c>
      <c r="K41" s="2"/>
      <c r="L41" s="7">
        <f t="shared" si="18"/>
        <v>500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-500</v>
      </c>
      <c r="U41" s="2"/>
      <c r="V41" s="6">
        <f t="shared" si="21"/>
        <v>0</v>
      </c>
      <c r="W41" s="2"/>
      <c r="X41" s="7">
        <f t="shared" si="22"/>
        <v>500</v>
      </c>
      <c r="Y41" s="2"/>
      <c r="Z41" s="6">
        <f t="shared" si="23"/>
        <v>-1</v>
      </c>
    </row>
    <row r="42" spans="1:26" s="27" customFormat="1" outlineLevel="1" collapsed="1" x14ac:dyDescent="0.25">
      <c r="A42" s="28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4"/>
      <c r="P42" s="1">
        <f>SUM(OSRRefP22_3x_0)</f>
        <v>24.56</v>
      </c>
      <c r="Q42" s="1"/>
      <c r="R42" s="5">
        <f t="shared" si="20"/>
        <v>0</v>
      </c>
      <c r="S42" s="1"/>
      <c r="T42" s="1">
        <f>SUM(OSRRefT22_3x_0)</f>
        <v>25</v>
      </c>
      <c r="U42" s="1"/>
      <c r="V42" s="5">
        <f t="shared" si="21"/>
        <v>0</v>
      </c>
      <c r="W42" s="1"/>
      <c r="X42" s="1">
        <f t="shared" si="22"/>
        <v>-0.44000000000000128</v>
      </c>
      <c r="Y42" s="1"/>
      <c r="Z42" s="5">
        <f t="shared" si="23"/>
        <v>-1.760000000000005E-2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7">
        <v>24.56</v>
      </c>
      <c r="E43" s="2"/>
      <c r="F43" s="6">
        <f t="shared" si="16"/>
        <v>0</v>
      </c>
      <c r="G43" s="2"/>
      <c r="H43" s="7">
        <v>25</v>
      </c>
      <c r="I43" s="2"/>
      <c r="J43" s="6">
        <f t="shared" si="17"/>
        <v>0</v>
      </c>
      <c r="K43" s="2"/>
      <c r="L43" s="7">
        <f t="shared" si="18"/>
        <v>-0.44000000000000128</v>
      </c>
      <c r="M43" s="2"/>
      <c r="N43" s="6">
        <f t="shared" si="19"/>
        <v>-1.760000000000005E-2</v>
      </c>
      <c r="O43" s="11"/>
      <c r="P43" s="7">
        <v>24.56</v>
      </c>
      <c r="Q43" s="2"/>
      <c r="R43" s="6">
        <f t="shared" si="20"/>
        <v>0</v>
      </c>
      <c r="S43" s="2"/>
      <c r="T43" s="7">
        <v>25</v>
      </c>
      <c r="U43" s="2"/>
      <c r="V43" s="6">
        <f t="shared" si="21"/>
        <v>0</v>
      </c>
      <c r="W43" s="2"/>
      <c r="X43" s="7">
        <f t="shared" si="22"/>
        <v>-0.44000000000000128</v>
      </c>
      <c r="Y43" s="2"/>
      <c r="Z43" s="6">
        <f t="shared" si="23"/>
        <v>-1.760000000000005E-2</v>
      </c>
    </row>
    <row r="44" spans="1:26" s="27" customFormat="1" outlineLevel="1" collapsed="1" x14ac:dyDescent="0.25">
      <c r="A44" s="28"/>
      <c r="B44" s="14" t="str">
        <f>CONCATENATE("     ","Professional Services                             ")</f>
        <v xml:space="preserve">     Professional Services 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4500</v>
      </c>
      <c r="I44" s="1"/>
      <c r="J44" s="5">
        <f t="shared" si="17"/>
        <v>0</v>
      </c>
      <c r="K44" s="1"/>
      <c r="L44" s="1">
        <f t="shared" si="18"/>
        <v>-4500</v>
      </c>
      <c r="M44" s="1"/>
      <c r="N44" s="5">
        <f t="shared" si="19"/>
        <v>-1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9"/>
      <c r="B45" s="11" t="str">
        <f>CONCATENATE("          ", "6336", " - ", "PROFESSIONAL SERVICES")</f>
        <v xml:space="preserve">          6336 - PROFESSIONAL SERVICES</v>
      </c>
      <c r="C45" s="11"/>
      <c r="D45" s="7"/>
      <c r="E45" s="2"/>
      <c r="F45" s="6">
        <f t="shared" si="16"/>
        <v>0</v>
      </c>
      <c r="G45" s="2"/>
      <c r="H45" s="7">
        <v>4500</v>
      </c>
      <c r="I45" s="2"/>
      <c r="J45" s="6">
        <f t="shared" si="17"/>
        <v>0</v>
      </c>
      <c r="K45" s="2"/>
      <c r="L45" s="7">
        <f t="shared" si="18"/>
        <v>-4500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4500</v>
      </c>
      <c r="U45" s="2"/>
      <c r="V45" s="6">
        <f t="shared" si="21"/>
        <v>0</v>
      </c>
      <c r="W45" s="2"/>
      <c r="X45" s="7">
        <f t="shared" si="22"/>
        <v>-4500</v>
      </c>
      <c r="Y45" s="2"/>
      <c r="Z45" s="6">
        <f t="shared" si="23"/>
        <v>-1</v>
      </c>
    </row>
    <row r="46" spans="1:26" s="27" customFormat="1" outlineLevel="1" collapsed="1" x14ac:dyDescent="0.25">
      <c r="A46" s="28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SUM(OSRRefD22_5x_0)</f>
        <v>1405.95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-94.049999999999955</v>
      </c>
      <c r="M46" s="1"/>
      <c r="N46" s="5">
        <f t="shared" si="19"/>
        <v>-6.2699999999999964E-2</v>
      </c>
      <c r="O46" s="14"/>
      <c r="P46" s="1">
        <f>SUM(OSRRefP22_5x_0)</f>
        <v>1405.95</v>
      </c>
      <c r="Q46" s="1"/>
      <c r="R46" s="5">
        <f t="shared" si="20"/>
        <v>0</v>
      </c>
      <c r="S46" s="1"/>
      <c r="T46" s="1">
        <f>SUM(OSRRefT22_5x_0)</f>
        <v>1500</v>
      </c>
      <c r="U46" s="1"/>
      <c r="V46" s="5">
        <f t="shared" si="21"/>
        <v>0</v>
      </c>
      <c r="W46" s="1"/>
      <c r="X46" s="1">
        <f t="shared" si="22"/>
        <v>-94.049999999999955</v>
      </c>
      <c r="Y46" s="1"/>
      <c r="Z46" s="5">
        <f t="shared" si="23"/>
        <v>-6.2699999999999964E-2</v>
      </c>
    </row>
    <row r="47" spans="1:26" s="24" customFormat="1" hidden="1" outlineLevel="2" x14ac:dyDescent="0.25">
      <c r="A47" s="29"/>
      <c r="B47" s="11" t="str">
        <f>CONCATENATE("          ", "6373", " - ", "MAINTENANCE CONTRACTS")</f>
        <v xml:space="preserve">          6373 - MAINTENANCE CONTRACTS</v>
      </c>
      <c r="C47" s="11"/>
      <c r="D47" s="7">
        <v>1405.95</v>
      </c>
      <c r="E47" s="2"/>
      <c r="F47" s="6">
        <f t="shared" si="16"/>
        <v>0</v>
      </c>
      <c r="G47" s="2"/>
      <c r="H47" s="7">
        <v>1500</v>
      </c>
      <c r="I47" s="2"/>
      <c r="J47" s="6">
        <f t="shared" si="17"/>
        <v>0</v>
      </c>
      <c r="K47" s="2"/>
      <c r="L47" s="7">
        <f t="shared" si="18"/>
        <v>-94.049999999999955</v>
      </c>
      <c r="M47" s="2"/>
      <c r="N47" s="6">
        <f t="shared" si="19"/>
        <v>-6.2699999999999964E-2</v>
      </c>
      <c r="O47" s="11"/>
      <c r="P47" s="7">
        <v>1405.95</v>
      </c>
      <c r="Q47" s="2"/>
      <c r="R47" s="6">
        <f t="shared" si="20"/>
        <v>0</v>
      </c>
      <c r="S47" s="2"/>
      <c r="T47" s="7">
        <v>1500</v>
      </c>
      <c r="U47" s="2"/>
      <c r="V47" s="6">
        <f t="shared" si="21"/>
        <v>0</v>
      </c>
      <c r="W47" s="2"/>
      <c r="X47" s="7">
        <f t="shared" si="22"/>
        <v>-94.049999999999955</v>
      </c>
      <c r="Y47" s="2"/>
      <c r="Z47" s="6">
        <f t="shared" si="23"/>
        <v>-6.2699999999999964E-2</v>
      </c>
    </row>
    <row r="48" spans="1:26" s="27" customFormat="1" outlineLevel="1" collapsed="1" x14ac:dyDescent="0.25">
      <c r="A48" s="28"/>
      <c r="B48" s="14" t="str">
        <f>CONCATENATE("     ","Services                                          ")</f>
        <v xml:space="preserve">     Services                                          </v>
      </c>
      <c r="C48" s="14"/>
      <c r="D48" s="1">
        <f>SUM(OSRRefD22_6x_0)</f>
        <v>8.84</v>
      </c>
      <c r="E48" s="1"/>
      <c r="F48" s="5">
        <f t="shared" si="16"/>
        <v>0</v>
      </c>
      <c r="G48" s="1"/>
      <c r="H48" s="1">
        <f>SUM(OSRRefH22_6x_0)</f>
        <v>10</v>
      </c>
      <c r="I48" s="1"/>
      <c r="J48" s="5">
        <f t="shared" si="17"/>
        <v>0</v>
      </c>
      <c r="K48" s="1"/>
      <c r="L48" s="1">
        <f t="shared" si="18"/>
        <v>-1.1600000000000001</v>
      </c>
      <c r="M48" s="1"/>
      <c r="N48" s="5">
        <f t="shared" si="19"/>
        <v>-0.11600000000000002</v>
      </c>
      <c r="O48" s="14"/>
      <c r="P48" s="1">
        <f>SUM(OSRRefP22_6x_0)</f>
        <v>8.84</v>
      </c>
      <c r="Q48" s="1"/>
      <c r="R48" s="5">
        <f t="shared" si="20"/>
        <v>0</v>
      </c>
      <c r="S48" s="1"/>
      <c r="T48" s="1">
        <f>SUM(OSRRefT22_6x_0)</f>
        <v>10</v>
      </c>
      <c r="U48" s="1"/>
      <c r="V48" s="5">
        <f t="shared" si="21"/>
        <v>0</v>
      </c>
      <c r="W48" s="1"/>
      <c r="X48" s="1">
        <f t="shared" si="22"/>
        <v>-1.1600000000000001</v>
      </c>
      <c r="Y48" s="1"/>
      <c r="Z48" s="5">
        <f t="shared" si="23"/>
        <v>-0.11600000000000002</v>
      </c>
    </row>
    <row r="49" spans="1:26" s="24" customFormat="1" hidden="1" outlineLevel="2" x14ac:dyDescent="0.25">
      <c r="A49" s="29"/>
      <c r="B49" s="11" t="str">
        <f>CONCATENATE("          ", "6286", " - ", "LAUNDRY EXPENSE")</f>
        <v xml:space="preserve">          6286 - LAUNDRY EXPENSE</v>
      </c>
      <c r="C49" s="11"/>
      <c r="D49" s="7">
        <v>8.84</v>
      </c>
      <c r="E49" s="2"/>
      <c r="F49" s="6">
        <f t="shared" si="16"/>
        <v>0</v>
      </c>
      <c r="G49" s="2"/>
      <c r="H49" s="7">
        <v>10</v>
      </c>
      <c r="I49" s="2"/>
      <c r="J49" s="6">
        <f t="shared" si="17"/>
        <v>0</v>
      </c>
      <c r="K49" s="2"/>
      <c r="L49" s="7">
        <f t="shared" si="18"/>
        <v>-1.1600000000000001</v>
      </c>
      <c r="M49" s="2"/>
      <c r="N49" s="6">
        <f t="shared" si="19"/>
        <v>-0.11600000000000002</v>
      </c>
      <c r="O49" s="11"/>
      <c r="P49" s="7">
        <v>8.84</v>
      </c>
      <c r="Q49" s="2"/>
      <c r="R49" s="6">
        <f t="shared" si="20"/>
        <v>0</v>
      </c>
      <c r="S49" s="2"/>
      <c r="T49" s="7">
        <v>10</v>
      </c>
      <c r="U49" s="2"/>
      <c r="V49" s="6">
        <f t="shared" si="21"/>
        <v>0</v>
      </c>
      <c r="W49" s="2"/>
      <c r="X49" s="7">
        <f t="shared" si="22"/>
        <v>-1.1600000000000001</v>
      </c>
      <c r="Y49" s="2"/>
      <c r="Z49" s="6">
        <f t="shared" si="23"/>
        <v>-0.11600000000000002</v>
      </c>
    </row>
    <row r="50" spans="1:26" s="27" customFormat="1" outlineLevel="1" collapsed="1" x14ac:dyDescent="0.25">
      <c r="A50" s="28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-225.81</v>
      </c>
      <c r="E50" s="1"/>
      <c r="F50" s="5">
        <f t="shared" si="16"/>
        <v>0</v>
      </c>
      <c r="G50" s="1"/>
      <c r="H50" s="1">
        <f>SUM(OSRRefH22_7x_0)</f>
        <v>210</v>
      </c>
      <c r="I50" s="1"/>
      <c r="J50" s="5">
        <f t="shared" si="17"/>
        <v>0</v>
      </c>
      <c r="K50" s="1"/>
      <c r="L50" s="1">
        <f t="shared" si="18"/>
        <v>-435.81</v>
      </c>
      <c r="M50" s="1"/>
      <c r="N50" s="5">
        <f t="shared" si="19"/>
        <v>-2.0752857142857142</v>
      </c>
      <c r="O50" s="14"/>
      <c r="P50" s="1">
        <f>SUM(OSRRefP22_7x_0)</f>
        <v>-225.81</v>
      </c>
      <c r="Q50" s="1"/>
      <c r="R50" s="5">
        <f t="shared" si="20"/>
        <v>0</v>
      </c>
      <c r="S50" s="1"/>
      <c r="T50" s="1">
        <f>SUM(OSRRefT22_7x_0)</f>
        <v>210</v>
      </c>
      <c r="U50" s="1"/>
      <c r="V50" s="5">
        <f t="shared" si="21"/>
        <v>0</v>
      </c>
      <c r="W50" s="1"/>
      <c r="X50" s="1">
        <f t="shared" si="22"/>
        <v>-435.81</v>
      </c>
      <c r="Y50" s="1"/>
      <c r="Z50" s="5">
        <f t="shared" si="23"/>
        <v>-2.0752857142857142</v>
      </c>
    </row>
    <row r="51" spans="1:26" s="24" customFormat="1" hidden="1" outlineLevel="2" x14ac:dyDescent="0.25">
      <c r="A51" s="29"/>
      <c r="B51" s="11" t="str">
        <f>CONCATENATE("          ", "6234", " - ", "EXPENDABLE SUPPLIES &amp; EQUIPMEN")</f>
        <v xml:space="preserve">          6234 - EXPENDABLE SUPPLIES &amp; EQUIPMEN</v>
      </c>
      <c r="C51" s="11"/>
      <c r="D51" s="7">
        <v>-225.81</v>
      </c>
      <c r="E51" s="2"/>
      <c r="F51" s="6">
        <f t="shared" si="16"/>
        <v>0</v>
      </c>
      <c r="G51" s="2"/>
      <c r="H51" s="7">
        <v>200</v>
      </c>
      <c r="I51" s="2"/>
      <c r="J51" s="6">
        <f t="shared" si="17"/>
        <v>0</v>
      </c>
      <c r="K51" s="2"/>
      <c r="L51" s="7">
        <f t="shared" si="18"/>
        <v>-425.81</v>
      </c>
      <c r="M51" s="2"/>
      <c r="N51" s="6">
        <f t="shared" si="19"/>
        <v>-2.1290499999999999</v>
      </c>
      <c r="O51" s="11"/>
      <c r="P51" s="7">
        <v>-225.81</v>
      </c>
      <c r="Q51" s="2"/>
      <c r="R51" s="6">
        <f t="shared" si="20"/>
        <v>0</v>
      </c>
      <c r="S51" s="2"/>
      <c r="T51" s="7">
        <v>200</v>
      </c>
      <c r="U51" s="2"/>
      <c r="V51" s="6">
        <f t="shared" si="21"/>
        <v>0</v>
      </c>
      <c r="W51" s="2"/>
      <c r="X51" s="7">
        <f t="shared" si="22"/>
        <v>-425.81</v>
      </c>
      <c r="Y51" s="2"/>
      <c r="Z51" s="6">
        <f t="shared" si="23"/>
        <v>-2.1290499999999999</v>
      </c>
    </row>
    <row r="52" spans="1:26" s="24" customFormat="1" hidden="1" outlineLevel="2" x14ac:dyDescent="0.25">
      <c r="A52" s="29"/>
      <c r="B52" s="11" t="str">
        <f>CONCATENATE("          ", "6241", " - ", "OFFICE EXPENSE")</f>
        <v xml:space="preserve">          6241 - OFFICE EXPENSE</v>
      </c>
      <c r="C52" s="11"/>
      <c r="D52" s="7"/>
      <c r="E52" s="2"/>
      <c r="F52" s="6">
        <f t="shared" si="16"/>
        <v>0</v>
      </c>
      <c r="G52" s="2"/>
      <c r="H52" s="7">
        <v>10</v>
      </c>
      <c r="I52" s="2"/>
      <c r="J52" s="6">
        <f t="shared" si="17"/>
        <v>0</v>
      </c>
      <c r="K52" s="2"/>
      <c r="L52" s="7">
        <f t="shared" si="18"/>
        <v>-10</v>
      </c>
      <c r="M52" s="2"/>
      <c r="N52" s="6">
        <f t="shared" si="19"/>
        <v>-1</v>
      </c>
      <c r="O52" s="11"/>
      <c r="P52" s="7"/>
      <c r="Q52" s="2"/>
      <c r="R52" s="6">
        <f t="shared" si="20"/>
        <v>0</v>
      </c>
      <c r="S52" s="2"/>
      <c r="T52" s="7">
        <v>10</v>
      </c>
      <c r="U52" s="2"/>
      <c r="V52" s="6">
        <f t="shared" si="21"/>
        <v>0</v>
      </c>
      <c r="W52" s="2"/>
      <c r="X52" s="7">
        <f t="shared" si="22"/>
        <v>-10</v>
      </c>
      <c r="Y52" s="2"/>
      <c r="Z52" s="6">
        <f t="shared" si="23"/>
        <v>-1</v>
      </c>
    </row>
    <row r="53" spans="1:26" s="27" customFormat="1" outlineLevel="1" collapsed="1" x14ac:dyDescent="0.25">
      <c r="A53" s="28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SUM(OSRRefD22_8x_0)</f>
        <v>25.05</v>
      </c>
      <c r="E53" s="1"/>
      <c r="F53" s="5">
        <f t="shared" ref="F53:F54" si="24">IF(D$12=0,0,D53/D$12)</f>
        <v>0</v>
      </c>
      <c r="G53" s="1"/>
      <c r="H53" s="1">
        <f>SUM(OSRRefH22_8x_0)</f>
        <v>165</v>
      </c>
      <c r="I53" s="1"/>
      <c r="J53" s="5">
        <f t="shared" ref="J53:J54" si="25">IF(H$12=0,0,H53/H$12)</f>
        <v>0</v>
      </c>
      <c r="K53" s="1"/>
      <c r="L53" s="1">
        <f t="shared" ref="L53:L54" si="26">+D53-H53</f>
        <v>-139.94999999999999</v>
      </c>
      <c r="M53" s="1"/>
      <c r="N53" s="5">
        <f t="shared" ref="N53:N54" si="27">IF(H53=0,0,L53/H53)</f>
        <v>-0.84818181818181815</v>
      </c>
      <c r="O53" s="14"/>
      <c r="P53" s="1">
        <f>SUM(OSRRefP22_8x_0)</f>
        <v>25.05</v>
      </c>
      <c r="Q53" s="1"/>
      <c r="R53" s="5">
        <f t="shared" ref="R53:R54" si="28">IF(P$12=0,0,P53/P$12)</f>
        <v>0</v>
      </c>
      <c r="S53" s="1"/>
      <c r="T53" s="1">
        <f>SUM(OSRRefT22_8x_0)</f>
        <v>165</v>
      </c>
      <c r="U53" s="1"/>
      <c r="V53" s="5">
        <f t="shared" ref="V53:V54" si="29">IF(T$12=0,0,T53/T$12)</f>
        <v>0</v>
      </c>
      <c r="W53" s="1"/>
      <c r="X53" s="1">
        <f t="shared" ref="X53:X54" si="30">+P53-T53</f>
        <v>-139.94999999999999</v>
      </c>
      <c r="Y53" s="1"/>
      <c r="Z53" s="5">
        <f t="shared" ref="Z53:Z54" si="31">IF(T53=0,0,X53/T53)</f>
        <v>-0.84818181818181815</v>
      </c>
    </row>
    <row r="54" spans="1:26" s="24" customFormat="1" hidden="1" outlineLevel="2" x14ac:dyDescent="0.25">
      <c r="A54" s="29"/>
      <c r="B54" s="11" t="str">
        <f>CONCATENATE("          ", "6309", " - ", "TELEPHONE")</f>
        <v xml:space="preserve">          6309 - TELEPHONE</v>
      </c>
      <c r="C54" s="11"/>
      <c r="D54" s="7">
        <v>25.05</v>
      </c>
      <c r="E54" s="2"/>
      <c r="F54" s="6">
        <f t="shared" si="24"/>
        <v>0</v>
      </c>
      <c r="G54" s="2"/>
      <c r="H54" s="7">
        <v>165</v>
      </c>
      <c r="I54" s="2"/>
      <c r="J54" s="6">
        <f t="shared" si="25"/>
        <v>0</v>
      </c>
      <c r="K54" s="2"/>
      <c r="L54" s="7">
        <f t="shared" si="26"/>
        <v>-139.94999999999999</v>
      </c>
      <c r="M54" s="2"/>
      <c r="N54" s="6">
        <f t="shared" si="27"/>
        <v>-0.84818181818181815</v>
      </c>
      <c r="O54" s="11"/>
      <c r="P54" s="7">
        <v>25.05</v>
      </c>
      <c r="Q54" s="2"/>
      <c r="R54" s="6">
        <f t="shared" si="28"/>
        <v>0</v>
      </c>
      <c r="S54" s="2"/>
      <c r="T54" s="7">
        <v>165</v>
      </c>
      <c r="U54" s="2"/>
      <c r="V54" s="6">
        <f t="shared" si="29"/>
        <v>0</v>
      </c>
      <c r="W54" s="2"/>
      <c r="X54" s="7">
        <f t="shared" si="30"/>
        <v>-139.94999999999999</v>
      </c>
      <c r="Y54" s="2"/>
      <c r="Z54" s="6">
        <f t="shared" si="31"/>
        <v>-0.84818181818181815</v>
      </c>
    </row>
    <row r="55" spans="1:26" s="57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5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6" t="s">
        <v>3</v>
      </c>
      <c r="C58" s="26"/>
      <c r="D58" s="21">
        <f>+D16-D18+D56</f>
        <v>-8181.91</v>
      </c>
      <c r="E58" s="13"/>
      <c r="F58" s="19">
        <f>IF(D$12=0,0,D58/D$12)</f>
        <v>0</v>
      </c>
      <c r="G58" s="13"/>
      <c r="H58" s="21">
        <f>+H16-H18+H56</f>
        <v>-13457.386306673085</v>
      </c>
      <c r="I58" s="13"/>
      <c r="J58" s="19">
        <f>IF(H$12=0,0,H58/H$12)</f>
        <v>0</v>
      </c>
      <c r="K58" s="15"/>
      <c r="L58" s="21">
        <f>+D58-H58</f>
        <v>5275.4763066730848</v>
      </c>
      <c r="M58" s="15"/>
      <c r="N58" s="19">
        <f>IF(H58=0,0,L58/H58)</f>
        <v>-0.39201344053392789</v>
      </c>
      <c r="O58" s="25"/>
      <c r="P58" s="21">
        <f>+P16-P18+P56</f>
        <v>-8181.91</v>
      </c>
      <c r="Q58" s="13"/>
      <c r="R58" s="19">
        <f>IF(P$12=0,0,P58/P$12)</f>
        <v>0</v>
      </c>
      <c r="S58" s="13"/>
      <c r="T58" s="21">
        <f>+T16-T18+T56</f>
        <v>-13457.386306673085</v>
      </c>
      <c r="U58" s="13"/>
      <c r="V58" s="19">
        <f>IF(T$12=0,0,T58/T$12)</f>
        <v>0</v>
      </c>
      <c r="W58" s="15"/>
      <c r="X58" s="21">
        <f>+P58-T58</f>
        <v>5275.4763066730848</v>
      </c>
      <c r="Y58" s="15"/>
      <c r="Z58" s="19">
        <f>IF(T58=0,0,X58/T58)</f>
        <v>-0.39201344053392789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14</v>
      </c>
      <c r="C60" s="10"/>
      <c r="D60" s="4"/>
      <c r="E60" s="4"/>
      <c r="F60" s="12">
        <f>IF(D$12=0,0,D60/D$12)</f>
        <v>0</v>
      </c>
      <c r="G60" s="4"/>
      <c r="H60" s="4"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6" t="s">
        <v>4</v>
      </c>
      <c r="C62" s="26"/>
      <c r="D62" s="32">
        <f>+D58-D60</f>
        <v>-8181.91</v>
      </c>
      <c r="E62" s="13"/>
      <c r="F62" s="31">
        <f>IF(D$12=0,0,D62/D$12)</f>
        <v>0</v>
      </c>
      <c r="G62" s="13"/>
      <c r="H62" s="32">
        <f>+H58-H60</f>
        <v>-13457.386306673085</v>
      </c>
      <c r="I62" s="13"/>
      <c r="J62" s="31">
        <f>IF(H$12=0,0,H62/H$12)</f>
        <v>0</v>
      </c>
      <c r="K62" s="15"/>
      <c r="L62" s="32">
        <f>D62-H62</f>
        <v>5275.4763066730848</v>
      </c>
      <c r="M62" s="15"/>
      <c r="N62" s="31">
        <f>IF(H62=0,0,L62/H62)</f>
        <v>-0.39201344053392789</v>
      </c>
      <c r="O62" s="25"/>
      <c r="P62" s="32">
        <f>+P58-P60</f>
        <v>-8181.91</v>
      </c>
      <c r="Q62" s="13"/>
      <c r="R62" s="31">
        <f>IF(P$12=0,0,P62/P$12)</f>
        <v>0</v>
      </c>
      <c r="S62" s="13"/>
      <c r="T62" s="32">
        <f>+T58-T60</f>
        <v>-13457.386306673085</v>
      </c>
      <c r="U62" s="13"/>
      <c r="V62" s="31">
        <f>IF(T$12=0,0,T62/T$12)</f>
        <v>0</v>
      </c>
      <c r="W62" s="15"/>
      <c r="X62" s="32">
        <f>P62-T62</f>
        <v>5275.4763066730848</v>
      </c>
      <c r="Y62" s="15"/>
      <c r="Z62" s="31">
        <f>IF(T62=0,0,X62/T62)</f>
        <v>-0.39201344053392789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6" t="s">
        <v>5</v>
      </c>
      <c r="C65" s="26"/>
      <c r="D65" s="33">
        <f>SUM(D62:D64)</f>
        <v>-8181.91</v>
      </c>
      <c r="E65" s="13"/>
      <c r="F65" s="34">
        <f>IF(D$12=0,0,D65/D$12)</f>
        <v>0</v>
      </c>
      <c r="G65" s="13"/>
      <c r="H65" s="33">
        <f>SUM(H62:H64)</f>
        <v>-13457.386306673085</v>
      </c>
      <c r="I65" s="13"/>
      <c r="J65" s="34">
        <f>IF(H$12=0,0,H65/H$12)</f>
        <v>0</v>
      </c>
      <c r="K65" s="15"/>
      <c r="L65" s="33">
        <f>+D65-H65</f>
        <v>5275.4763066730848</v>
      </c>
      <c r="M65" s="15"/>
      <c r="N65" s="34">
        <f>IF(H65=0,0,L65/H65)</f>
        <v>-0.39201344053392789</v>
      </c>
      <c r="O65" s="25"/>
      <c r="P65" s="33">
        <f>SUM(P62:P64)</f>
        <v>-8181.91</v>
      </c>
      <c r="Q65" s="13"/>
      <c r="R65" s="34">
        <f>IF(P$12=0,0,P65/P$12)</f>
        <v>0</v>
      </c>
      <c r="S65" s="13"/>
      <c r="T65" s="33">
        <f>SUM(T62:T64)</f>
        <v>-13457.386306673085</v>
      </c>
      <c r="U65" s="13"/>
      <c r="V65" s="34">
        <f>IF(T$12=0,0,T65/T$12)</f>
        <v>0</v>
      </c>
      <c r="W65" s="15"/>
      <c r="X65" s="33">
        <f>+P65-T65</f>
        <v>5275.4763066730848</v>
      </c>
      <c r="Y65" s="15"/>
      <c r="Z65" s="34">
        <f>IF(T65=0,0,X65/T65)</f>
        <v>-0.39201344053392789</v>
      </c>
    </row>
    <row r="66" spans="1:26" ht="15.75" thickTop="1" x14ac:dyDescent="0.25">
      <c r="A66" s="9"/>
      <c r="C66" s="9"/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6" x14ac:dyDescent="0.25">
      <c r="A67" s="9"/>
      <c r="B67" s="61">
        <v>43726.678479317132</v>
      </c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6" x14ac:dyDescent="0.25">
      <c r="A68" s="9"/>
      <c r="B68" s="56" t="s">
        <v>314</v>
      </c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25">
      <c r="A69" s="9"/>
      <c r="B69" s="53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H29" sqref="H29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","206", " - ", "Graphics")</f>
        <v>Department 206 - Graphics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7059.57</v>
      </c>
      <c r="E18" s="20"/>
      <c r="F18" s="30">
        <f t="shared" ref="F18:F28" si="0">IF(D$12=0,0,D18/D$12)</f>
        <v>0</v>
      </c>
      <c r="G18" s="20"/>
      <c r="H18" s="20">
        <f>SUM(OSRRefH22x_0)</f>
        <v>16192.390736895002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-9132.8207368950025</v>
      </c>
      <c r="M18" s="4"/>
      <c r="N18" s="30">
        <f t="shared" ref="N18:N28" si="3">IF(H18=0,0,L18/H18)</f>
        <v>-0.56401929062182954</v>
      </c>
      <c r="O18" s="10"/>
      <c r="P18" s="20">
        <f>SUM(OSRRefP22x_0)</f>
        <v>7059.57</v>
      </c>
      <c r="Q18" s="20"/>
      <c r="R18" s="30">
        <f t="shared" ref="R18:R28" si="4">IF(P$12=0,0,P18/P$12)</f>
        <v>0</v>
      </c>
      <c r="S18" s="20"/>
      <c r="T18" s="20">
        <f>SUM(OSRRefT22x_0)</f>
        <v>16192.390736895002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-9132.8207368950025</v>
      </c>
      <c r="Y18" s="4"/>
      <c r="Z18" s="30">
        <f t="shared" ref="Z18:Z28" si="7">IF(T18=0,0,X18/T18)</f>
        <v>-0.56401929062182954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2001.5</v>
      </c>
      <c r="E19" s="1"/>
      <c r="F19" s="5">
        <f t="shared" si="0"/>
        <v>0</v>
      </c>
      <c r="G19" s="1"/>
      <c r="H19" s="1">
        <f>SUM(OSRRefH22_0x_0)</f>
        <v>6049.2163868950001</v>
      </c>
      <c r="I19" s="1"/>
      <c r="J19" s="5">
        <f t="shared" si="1"/>
        <v>0</v>
      </c>
      <c r="K19" s="1"/>
      <c r="L19" s="1">
        <f t="shared" si="2"/>
        <v>-4047.7163868950001</v>
      </c>
      <c r="M19" s="1"/>
      <c r="N19" s="5">
        <f t="shared" si="3"/>
        <v>-0.6691306985916321</v>
      </c>
      <c r="O19" s="14"/>
      <c r="P19" s="1">
        <f>SUM(OSRRefP22_0x_0)</f>
        <v>2001.5</v>
      </c>
      <c r="Q19" s="1"/>
      <c r="R19" s="5">
        <f t="shared" si="4"/>
        <v>0</v>
      </c>
      <c r="S19" s="1"/>
      <c r="T19" s="1">
        <f>SUM(OSRRefT22_0x_0)</f>
        <v>6049.2163868950001</v>
      </c>
      <c r="U19" s="1"/>
      <c r="V19" s="5">
        <f t="shared" si="5"/>
        <v>0</v>
      </c>
      <c r="W19" s="1"/>
      <c r="X19" s="1">
        <f t="shared" si="6"/>
        <v>-4047.7163868950001</v>
      </c>
      <c r="Y19" s="1"/>
      <c r="Z19" s="5">
        <f t="shared" si="7"/>
        <v>-0.6691306985916321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692.89</v>
      </c>
      <c r="E20" s="2"/>
      <c r="F20" s="6">
        <f t="shared" si="0"/>
        <v>0</v>
      </c>
      <c r="G20" s="2"/>
      <c r="H20" s="7">
        <v>1061.315858895</v>
      </c>
      <c r="I20" s="2"/>
      <c r="J20" s="6">
        <f t="shared" si="1"/>
        <v>0</v>
      </c>
      <c r="K20" s="2"/>
      <c r="L20" s="7">
        <f t="shared" si="2"/>
        <v>-368.42585889500003</v>
      </c>
      <c r="M20" s="2"/>
      <c r="N20" s="6">
        <f t="shared" si="3"/>
        <v>-0.34714063283534691</v>
      </c>
      <c r="O20" s="11"/>
      <c r="P20" s="7">
        <v>692.89</v>
      </c>
      <c r="Q20" s="2"/>
      <c r="R20" s="6">
        <f t="shared" si="4"/>
        <v>0</v>
      </c>
      <c r="S20" s="2"/>
      <c r="T20" s="7">
        <v>1061.315858895</v>
      </c>
      <c r="U20" s="2"/>
      <c r="V20" s="6">
        <f t="shared" si="5"/>
        <v>0</v>
      </c>
      <c r="W20" s="2"/>
      <c r="X20" s="7">
        <f t="shared" si="6"/>
        <v>-368.42585889500003</v>
      </c>
      <c r="Y20" s="2"/>
      <c r="Z20" s="6">
        <f t="shared" si="7"/>
        <v>-0.34714063283534691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30.11</v>
      </c>
      <c r="E21" s="2"/>
      <c r="F21" s="6">
        <f t="shared" si="0"/>
        <v>0</v>
      </c>
      <c r="G21" s="2"/>
      <c r="H21" s="7">
        <v>59.348603099999998</v>
      </c>
      <c r="I21" s="2"/>
      <c r="J21" s="6">
        <f t="shared" si="1"/>
        <v>0</v>
      </c>
      <c r="K21" s="2"/>
      <c r="L21" s="7">
        <f t="shared" si="2"/>
        <v>-29.238603099999999</v>
      </c>
      <c r="M21" s="2"/>
      <c r="N21" s="6">
        <f t="shared" si="3"/>
        <v>-0.4926586570324854</v>
      </c>
      <c r="O21" s="11"/>
      <c r="P21" s="7">
        <v>30.11</v>
      </c>
      <c r="Q21" s="2"/>
      <c r="R21" s="6">
        <f t="shared" si="4"/>
        <v>0</v>
      </c>
      <c r="S21" s="2"/>
      <c r="T21" s="7">
        <v>59.348603099999998</v>
      </c>
      <c r="U21" s="2"/>
      <c r="V21" s="6">
        <f t="shared" si="5"/>
        <v>0</v>
      </c>
      <c r="W21" s="2"/>
      <c r="X21" s="7">
        <f t="shared" si="6"/>
        <v>-29.238603099999999</v>
      </c>
      <c r="Y21" s="2"/>
      <c r="Z21" s="6">
        <f t="shared" si="7"/>
        <v>-0.4926586570324854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700.91</v>
      </c>
      <c r="E22" s="2"/>
      <c r="F22" s="6">
        <f t="shared" si="0"/>
        <v>0</v>
      </c>
      <c r="G22" s="2"/>
      <c r="H22" s="7">
        <v>2742</v>
      </c>
      <c r="I22" s="2"/>
      <c r="J22" s="6">
        <f t="shared" si="1"/>
        <v>0</v>
      </c>
      <c r="K22" s="2"/>
      <c r="L22" s="7">
        <f t="shared" si="2"/>
        <v>-2041.0900000000001</v>
      </c>
      <c r="M22" s="2"/>
      <c r="N22" s="6">
        <f t="shared" si="3"/>
        <v>-0.74438001458789216</v>
      </c>
      <c r="O22" s="11"/>
      <c r="P22" s="7">
        <v>700.91</v>
      </c>
      <c r="Q22" s="2"/>
      <c r="R22" s="6">
        <f t="shared" si="4"/>
        <v>0</v>
      </c>
      <c r="S22" s="2"/>
      <c r="T22" s="7">
        <v>2742</v>
      </c>
      <c r="U22" s="2"/>
      <c r="V22" s="6">
        <f t="shared" si="5"/>
        <v>0</v>
      </c>
      <c r="W22" s="2"/>
      <c r="X22" s="7">
        <f t="shared" si="6"/>
        <v>-2041.0900000000001</v>
      </c>
      <c r="Y22" s="2"/>
      <c r="Z22" s="6">
        <f t="shared" si="7"/>
        <v>-0.74438001458789216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23.02</v>
      </c>
      <c r="E23" s="2"/>
      <c r="F23" s="6">
        <f t="shared" si="0"/>
        <v>0</v>
      </c>
      <c r="G23" s="2"/>
      <c r="H23" s="7">
        <v>45.384225899999997</v>
      </c>
      <c r="I23" s="2"/>
      <c r="J23" s="6">
        <f t="shared" si="1"/>
        <v>0</v>
      </c>
      <c r="K23" s="2"/>
      <c r="L23" s="7">
        <f t="shared" si="2"/>
        <v>-22.364225899999997</v>
      </c>
      <c r="M23" s="2"/>
      <c r="N23" s="6">
        <f t="shared" si="3"/>
        <v>-0.49277530808341935</v>
      </c>
      <c r="O23" s="11"/>
      <c r="P23" s="7">
        <v>23.02</v>
      </c>
      <c r="Q23" s="2"/>
      <c r="R23" s="6">
        <f t="shared" si="4"/>
        <v>0</v>
      </c>
      <c r="S23" s="2"/>
      <c r="T23" s="7">
        <v>45.384225899999997</v>
      </c>
      <c r="U23" s="2"/>
      <c r="V23" s="6">
        <f t="shared" si="5"/>
        <v>0</v>
      </c>
      <c r="W23" s="2"/>
      <c r="X23" s="7">
        <f t="shared" si="6"/>
        <v>-22.364225899999997</v>
      </c>
      <c r="Y23" s="2"/>
      <c r="Z23" s="6">
        <f t="shared" si="7"/>
        <v>-0.49277530808341935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749.74554899999998</v>
      </c>
      <c r="I24" s="2"/>
      <c r="J24" s="6">
        <f t="shared" si="1"/>
        <v>0</v>
      </c>
      <c r="K24" s="2"/>
      <c r="L24" s="7">
        <f t="shared" si="2"/>
        <v>-749.74554899999998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749.74554899999998</v>
      </c>
      <c r="U24" s="2"/>
      <c r="V24" s="6">
        <f t="shared" si="5"/>
        <v>0</v>
      </c>
      <c r="W24" s="2"/>
      <c r="X24" s="7">
        <f t="shared" si="6"/>
        <v>-749.74554899999998</v>
      </c>
      <c r="Y24" s="2"/>
      <c r="Z24" s="6">
        <f t="shared" si="7"/>
        <v>-1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184.8</v>
      </c>
      <c r="E26" s="2"/>
      <c r="F26" s="6">
        <f t="shared" si="0"/>
        <v>0</v>
      </c>
      <c r="G26" s="2"/>
      <c r="H26" s="7">
        <v>693.39857500000005</v>
      </c>
      <c r="I26" s="2"/>
      <c r="J26" s="6">
        <f t="shared" si="1"/>
        <v>0</v>
      </c>
      <c r="K26" s="2"/>
      <c r="L26" s="7">
        <f t="shared" si="2"/>
        <v>-508.59857500000004</v>
      </c>
      <c r="M26" s="2"/>
      <c r="N26" s="6">
        <f t="shared" si="3"/>
        <v>-0.73348661698648576</v>
      </c>
      <c r="O26" s="11"/>
      <c r="P26" s="7">
        <v>184.8</v>
      </c>
      <c r="Q26" s="2"/>
      <c r="R26" s="6">
        <f t="shared" si="4"/>
        <v>0</v>
      </c>
      <c r="S26" s="2"/>
      <c r="T26" s="7">
        <v>693.39857500000005</v>
      </c>
      <c r="U26" s="2"/>
      <c r="V26" s="6">
        <f t="shared" si="5"/>
        <v>0</v>
      </c>
      <c r="W26" s="2"/>
      <c r="X26" s="7">
        <f t="shared" si="6"/>
        <v>-508.59857500000004</v>
      </c>
      <c r="Y26" s="2"/>
      <c r="Z26" s="6">
        <f t="shared" si="7"/>
        <v>-0.73348661698648576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221.4</v>
      </c>
      <c r="E27" s="2"/>
      <c r="F27" s="6">
        <f t="shared" si="0"/>
        <v>0</v>
      </c>
      <c r="G27" s="2"/>
      <c r="H27" s="7">
        <v>698.02357500000005</v>
      </c>
      <c r="I27" s="2"/>
      <c r="J27" s="6">
        <f t="shared" si="1"/>
        <v>0</v>
      </c>
      <c r="K27" s="2"/>
      <c r="L27" s="7">
        <f t="shared" si="2"/>
        <v>-476.62357500000007</v>
      </c>
      <c r="M27" s="2"/>
      <c r="N27" s="6">
        <f t="shared" si="3"/>
        <v>-0.68281873574255714</v>
      </c>
      <c r="O27" s="11"/>
      <c r="P27" s="7">
        <v>221.4</v>
      </c>
      <c r="Q27" s="2"/>
      <c r="R27" s="6">
        <f t="shared" si="4"/>
        <v>0</v>
      </c>
      <c r="S27" s="2"/>
      <c r="T27" s="7">
        <v>698.02357500000005</v>
      </c>
      <c r="U27" s="2"/>
      <c r="V27" s="6">
        <f t="shared" si="5"/>
        <v>0</v>
      </c>
      <c r="W27" s="2"/>
      <c r="X27" s="7">
        <f t="shared" si="6"/>
        <v>-476.62357500000007</v>
      </c>
      <c r="Y27" s="2"/>
      <c r="Z27" s="6">
        <f t="shared" si="7"/>
        <v>-0.68281873574255714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148.37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148.37</v>
      </c>
      <c r="M28" s="2"/>
      <c r="N28" s="6">
        <f t="shared" si="3"/>
        <v>0</v>
      </c>
      <c r="O28" s="11"/>
      <c r="P28" s="7">
        <v>148.37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148.37</v>
      </c>
      <c r="Y28" s="2"/>
      <c r="Z28" s="6">
        <f t="shared" si="7"/>
        <v>0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11623.14</v>
      </c>
      <c r="E29" s="1"/>
      <c r="F29" s="5">
        <f t="shared" ref="F29:F39" si="8">IF(D$12=0,0,D29/D$12)</f>
        <v>0</v>
      </c>
      <c r="G29" s="1"/>
      <c r="H29" s="1">
        <f>SUM(OSRRefH22_1x_0)</f>
        <v>16429.174350000001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-4806.0343500000017</v>
      </c>
      <c r="M29" s="1"/>
      <c r="N29" s="5">
        <f t="shared" ref="N29:N39" si="11">IF(H29=0,0,L29/H29)</f>
        <v>-0.29253048556271494</v>
      </c>
      <c r="O29" s="14"/>
      <c r="P29" s="1">
        <f>SUM(OSRRefP22_1x_0)</f>
        <v>11623.14</v>
      </c>
      <c r="Q29" s="1"/>
      <c r="R29" s="5">
        <f t="shared" ref="R29:R39" si="12">IF(P$12=0,0,P29/P$12)</f>
        <v>0</v>
      </c>
      <c r="S29" s="1"/>
      <c r="T29" s="1">
        <f>SUM(OSRRefT22_1x_0)</f>
        <v>16429.174350000001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-4806.0343500000017</v>
      </c>
      <c r="Y29" s="1"/>
      <c r="Z29" s="5">
        <f t="shared" ref="Z29:Z39" si="15">IF(T29=0,0,X29/T29)</f>
        <v>-0.29253048556271494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7846.1743500000002</v>
      </c>
      <c r="I30" s="2"/>
      <c r="J30" s="6">
        <f t="shared" si="9"/>
        <v>0</v>
      </c>
      <c r="K30" s="2"/>
      <c r="L30" s="7">
        <f t="shared" si="10"/>
        <v>-7846.1743500000002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7846.1743500000002</v>
      </c>
      <c r="U30" s="2"/>
      <c r="V30" s="6">
        <f t="shared" si="13"/>
        <v>0</v>
      </c>
      <c r="W30" s="2"/>
      <c r="X30" s="7">
        <f t="shared" si="14"/>
        <v>-7846.1743500000002</v>
      </c>
      <c r="Y30" s="2"/>
      <c r="Z30" s="6">
        <f t="shared" si="15"/>
        <v>-1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>
        <v>5355</v>
      </c>
      <c r="E33" s="2"/>
      <c r="F33" s="6">
        <f t="shared" si="8"/>
        <v>0</v>
      </c>
      <c r="G33" s="2"/>
      <c r="H33" s="7">
        <v>4995.5</v>
      </c>
      <c r="I33" s="2"/>
      <c r="J33" s="6">
        <f t="shared" si="9"/>
        <v>0</v>
      </c>
      <c r="K33" s="2"/>
      <c r="L33" s="7">
        <f t="shared" si="10"/>
        <v>359.5</v>
      </c>
      <c r="M33" s="2"/>
      <c r="N33" s="6">
        <f t="shared" si="11"/>
        <v>7.1964768291462311E-2</v>
      </c>
      <c r="O33" s="11"/>
      <c r="P33" s="7">
        <v>5355</v>
      </c>
      <c r="Q33" s="2"/>
      <c r="R33" s="6">
        <f t="shared" si="12"/>
        <v>0</v>
      </c>
      <c r="S33" s="2"/>
      <c r="T33" s="7">
        <v>4995.5</v>
      </c>
      <c r="U33" s="2"/>
      <c r="V33" s="6">
        <f t="shared" si="13"/>
        <v>0</v>
      </c>
      <c r="W33" s="2"/>
      <c r="X33" s="7">
        <f t="shared" si="14"/>
        <v>359.5</v>
      </c>
      <c r="Y33" s="2"/>
      <c r="Z33" s="6">
        <f t="shared" si="15"/>
        <v>7.1964768291462311E-2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>
        <v>708.75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708.75</v>
      </c>
      <c r="M35" s="2"/>
      <c r="N35" s="6">
        <f t="shared" si="11"/>
        <v>0</v>
      </c>
      <c r="O35" s="11"/>
      <c r="P35" s="7">
        <v>708.75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708.75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5559.39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5559.39</v>
      </c>
      <c r="M36" s="2"/>
      <c r="N36" s="6">
        <f t="shared" si="11"/>
        <v>0</v>
      </c>
      <c r="O36" s="11"/>
      <c r="P36" s="7">
        <v>5559.39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5559.39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3587.5</v>
      </c>
      <c r="I37" s="2"/>
      <c r="J37" s="6">
        <f t="shared" si="9"/>
        <v>0</v>
      </c>
      <c r="K37" s="2"/>
      <c r="L37" s="7">
        <f t="shared" si="10"/>
        <v>-3587.5</v>
      </c>
      <c r="M37" s="2"/>
      <c r="N37" s="6">
        <f t="shared" si="11"/>
        <v>-1</v>
      </c>
      <c r="O37" s="11"/>
      <c r="P37" s="7"/>
      <c r="Q37" s="2"/>
      <c r="R37" s="6">
        <f t="shared" si="12"/>
        <v>0</v>
      </c>
      <c r="S37" s="2"/>
      <c r="T37" s="7">
        <v>3587.5</v>
      </c>
      <c r="U37" s="2"/>
      <c r="V37" s="6">
        <f t="shared" si="13"/>
        <v>0</v>
      </c>
      <c r="W37" s="2"/>
      <c r="X37" s="7">
        <f t="shared" si="14"/>
        <v>-3587.5</v>
      </c>
      <c r="Y37" s="2"/>
      <c r="Z37" s="6">
        <f t="shared" si="15"/>
        <v>-1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-7282.4</v>
      </c>
      <c r="E40" s="1"/>
      <c r="F40" s="5">
        <f t="shared" ref="F40:F50" si="16">IF(D$12=0,0,D40/D$12)</f>
        <v>0</v>
      </c>
      <c r="G40" s="1"/>
      <c r="H40" s="1">
        <f>SUM(OSRRefH22_2x_0)</f>
        <v>-9000</v>
      </c>
      <c r="I40" s="1"/>
      <c r="J40" s="5">
        <f t="shared" ref="J40:J50" si="17">IF(H$12=0,0,H40/H$12)</f>
        <v>0</v>
      </c>
      <c r="K40" s="1"/>
      <c r="L40" s="1">
        <f t="shared" ref="L40:L50" si="18">+D40-H40</f>
        <v>1717.6000000000004</v>
      </c>
      <c r="M40" s="1"/>
      <c r="N40" s="5">
        <f t="shared" ref="N40:N50" si="19">IF(H40=0,0,L40/H40)</f>
        <v>-0.19084444444444448</v>
      </c>
      <c r="O40" s="14"/>
      <c r="P40" s="1">
        <f>SUM(OSRRefP22_2x_0)</f>
        <v>-7282.4</v>
      </c>
      <c r="Q40" s="1"/>
      <c r="R40" s="5">
        <f t="shared" ref="R40:R50" si="20">IF(P$12=0,0,P40/P$12)</f>
        <v>0</v>
      </c>
      <c r="S40" s="1"/>
      <c r="T40" s="1">
        <f>SUM(OSRRefT22_2x_0)</f>
        <v>-9000</v>
      </c>
      <c r="U40" s="1"/>
      <c r="V40" s="5">
        <f t="shared" ref="V40:V50" si="21">IF(T$12=0,0,T40/T$12)</f>
        <v>0</v>
      </c>
      <c r="W40" s="1"/>
      <c r="X40" s="1">
        <f t="shared" ref="X40:X50" si="22">+P40-T40</f>
        <v>1717.6000000000004</v>
      </c>
      <c r="Y40" s="1"/>
      <c r="Z40" s="5">
        <f t="shared" ref="Z40:Z50" si="23">IF(T40=0,0,X40/T40)</f>
        <v>-0.19084444444444448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>
        <v>-7282.4</v>
      </c>
      <c r="E41" s="2"/>
      <c r="F41" s="6">
        <f t="shared" si="16"/>
        <v>0</v>
      </c>
      <c r="G41" s="2"/>
      <c r="H41" s="7">
        <v>-9000</v>
      </c>
      <c r="I41" s="2"/>
      <c r="J41" s="6">
        <f t="shared" si="17"/>
        <v>0</v>
      </c>
      <c r="K41" s="2"/>
      <c r="L41" s="7">
        <f t="shared" si="18"/>
        <v>1717.6000000000004</v>
      </c>
      <c r="M41" s="2"/>
      <c r="N41" s="6">
        <f t="shared" si="19"/>
        <v>-0.19084444444444448</v>
      </c>
      <c r="O41" s="11"/>
      <c r="P41" s="7">
        <v>-7282.4</v>
      </c>
      <c r="Q41" s="2"/>
      <c r="R41" s="6">
        <f t="shared" si="20"/>
        <v>0</v>
      </c>
      <c r="S41" s="2"/>
      <c r="T41" s="7">
        <v>-9000</v>
      </c>
      <c r="U41" s="2"/>
      <c r="V41" s="6">
        <f t="shared" si="21"/>
        <v>0</v>
      </c>
      <c r="W41" s="2"/>
      <c r="X41" s="7">
        <f t="shared" si="22"/>
        <v>1717.6000000000004</v>
      </c>
      <c r="Y41" s="2"/>
      <c r="Z41" s="6">
        <f t="shared" si="23"/>
        <v>-0.19084444444444448</v>
      </c>
    </row>
    <row r="42" spans="1:26" s="27" customFormat="1" outlineLevel="1" collapsed="1" x14ac:dyDescent="0.25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295.67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6.6700000000000159</v>
      </c>
      <c r="M42" s="1"/>
      <c r="N42" s="5">
        <f t="shared" si="19"/>
        <v>2.3079584775086561E-2</v>
      </c>
      <c r="O42" s="14"/>
      <c r="P42" s="1">
        <f>SUM(OSRRefP22_3x_0)</f>
        <v>295.67</v>
      </c>
      <c r="Q42" s="1"/>
      <c r="R42" s="5">
        <f t="shared" si="20"/>
        <v>0</v>
      </c>
      <c r="S42" s="1"/>
      <c r="T42" s="1">
        <f>SUM(OSRRefT22_3x_0)</f>
        <v>289</v>
      </c>
      <c r="U42" s="1"/>
      <c r="V42" s="5">
        <f t="shared" si="21"/>
        <v>0</v>
      </c>
      <c r="W42" s="1"/>
      <c r="X42" s="1">
        <f t="shared" si="22"/>
        <v>6.6700000000000159</v>
      </c>
      <c r="Y42" s="1"/>
      <c r="Z42" s="5">
        <f t="shared" si="23"/>
        <v>2.3079584775086561E-2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295.67</v>
      </c>
      <c r="E43" s="2"/>
      <c r="F43" s="6">
        <f t="shared" si="16"/>
        <v>0</v>
      </c>
      <c r="G43" s="2"/>
      <c r="H43" s="7">
        <v>289</v>
      </c>
      <c r="I43" s="2"/>
      <c r="J43" s="6">
        <f t="shared" si="17"/>
        <v>0</v>
      </c>
      <c r="K43" s="2"/>
      <c r="L43" s="7">
        <f t="shared" si="18"/>
        <v>6.6700000000000159</v>
      </c>
      <c r="M43" s="2"/>
      <c r="N43" s="6">
        <f t="shared" si="19"/>
        <v>2.3079584775086561E-2</v>
      </c>
      <c r="O43" s="11"/>
      <c r="P43" s="7">
        <v>295.67</v>
      </c>
      <c r="Q43" s="2"/>
      <c r="R43" s="6">
        <f t="shared" si="20"/>
        <v>0</v>
      </c>
      <c r="S43" s="2"/>
      <c r="T43" s="7">
        <v>289</v>
      </c>
      <c r="U43" s="2"/>
      <c r="V43" s="6">
        <f t="shared" si="21"/>
        <v>0</v>
      </c>
      <c r="W43" s="2"/>
      <c r="X43" s="7">
        <f t="shared" si="22"/>
        <v>6.6700000000000159</v>
      </c>
      <c r="Y43" s="2"/>
      <c r="Z43" s="6">
        <f t="shared" si="23"/>
        <v>2.3079584775086561E-2</v>
      </c>
    </row>
    <row r="44" spans="1:26" s="27" customFormat="1" outlineLevel="1" collapsed="1" x14ac:dyDescent="0.25">
      <c r="A44" s="28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-200</v>
      </c>
      <c r="M44" s="1"/>
      <c r="N44" s="5">
        <f t="shared" si="19"/>
        <v>-1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200</v>
      </c>
      <c r="U44" s="1"/>
      <c r="V44" s="5">
        <f t="shared" si="21"/>
        <v>0</v>
      </c>
      <c r="W44" s="1"/>
      <c r="X44" s="1">
        <f t="shared" si="22"/>
        <v>-200</v>
      </c>
      <c r="Y44" s="1"/>
      <c r="Z44" s="5">
        <f t="shared" si="23"/>
        <v>-1</v>
      </c>
    </row>
    <row r="45" spans="1:26" s="24" customFormat="1" hidden="1" outlineLevel="2" x14ac:dyDescent="0.25">
      <c r="A45" s="29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>
        <v>200</v>
      </c>
      <c r="I45" s="2"/>
      <c r="J45" s="6">
        <f t="shared" si="17"/>
        <v>0</v>
      </c>
      <c r="K45" s="2"/>
      <c r="L45" s="7">
        <f t="shared" si="18"/>
        <v>-200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200</v>
      </c>
      <c r="U45" s="2"/>
      <c r="V45" s="6">
        <f t="shared" si="21"/>
        <v>0</v>
      </c>
      <c r="W45" s="2"/>
      <c r="X45" s="7">
        <f t="shared" si="22"/>
        <v>-200</v>
      </c>
      <c r="Y45" s="2"/>
      <c r="Z45" s="6">
        <f t="shared" si="23"/>
        <v>-1</v>
      </c>
    </row>
    <row r="46" spans="1:26" s="27" customFormat="1" outlineLevel="1" collapsed="1" x14ac:dyDescent="0.25">
      <c r="A46" s="28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400</v>
      </c>
      <c r="I46" s="1"/>
      <c r="J46" s="5">
        <f t="shared" si="17"/>
        <v>0</v>
      </c>
      <c r="K46" s="1"/>
      <c r="L46" s="1">
        <f t="shared" si="18"/>
        <v>-400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400</v>
      </c>
      <c r="U46" s="1"/>
      <c r="V46" s="5">
        <f t="shared" si="21"/>
        <v>0</v>
      </c>
      <c r="W46" s="1"/>
      <c r="X46" s="1">
        <f t="shared" si="22"/>
        <v>-400</v>
      </c>
      <c r="Y46" s="1"/>
      <c r="Z46" s="5">
        <f t="shared" si="23"/>
        <v>-1</v>
      </c>
    </row>
    <row r="47" spans="1:26" s="24" customFormat="1" hidden="1" outlineLevel="2" x14ac:dyDescent="0.25">
      <c r="A47" s="29"/>
      <c r="B47" s="11" t="str">
        <f>CONCATENATE("          ", "6371", " - ", "COMPUTER SOFTWARE MAINTENANCE")</f>
        <v xml:space="preserve">          6371 - COMPUTER SOFTWARE MAINTENANCE</v>
      </c>
      <c r="C47" s="11"/>
      <c r="D47" s="7"/>
      <c r="E47" s="2"/>
      <c r="F47" s="6">
        <f t="shared" si="16"/>
        <v>0</v>
      </c>
      <c r="G47" s="2"/>
      <c r="H47" s="7">
        <v>400</v>
      </c>
      <c r="I47" s="2"/>
      <c r="J47" s="6">
        <f t="shared" si="17"/>
        <v>0</v>
      </c>
      <c r="K47" s="2"/>
      <c r="L47" s="7">
        <f t="shared" si="18"/>
        <v>-400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400</v>
      </c>
      <c r="U47" s="2"/>
      <c r="V47" s="6">
        <f t="shared" si="21"/>
        <v>0</v>
      </c>
      <c r="W47" s="2"/>
      <c r="X47" s="7">
        <f t="shared" si="22"/>
        <v>-400</v>
      </c>
      <c r="Y47" s="2"/>
      <c r="Z47" s="6">
        <f t="shared" si="23"/>
        <v>-1</v>
      </c>
    </row>
    <row r="48" spans="1:26" s="27" customFormat="1" outlineLevel="1" collapsed="1" x14ac:dyDescent="0.25">
      <c r="A48" s="28"/>
      <c r="B48" s="14" t="str">
        <f>CONCATENATE("     ","Supplies                                          ")</f>
        <v xml:space="preserve">     Supplies                                          </v>
      </c>
      <c r="C48" s="14"/>
      <c r="D48" s="1">
        <f>SUM(OSRRefD22_6x_0)</f>
        <v>427.36</v>
      </c>
      <c r="E48" s="1"/>
      <c r="F48" s="5">
        <f t="shared" si="16"/>
        <v>0</v>
      </c>
      <c r="G48" s="1"/>
      <c r="H48" s="1">
        <f>SUM(OSRRefH22_6x_0)</f>
        <v>975</v>
      </c>
      <c r="I48" s="1"/>
      <c r="J48" s="5">
        <f t="shared" si="17"/>
        <v>0</v>
      </c>
      <c r="K48" s="1"/>
      <c r="L48" s="1">
        <f t="shared" si="18"/>
        <v>-547.64</v>
      </c>
      <c r="M48" s="1"/>
      <c r="N48" s="5">
        <f t="shared" si="19"/>
        <v>-0.56168205128205129</v>
      </c>
      <c r="O48" s="14"/>
      <c r="P48" s="1">
        <f>SUM(OSRRefP22_6x_0)</f>
        <v>427.36</v>
      </c>
      <c r="Q48" s="1"/>
      <c r="R48" s="5">
        <f t="shared" si="20"/>
        <v>0</v>
      </c>
      <c r="S48" s="1"/>
      <c r="T48" s="1">
        <f>SUM(OSRRefT22_6x_0)</f>
        <v>975</v>
      </c>
      <c r="U48" s="1"/>
      <c r="V48" s="5">
        <f t="shared" si="21"/>
        <v>0</v>
      </c>
      <c r="W48" s="1"/>
      <c r="X48" s="1">
        <f t="shared" si="22"/>
        <v>-547.64</v>
      </c>
      <c r="Y48" s="1"/>
      <c r="Z48" s="5">
        <f t="shared" si="23"/>
        <v>-0.56168205128205129</v>
      </c>
    </row>
    <row r="49" spans="1:26" s="24" customFormat="1" hidden="1" outlineLevel="2" x14ac:dyDescent="0.25">
      <c r="A49" s="29"/>
      <c r="B49" s="11" t="str">
        <f>CONCATENATE("          ", "6241", " - ", "OFFICE EXPENSE")</f>
        <v xml:space="preserve">          6241 - OFFICE EXPENSE</v>
      </c>
      <c r="C49" s="11"/>
      <c r="D49" s="7">
        <v>80.94</v>
      </c>
      <c r="E49" s="2"/>
      <c r="F49" s="6">
        <f t="shared" si="16"/>
        <v>0</v>
      </c>
      <c r="G49" s="2"/>
      <c r="H49" s="7">
        <v>975</v>
      </c>
      <c r="I49" s="2"/>
      <c r="J49" s="6">
        <f t="shared" si="17"/>
        <v>0</v>
      </c>
      <c r="K49" s="2"/>
      <c r="L49" s="7">
        <f t="shared" si="18"/>
        <v>-894.06</v>
      </c>
      <c r="M49" s="2"/>
      <c r="N49" s="6">
        <f t="shared" si="19"/>
        <v>-0.91698461538461529</v>
      </c>
      <c r="O49" s="11"/>
      <c r="P49" s="7">
        <v>80.94</v>
      </c>
      <c r="Q49" s="2"/>
      <c r="R49" s="6">
        <f t="shared" si="20"/>
        <v>0</v>
      </c>
      <c r="S49" s="2"/>
      <c r="T49" s="7">
        <v>975</v>
      </c>
      <c r="U49" s="2"/>
      <c r="V49" s="6">
        <f t="shared" si="21"/>
        <v>0</v>
      </c>
      <c r="W49" s="2"/>
      <c r="X49" s="7">
        <f t="shared" si="22"/>
        <v>-894.06</v>
      </c>
      <c r="Y49" s="2"/>
      <c r="Z49" s="6">
        <f t="shared" si="23"/>
        <v>-0.91698461538461529</v>
      </c>
    </row>
    <row r="50" spans="1:26" s="24" customFormat="1" hidden="1" outlineLevel="2" x14ac:dyDescent="0.25">
      <c r="A50" s="29"/>
      <c r="B50" s="11" t="str">
        <f>CONCATENATE("          ", "6245", " - ", "PRINTING")</f>
        <v xml:space="preserve">          6245 - PRINTING</v>
      </c>
      <c r="C50" s="11"/>
      <c r="D50" s="7">
        <v>346.42</v>
      </c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346.42</v>
      </c>
      <c r="M50" s="2"/>
      <c r="N50" s="6">
        <f t="shared" si="19"/>
        <v>0</v>
      </c>
      <c r="O50" s="11"/>
      <c r="P50" s="7">
        <v>346.42</v>
      </c>
      <c r="Q50" s="2"/>
      <c r="R50" s="6">
        <f t="shared" si="20"/>
        <v>0</v>
      </c>
      <c r="S50" s="2"/>
      <c r="T50" s="7"/>
      <c r="U50" s="2"/>
      <c r="V50" s="6">
        <f t="shared" si="21"/>
        <v>0</v>
      </c>
      <c r="W50" s="2"/>
      <c r="X50" s="7">
        <f t="shared" si="22"/>
        <v>346.42</v>
      </c>
      <c r="Y50" s="2"/>
      <c r="Z50" s="6">
        <f t="shared" si="23"/>
        <v>0</v>
      </c>
    </row>
    <row r="51" spans="1:26" s="27" customFormat="1" outlineLevel="1" collapsed="1" x14ac:dyDescent="0.25">
      <c r="A51" s="28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SUM(OSRRefD22_7x_0)</f>
        <v>-5.7</v>
      </c>
      <c r="E51" s="1"/>
      <c r="F51" s="5">
        <f t="shared" ref="F51:F56" si="24">IF(D$12=0,0,D51/D$12)</f>
        <v>0</v>
      </c>
      <c r="G51" s="1"/>
      <c r="H51" s="1">
        <f>SUM(OSRRefH22_7x_0)</f>
        <v>150</v>
      </c>
      <c r="I51" s="1"/>
      <c r="J51" s="5">
        <f t="shared" ref="J51:J56" si="25">IF(H$12=0,0,H51/H$12)</f>
        <v>0</v>
      </c>
      <c r="K51" s="1"/>
      <c r="L51" s="1">
        <f t="shared" ref="L51:L56" si="26">+D51-H51</f>
        <v>-155.69999999999999</v>
      </c>
      <c r="M51" s="1"/>
      <c r="N51" s="5">
        <f t="shared" ref="N51:N56" si="27">IF(H51=0,0,L51/H51)</f>
        <v>-1.038</v>
      </c>
      <c r="O51" s="14"/>
      <c r="P51" s="1">
        <f>SUM(OSRRefP22_7x_0)</f>
        <v>-5.7</v>
      </c>
      <c r="Q51" s="1"/>
      <c r="R51" s="5">
        <f t="shared" ref="R51:R56" si="28">IF(P$12=0,0,P51/P$12)</f>
        <v>0</v>
      </c>
      <c r="S51" s="1"/>
      <c r="T51" s="1">
        <f>SUM(OSRRefT22_7x_0)</f>
        <v>150</v>
      </c>
      <c r="U51" s="1"/>
      <c r="V51" s="5">
        <f t="shared" ref="V51:V56" si="29">IF(T$12=0,0,T51/T$12)</f>
        <v>0</v>
      </c>
      <c r="W51" s="1"/>
      <c r="X51" s="1">
        <f t="shared" ref="X51:X56" si="30">+P51-T51</f>
        <v>-155.69999999999999</v>
      </c>
      <c r="Y51" s="1"/>
      <c r="Z51" s="5">
        <f t="shared" ref="Z51:Z56" si="31">IF(T51=0,0,X51/T51)</f>
        <v>-1.038</v>
      </c>
    </row>
    <row r="52" spans="1:26" s="24" customFormat="1" hidden="1" outlineLevel="2" x14ac:dyDescent="0.25">
      <c r="A52" s="29"/>
      <c r="B52" s="11" t="str">
        <f>CONCATENATE("          ", "6309", " - ", "TELEPHONE")</f>
        <v xml:space="preserve">          6309 - TELEPHONE</v>
      </c>
      <c r="C52" s="11"/>
      <c r="D52" s="7">
        <v>-5.7</v>
      </c>
      <c r="E52" s="2"/>
      <c r="F52" s="6">
        <f t="shared" si="24"/>
        <v>0</v>
      </c>
      <c r="G52" s="2"/>
      <c r="H52" s="7">
        <v>150</v>
      </c>
      <c r="I52" s="2"/>
      <c r="J52" s="6">
        <f t="shared" si="25"/>
        <v>0</v>
      </c>
      <c r="K52" s="2"/>
      <c r="L52" s="7">
        <f t="shared" si="26"/>
        <v>-155.69999999999999</v>
      </c>
      <c r="M52" s="2"/>
      <c r="N52" s="6">
        <f t="shared" si="27"/>
        <v>-1.038</v>
      </c>
      <c r="O52" s="11"/>
      <c r="P52" s="7">
        <v>-5.7</v>
      </c>
      <c r="Q52" s="2"/>
      <c r="R52" s="6">
        <f t="shared" si="28"/>
        <v>0</v>
      </c>
      <c r="S52" s="2"/>
      <c r="T52" s="7">
        <v>150</v>
      </c>
      <c r="U52" s="2"/>
      <c r="V52" s="6">
        <f t="shared" si="29"/>
        <v>0</v>
      </c>
      <c r="W52" s="2"/>
      <c r="X52" s="7">
        <f t="shared" si="30"/>
        <v>-155.69999999999999</v>
      </c>
      <c r="Y52" s="2"/>
      <c r="Z52" s="6">
        <f t="shared" si="31"/>
        <v>-1.038</v>
      </c>
    </row>
    <row r="53" spans="1:26" s="27" customFormat="1" outlineLevel="1" collapsed="1" x14ac:dyDescent="0.25">
      <c r="A53" s="28"/>
      <c r="B53" s="14" t="str">
        <f>CONCATENATE("     ","Training                                          ")</f>
        <v xml:space="preserve">     Training                                          </v>
      </c>
      <c r="C53" s="14"/>
      <c r="D53" s="1">
        <f>SUM(OSRRefD22_8x_0)</f>
        <v>0</v>
      </c>
      <c r="E53" s="1"/>
      <c r="F53" s="5">
        <f t="shared" si="24"/>
        <v>0</v>
      </c>
      <c r="G53" s="1"/>
      <c r="H53" s="1">
        <f>SUM(OSRRefH22_8x_0)</f>
        <v>200</v>
      </c>
      <c r="I53" s="1"/>
      <c r="J53" s="5">
        <f t="shared" si="25"/>
        <v>0</v>
      </c>
      <c r="K53" s="1"/>
      <c r="L53" s="1">
        <f t="shared" si="26"/>
        <v>-200</v>
      </c>
      <c r="M53" s="1"/>
      <c r="N53" s="5">
        <f t="shared" si="27"/>
        <v>-1</v>
      </c>
      <c r="O53" s="14"/>
      <c r="P53" s="1">
        <f>SUM(OSRRefP22_8x_0)</f>
        <v>0</v>
      </c>
      <c r="Q53" s="1"/>
      <c r="R53" s="5">
        <f t="shared" si="28"/>
        <v>0</v>
      </c>
      <c r="S53" s="1"/>
      <c r="T53" s="1">
        <f>SUM(OSRRefT22_8x_0)</f>
        <v>200</v>
      </c>
      <c r="U53" s="1"/>
      <c r="V53" s="5">
        <f t="shared" si="29"/>
        <v>0</v>
      </c>
      <c r="W53" s="1"/>
      <c r="X53" s="1">
        <f t="shared" si="30"/>
        <v>-200</v>
      </c>
      <c r="Y53" s="1"/>
      <c r="Z53" s="5">
        <f t="shared" si="31"/>
        <v>-1</v>
      </c>
    </row>
    <row r="54" spans="1:26" s="24" customFormat="1" hidden="1" outlineLevel="2" x14ac:dyDescent="0.25">
      <c r="A54" s="29"/>
      <c r="B54" s="11" t="str">
        <f>CONCATENATE("          ", "6376", " - ", "TRAINING")</f>
        <v xml:space="preserve">          6376 - TRAINING</v>
      </c>
      <c r="C54" s="11"/>
      <c r="D54" s="7"/>
      <c r="E54" s="2"/>
      <c r="F54" s="6">
        <f t="shared" si="24"/>
        <v>0</v>
      </c>
      <c r="G54" s="2"/>
      <c r="H54" s="7">
        <v>200</v>
      </c>
      <c r="I54" s="2"/>
      <c r="J54" s="6">
        <f t="shared" si="25"/>
        <v>0</v>
      </c>
      <c r="K54" s="2"/>
      <c r="L54" s="7">
        <f t="shared" si="26"/>
        <v>-200</v>
      </c>
      <c r="M54" s="2"/>
      <c r="N54" s="6">
        <f t="shared" si="27"/>
        <v>-1</v>
      </c>
      <c r="O54" s="11"/>
      <c r="P54" s="7"/>
      <c r="Q54" s="2"/>
      <c r="R54" s="6">
        <f t="shared" si="28"/>
        <v>0</v>
      </c>
      <c r="S54" s="2"/>
      <c r="T54" s="7">
        <v>200</v>
      </c>
      <c r="U54" s="2"/>
      <c r="V54" s="6">
        <f t="shared" si="29"/>
        <v>0</v>
      </c>
      <c r="W54" s="2"/>
      <c r="X54" s="7">
        <f t="shared" si="30"/>
        <v>-200</v>
      </c>
      <c r="Y54" s="2"/>
      <c r="Z54" s="6">
        <f t="shared" si="31"/>
        <v>-1</v>
      </c>
    </row>
    <row r="55" spans="1:26" s="27" customFormat="1" outlineLevel="1" collapsed="1" x14ac:dyDescent="0.25">
      <c r="A55" s="28"/>
      <c r="B55" s="14" t="str">
        <f>CONCATENATE("     ","Travel                                            ")</f>
        <v xml:space="preserve">     Travel                                            </v>
      </c>
      <c r="C55" s="14"/>
      <c r="D55" s="1">
        <f>SUM(OSRRefD22_9x_0)</f>
        <v>0</v>
      </c>
      <c r="E55" s="1"/>
      <c r="F55" s="5">
        <f t="shared" si="24"/>
        <v>0</v>
      </c>
      <c r="G55" s="1"/>
      <c r="H55" s="1">
        <f>SUM(OSRRefH22_9x_0)</f>
        <v>500</v>
      </c>
      <c r="I55" s="1"/>
      <c r="J55" s="5">
        <f t="shared" si="25"/>
        <v>0</v>
      </c>
      <c r="K55" s="1"/>
      <c r="L55" s="1">
        <f t="shared" si="26"/>
        <v>-500</v>
      </c>
      <c r="M55" s="1"/>
      <c r="N55" s="5">
        <f t="shared" si="27"/>
        <v>-1</v>
      </c>
      <c r="O55" s="14"/>
      <c r="P55" s="1">
        <f>SUM(OSRRefP22_9x_0)</f>
        <v>0</v>
      </c>
      <c r="Q55" s="1"/>
      <c r="R55" s="5">
        <f t="shared" si="28"/>
        <v>0</v>
      </c>
      <c r="S55" s="1"/>
      <c r="T55" s="1">
        <f>SUM(OSRRefT22_9x_0)</f>
        <v>500</v>
      </c>
      <c r="U55" s="1"/>
      <c r="V55" s="5">
        <f t="shared" si="29"/>
        <v>0</v>
      </c>
      <c r="W55" s="1"/>
      <c r="X55" s="1">
        <f t="shared" si="30"/>
        <v>-500</v>
      </c>
      <c r="Y55" s="1"/>
      <c r="Z55" s="5">
        <f t="shared" si="31"/>
        <v>-1</v>
      </c>
    </row>
    <row r="56" spans="1:26" s="24" customFormat="1" hidden="1" outlineLevel="2" x14ac:dyDescent="0.25">
      <c r="A56" s="29"/>
      <c r="B56" s="11" t="str">
        <f>CONCATENATE("          ", "6292", " - ", "TRAVEL/CONFERENCE")</f>
        <v xml:space="preserve">          6292 - TRAVEL/CONFERENCE</v>
      </c>
      <c r="C56" s="11"/>
      <c r="D56" s="7"/>
      <c r="E56" s="2"/>
      <c r="F56" s="6">
        <f t="shared" si="24"/>
        <v>0</v>
      </c>
      <c r="G56" s="2"/>
      <c r="H56" s="7">
        <v>500</v>
      </c>
      <c r="I56" s="2"/>
      <c r="J56" s="6">
        <f t="shared" si="25"/>
        <v>0</v>
      </c>
      <c r="K56" s="2"/>
      <c r="L56" s="7">
        <f t="shared" si="26"/>
        <v>-500</v>
      </c>
      <c r="M56" s="2"/>
      <c r="N56" s="6">
        <f t="shared" si="27"/>
        <v>-1</v>
      </c>
      <c r="O56" s="11"/>
      <c r="P56" s="7"/>
      <c r="Q56" s="2"/>
      <c r="R56" s="6">
        <f t="shared" si="28"/>
        <v>0</v>
      </c>
      <c r="S56" s="2"/>
      <c r="T56" s="7">
        <v>500</v>
      </c>
      <c r="U56" s="2"/>
      <c r="V56" s="6">
        <f t="shared" si="29"/>
        <v>0</v>
      </c>
      <c r="W56" s="2"/>
      <c r="X56" s="7">
        <f t="shared" si="30"/>
        <v>-500</v>
      </c>
      <c r="Y56" s="2"/>
      <c r="Z56" s="6">
        <f t="shared" si="31"/>
        <v>-1</v>
      </c>
    </row>
    <row r="57" spans="1:26" s="57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5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6" t="s">
        <v>3</v>
      </c>
      <c r="C60" s="26"/>
      <c r="D60" s="21">
        <f>+D16-D18+D58</f>
        <v>-7059.57</v>
      </c>
      <c r="E60" s="13"/>
      <c r="F60" s="19">
        <f>IF(D$12=0,0,D60/D$12)</f>
        <v>0</v>
      </c>
      <c r="G60" s="13"/>
      <c r="H60" s="21">
        <f>+H16-H18+H58</f>
        <v>-16192.390736895002</v>
      </c>
      <c r="I60" s="13"/>
      <c r="J60" s="19">
        <f>IF(H$12=0,0,H60/H$12)</f>
        <v>0</v>
      </c>
      <c r="K60" s="15"/>
      <c r="L60" s="21">
        <f>+D60-H60</f>
        <v>9132.8207368950025</v>
      </c>
      <c r="M60" s="15"/>
      <c r="N60" s="19">
        <f>IF(H60=0,0,L60/H60)</f>
        <v>-0.56401929062182954</v>
      </c>
      <c r="O60" s="25"/>
      <c r="P60" s="21">
        <f>+P16-P18+P58</f>
        <v>-7059.57</v>
      </c>
      <c r="Q60" s="13"/>
      <c r="R60" s="19">
        <f>IF(P$12=0,0,P60/P$12)</f>
        <v>0</v>
      </c>
      <c r="S60" s="13"/>
      <c r="T60" s="21">
        <f>+T16-T18+T58</f>
        <v>-16192.390736895002</v>
      </c>
      <c r="U60" s="13"/>
      <c r="V60" s="19">
        <f>IF(T$12=0,0,T60/T$12)</f>
        <v>0</v>
      </c>
      <c r="W60" s="15"/>
      <c r="X60" s="21">
        <f>+P60-T60</f>
        <v>9132.8207368950025</v>
      </c>
      <c r="Y60" s="15"/>
      <c r="Z60" s="19">
        <f>IF(T60=0,0,X60/T60)</f>
        <v>-0.56401929062182954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14</v>
      </c>
      <c r="C62" s="10"/>
      <c r="D62" s="4"/>
      <c r="E62" s="4"/>
      <c r="F62" s="12">
        <f>IF(D$12=0,0,D62/D$12)</f>
        <v>0</v>
      </c>
      <c r="G62" s="4"/>
      <c r="H62" s="4"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6" t="s">
        <v>4</v>
      </c>
      <c r="C64" s="26"/>
      <c r="D64" s="32">
        <f>+D60-D62</f>
        <v>-7059.57</v>
      </c>
      <c r="E64" s="13"/>
      <c r="F64" s="31">
        <f>IF(D$12=0,0,D64/D$12)</f>
        <v>0</v>
      </c>
      <c r="G64" s="13"/>
      <c r="H64" s="32">
        <f>+H60-H62</f>
        <v>-16192.390736895002</v>
      </c>
      <c r="I64" s="13"/>
      <c r="J64" s="31">
        <f>IF(H$12=0,0,H64/H$12)</f>
        <v>0</v>
      </c>
      <c r="K64" s="15"/>
      <c r="L64" s="32">
        <f>D64-H64</f>
        <v>9132.8207368950025</v>
      </c>
      <c r="M64" s="15"/>
      <c r="N64" s="31">
        <f>IF(H64=0,0,L64/H64)</f>
        <v>-0.56401929062182954</v>
      </c>
      <c r="O64" s="25"/>
      <c r="P64" s="32">
        <f>+P60-P62</f>
        <v>-7059.57</v>
      </c>
      <c r="Q64" s="13"/>
      <c r="R64" s="31">
        <f>IF(P$12=0,0,P64/P$12)</f>
        <v>0</v>
      </c>
      <c r="S64" s="13"/>
      <c r="T64" s="32">
        <f>+T60-T62</f>
        <v>-16192.390736895002</v>
      </c>
      <c r="U64" s="13"/>
      <c r="V64" s="31">
        <f>IF(T$12=0,0,T64/T$12)</f>
        <v>0</v>
      </c>
      <c r="W64" s="15"/>
      <c r="X64" s="32">
        <f>P64-T64</f>
        <v>9132.8207368950025</v>
      </c>
      <c r="Y64" s="15"/>
      <c r="Z64" s="31">
        <f>IF(T64=0,0,X64/T64)</f>
        <v>-0.56401929062182954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5</v>
      </c>
      <c r="C67" s="26"/>
      <c r="D67" s="33">
        <f>SUM(D64:D66)</f>
        <v>-7059.57</v>
      </c>
      <c r="E67" s="13"/>
      <c r="F67" s="34">
        <f>IF(D$12=0,0,D67/D$12)</f>
        <v>0</v>
      </c>
      <c r="G67" s="13"/>
      <c r="H67" s="33">
        <f>SUM(H64:H66)</f>
        <v>-16192.390736895002</v>
      </c>
      <c r="I67" s="13"/>
      <c r="J67" s="34">
        <f>IF(H$12=0,0,H67/H$12)</f>
        <v>0</v>
      </c>
      <c r="K67" s="15"/>
      <c r="L67" s="33">
        <f>+D67-H67</f>
        <v>9132.8207368950025</v>
      </c>
      <c r="M67" s="15"/>
      <c r="N67" s="34">
        <f>IF(H67=0,0,L67/H67)</f>
        <v>-0.56401929062182954</v>
      </c>
      <c r="O67" s="25"/>
      <c r="P67" s="33">
        <f>SUM(P64:P66)</f>
        <v>-7059.57</v>
      </c>
      <c r="Q67" s="13"/>
      <c r="R67" s="34">
        <f>IF(P$12=0,0,P67/P$12)</f>
        <v>0</v>
      </c>
      <c r="S67" s="13"/>
      <c r="T67" s="33">
        <f>SUM(T64:T66)</f>
        <v>-16192.390736895002</v>
      </c>
      <c r="U67" s="13"/>
      <c r="V67" s="34">
        <f>IF(T$12=0,0,T67/T$12)</f>
        <v>0</v>
      </c>
      <c r="W67" s="15"/>
      <c r="X67" s="33">
        <f>+P67-T67</f>
        <v>9132.8207368950025</v>
      </c>
      <c r="Y67" s="15"/>
      <c r="Z67" s="34">
        <f>IF(T67=0,0,X67/T67)</f>
        <v>-0.56401929062182954</v>
      </c>
    </row>
    <row r="68" spans="1:26" ht="15.75" thickTop="1" x14ac:dyDescent="0.25">
      <c r="A68" s="9"/>
      <c r="C68" s="9"/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25">
      <c r="A69" s="9"/>
      <c r="B69" s="61">
        <v>43726.678494178239</v>
      </c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56" t="s">
        <v>314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3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410763.32</v>
      </c>
      <c r="E12" s="4"/>
      <c r="F12" s="12"/>
      <c r="G12" s="4"/>
      <c r="H12" s="4">
        <f>SUM(OSRRefH13x_0)</f>
        <v>446483.61580999999</v>
      </c>
      <c r="I12" s="4"/>
      <c r="J12" s="12"/>
      <c r="K12" s="4"/>
      <c r="L12" s="4">
        <f t="shared" ref="L12:L83" si="0">+D12-H12</f>
        <v>-35720.295809999981</v>
      </c>
      <c r="M12" s="4"/>
      <c r="N12" s="12">
        <f t="shared" ref="N12:N83" si="1">IF(H12=0,0,L12/H12)</f>
        <v>-8.0003598217589844E-2</v>
      </c>
      <c r="O12" s="10"/>
      <c r="P12" s="4">
        <f>SUM(OSRRefP13x_0)</f>
        <v>410763.32</v>
      </c>
      <c r="Q12" s="4"/>
      <c r="R12" s="12"/>
      <c r="S12" s="4"/>
      <c r="T12" s="4">
        <f>SUM(OSRRefT13x_0)</f>
        <v>446483.61580999999</v>
      </c>
      <c r="U12" s="4"/>
      <c r="V12" s="12"/>
      <c r="W12" s="4"/>
      <c r="X12" s="4">
        <f t="shared" ref="X12:X83" si="2">+P12-T12</f>
        <v>-35720.295809999981</v>
      </c>
      <c r="Y12" s="4"/>
      <c r="Z12" s="12">
        <f t="shared" ref="Z12:Z83" si="3">IF(T12=0,0,X12/T12)</f>
        <v>-8.0003598217589844E-2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268497.61580999999</v>
      </c>
      <c r="I13" s="2"/>
      <c r="J13" s="22"/>
      <c r="K13" s="2"/>
      <c r="L13" s="2">
        <f t="shared" si="0"/>
        <v>-268497.61580999999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268497.61580999999</v>
      </c>
      <c r="U13" s="2"/>
      <c r="V13" s="22"/>
      <c r="W13" s="2"/>
      <c r="X13" s="2">
        <f t="shared" si="2"/>
        <v>-268497.61580999999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--36312.25</f>
        <v>36312.25</v>
      </c>
      <c r="E14" s="2"/>
      <c r="F14" s="22"/>
      <c r="G14" s="2"/>
      <c r="H14" s="2"/>
      <c r="I14" s="2"/>
      <c r="J14" s="22"/>
      <c r="K14" s="2"/>
      <c r="L14" s="2">
        <f t="shared" si="0"/>
        <v>36312.25</v>
      </c>
      <c r="M14" s="2"/>
      <c r="N14" s="22">
        <f t="shared" si="1"/>
        <v>0</v>
      </c>
      <c r="O14" s="11"/>
      <c r="P14" s="2">
        <f>--36312.25</f>
        <v>36312.25</v>
      </c>
      <c r="Q14" s="2"/>
      <c r="R14" s="22"/>
      <c r="S14" s="2"/>
      <c r="T14" s="2"/>
      <c r="U14" s="2"/>
      <c r="V14" s="22"/>
      <c r="W14" s="2"/>
      <c r="X14" s="2">
        <f t="shared" si="2"/>
        <v>36312.25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--21794.81</f>
        <v>21794.81</v>
      </c>
      <c r="E15" s="2"/>
      <c r="F15" s="22"/>
      <c r="G15" s="2"/>
      <c r="H15" s="2"/>
      <c r="I15" s="2"/>
      <c r="J15" s="22"/>
      <c r="K15" s="2"/>
      <c r="L15" s="2">
        <f t="shared" si="0"/>
        <v>21794.81</v>
      </c>
      <c r="M15" s="2"/>
      <c r="N15" s="22">
        <f t="shared" si="1"/>
        <v>0</v>
      </c>
      <c r="O15" s="11"/>
      <c r="P15" s="2">
        <f>--21794.81</f>
        <v>21794.81</v>
      </c>
      <c r="Q15" s="2"/>
      <c r="R15" s="22"/>
      <c r="S15" s="2"/>
      <c r="T15" s="2"/>
      <c r="U15" s="2"/>
      <c r="V15" s="22"/>
      <c r="W15" s="2"/>
      <c r="X15" s="2">
        <f t="shared" si="2"/>
        <v>21794.81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--433.98</f>
        <v>433.98</v>
      </c>
      <c r="E16" s="2"/>
      <c r="F16" s="22"/>
      <c r="G16" s="2"/>
      <c r="H16" s="2"/>
      <c r="I16" s="2"/>
      <c r="J16" s="22"/>
      <c r="K16" s="2"/>
      <c r="L16" s="2">
        <f t="shared" si="0"/>
        <v>433.98</v>
      </c>
      <c r="M16" s="2"/>
      <c r="N16" s="22">
        <f t="shared" si="1"/>
        <v>0</v>
      </c>
      <c r="O16" s="11"/>
      <c r="P16" s="2">
        <f>--433.98</f>
        <v>433.98</v>
      </c>
      <c r="Q16" s="2"/>
      <c r="R16" s="22"/>
      <c r="S16" s="2"/>
      <c r="T16" s="2"/>
      <c r="U16" s="2"/>
      <c r="V16" s="22"/>
      <c r="W16" s="2"/>
      <c r="X16" s="2">
        <f t="shared" si="2"/>
        <v>433.98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--133.35</f>
        <v>133.35</v>
      </c>
      <c r="E17" s="2"/>
      <c r="F17" s="22"/>
      <c r="G17" s="2"/>
      <c r="H17" s="2"/>
      <c r="I17" s="2"/>
      <c r="J17" s="22"/>
      <c r="K17" s="2"/>
      <c r="L17" s="2">
        <f t="shared" si="0"/>
        <v>133.35</v>
      </c>
      <c r="M17" s="2"/>
      <c r="N17" s="22">
        <f t="shared" si="1"/>
        <v>0</v>
      </c>
      <c r="O17" s="11"/>
      <c r="P17" s="2">
        <f>--133.35</f>
        <v>133.35</v>
      </c>
      <c r="Q17" s="2"/>
      <c r="R17" s="22"/>
      <c r="S17" s="2"/>
      <c r="T17" s="2"/>
      <c r="U17" s="2"/>
      <c r="V17" s="22"/>
      <c r="W17" s="2"/>
      <c r="X17" s="2">
        <f t="shared" si="2"/>
        <v>133.35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--39.95</f>
        <v>39.950000000000003</v>
      </c>
      <c r="E18" s="2"/>
      <c r="F18" s="22"/>
      <c r="G18" s="2"/>
      <c r="H18" s="2"/>
      <c r="I18" s="2"/>
      <c r="J18" s="22"/>
      <c r="K18" s="2"/>
      <c r="L18" s="2">
        <f t="shared" si="0"/>
        <v>39.950000000000003</v>
      </c>
      <c r="M18" s="2"/>
      <c r="N18" s="22">
        <f t="shared" si="1"/>
        <v>0</v>
      </c>
      <c r="O18" s="11"/>
      <c r="P18" s="2">
        <f>--39.95</f>
        <v>39.950000000000003</v>
      </c>
      <c r="Q18" s="2"/>
      <c r="R18" s="22"/>
      <c r="S18" s="2"/>
      <c r="T18" s="2"/>
      <c r="U18" s="2"/>
      <c r="V18" s="22"/>
      <c r="W18" s="2"/>
      <c r="X18" s="2">
        <f t="shared" si="2"/>
        <v>39.950000000000003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--250.65</f>
        <v>250.65</v>
      </c>
      <c r="E19" s="2"/>
      <c r="F19" s="22"/>
      <c r="G19" s="2"/>
      <c r="H19" s="2"/>
      <c r="I19" s="2"/>
      <c r="J19" s="22"/>
      <c r="K19" s="2"/>
      <c r="L19" s="2">
        <f t="shared" si="0"/>
        <v>250.65</v>
      </c>
      <c r="M19" s="2"/>
      <c r="N19" s="22">
        <f t="shared" si="1"/>
        <v>0</v>
      </c>
      <c r="O19" s="11"/>
      <c r="P19" s="2">
        <f>--250.65</f>
        <v>250.65</v>
      </c>
      <c r="Q19" s="2"/>
      <c r="R19" s="22"/>
      <c r="S19" s="2"/>
      <c r="T19" s="2"/>
      <c r="U19" s="2"/>
      <c r="V19" s="22"/>
      <c r="W19" s="2"/>
      <c r="X19" s="2">
        <f t="shared" si="2"/>
        <v>250.65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--4.47</f>
        <v>4.47</v>
      </c>
      <c r="E20" s="2"/>
      <c r="F20" s="22"/>
      <c r="G20" s="2"/>
      <c r="H20" s="2"/>
      <c r="I20" s="2"/>
      <c r="J20" s="22"/>
      <c r="K20" s="2"/>
      <c r="L20" s="2">
        <f t="shared" si="0"/>
        <v>4.47</v>
      </c>
      <c r="M20" s="2"/>
      <c r="N20" s="22">
        <f t="shared" si="1"/>
        <v>0</v>
      </c>
      <c r="O20" s="11"/>
      <c r="P20" s="2">
        <f>--4.47</f>
        <v>4.47</v>
      </c>
      <c r="Q20" s="2"/>
      <c r="R20" s="22"/>
      <c r="S20" s="2"/>
      <c r="T20" s="2"/>
      <c r="U20" s="2"/>
      <c r="V20" s="22"/>
      <c r="W20" s="2"/>
      <c r="X20" s="2">
        <f t="shared" si="2"/>
        <v>4.47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"4018", " - ", "TAXABLE SALES-STUDY GUIDES")</f>
        <v xml:space="preserve">          4018 - TAXABLE SALES-STUDY GUIDES</v>
      </c>
      <c r="C21" s="11"/>
      <c r="D21" s="2">
        <f>--179.29</f>
        <v>179.29</v>
      </c>
      <c r="E21" s="2"/>
      <c r="F21" s="22"/>
      <c r="G21" s="2"/>
      <c r="H21" s="2"/>
      <c r="I21" s="2"/>
      <c r="J21" s="22"/>
      <c r="K21" s="2"/>
      <c r="L21" s="2">
        <f t="shared" si="0"/>
        <v>179.29</v>
      </c>
      <c r="M21" s="2"/>
      <c r="N21" s="22">
        <f t="shared" si="1"/>
        <v>0</v>
      </c>
      <c r="O21" s="11"/>
      <c r="P21" s="2">
        <f>--179.29</f>
        <v>179.29</v>
      </c>
      <c r="Q21" s="2"/>
      <c r="R21" s="22"/>
      <c r="S21" s="2"/>
      <c r="T21" s="2"/>
      <c r="U21" s="2"/>
      <c r="V21" s="22"/>
      <c r="W21" s="2"/>
      <c r="X21" s="2">
        <f t="shared" si="2"/>
        <v>179.29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"4025", " - ", "TAXABLE SALES-TEST FORMS")</f>
        <v xml:space="preserve">          4025 - TAXABLE SALES-TEST FORMS</v>
      </c>
      <c r="C22" s="11"/>
      <c r="D22" s="2">
        <f>--392.29</f>
        <v>392.29</v>
      </c>
      <c r="E22" s="2"/>
      <c r="F22" s="22"/>
      <c r="G22" s="2"/>
      <c r="H22" s="2"/>
      <c r="I22" s="2"/>
      <c r="J22" s="22"/>
      <c r="K22" s="2"/>
      <c r="L22" s="2">
        <f t="shared" si="0"/>
        <v>392.29</v>
      </c>
      <c r="M22" s="2"/>
      <c r="N22" s="22">
        <f t="shared" si="1"/>
        <v>0</v>
      </c>
      <c r="O22" s="11"/>
      <c r="P22" s="2">
        <f>--392.29</f>
        <v>392.29</v>
      </c>
      <c r="Q22" s="2"/>
      <c r="R22" s="22"/>
      <c r="S22" s="2"/>
      <c r="T22" s="2"/>
      <c r="U22" s="2"/>
      <c r="V22" s="22"/>
      <c r="W22" s="2"/>
      <c r="X22" s="2">
        <f t="shared" si="2"/>
        <v>392.29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--1935.51</f>
        <v>1935.51</v>
      </c>
      <c r="E23" s="2"/>
      <c r="F23" s="22"/>
      <c r="G23" s="2"/>
      <c r="H23" s="2"/>
      <c r="I23" s="2"/>
      <c r="J23" s="22"/>
      <c r="K23" s="2"/>
      <c r="L23" s="2">
        <f t="shared" si="0"/>
        <v>1935.51</v>
      </c>
      <c r="M23" s="2"/>
      <c r="N23" s="22">
        <f t="shared" si="1"/>
        <v>0</v>
      </c>
      <c r="O23" s="11"/>
      <c r="P23" s="2">
        <f>--1935.51</f>
        <v>1935.51</v>
      </c>
      <c r="Q23" s="2"/>
      <c r="R23" s="22"/>
      <c r="S23" s="2"/>
      <c r="T23" s="2"/>
      <c r="U23" s="2"/>
      <c r="V23" s="22"/>
      <c r="W23" s="2"/>
      <c r="X23" s="2">
        <f t="shared" si="2"/>
        <v>1935.51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--13150</f>
        <v>13150</v>
      </c>
      <c r="E24" s="2"/>
      <c r="F24" s="22"/>
      <c r="G24" s="2"/>
      <c r="H24" s="2"/>
      <c r="I24" s="2"/>
      <c r="J24" s="22"/>
      <c r="K24" s="2"/>
      <c r="L24" s="2">
        <f t="shared" si="0"/>
        <v>13150</v>
      </c>
      <c r="M24" s="2"/>
      <c r="N24" s="22">
        <f t="shared" si="1"/>
        <v>0</v>
      </c>
      <c r="O24" s="11"/>
      <c r="P24" s="2">
        <f>--13150</f>
        <v>13150</v>
      </c>
      <c r="Q24" s="2"/>
      <c r="R24" s="22"/>
      <c r="S24" s="2"/>
      <c r="T24" s="2"/>
      <c r="U24" s="2"/>
      <c r="V24" s="22"/>
      <c r="W24" s="2"/>
      <c r="X24" s="2">
        <f t="shared" si="2"/>
        <v>13150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"4028", " - ", "TAXABLE SALES-ART/TECH")</f>
        <v xml:space="preserve">          4028 - TAXABLE SALES-ART/TECH</v>
      </c>
      <c r="C25" s="11"/>
      <c r="D25" s="2">
        <f>--2284.16</f>
        <v>2284.16</v>
      </c>
      <c r="E25" s="2"/>
      <c r="F25" s="22"/>
      <c r="G25" s="2"/>
      <c r="H25" s="2"/>
      <c r="I25" s="2"/>
      <c r="J25" s="22"/>
      <c r="K25" s="2"/>
      <c r="L25" s="2">
        <f t="shared" si="0"/>
        <v>2284.16</v>
      </c>
      <c r="M25" s="2"/>
      <c r="N25" s="22">
        <f t="shared" si="1"/>
        <v>0</v>
      </c>
      <c r="O25" s="11"/>
      <c r="P25" s="2">
        <f>--2284.16</f>
        <v>2284.16</v>
      </c>
      <c r="Q25" s="2"/>
      <c r="R25" s="22"/>
      <c r="S25" s="2"/>
      <c r="T25" s="2"/>
      <c r="U25" s="2"/>
      <c r="V25" s="22"/>
      <c r="W25" s="2"/>
      <c r="X25" s="2">
        <f t="shared" si="2"/>
        <v>2284.16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"4031", " - ", "TAXABLE SALES-FOOD")</f>
        <v xml:space="preserve">          4031 - TAXABLE SALES-FOOD</v>
      </c>
      <c r="C26" s="11"/>
      <c r="D26" s="2">
        <f>--1.52</f>
        <v>1.52</v>
      </c>
      <c r="E26" s="2"/>
      <c r="F26" s="22"/>
      <c r="G26" s="2"/>
      <c r="H26" s="2"/>
      <c r="I26" s="2"/>
      <c r="J26" s="22"/>
      <c r="K26" s="2"/>
      <c r="L26" s="2">
        <f t="shared" si="0"/>
        <v>1.52</v>
      </c>
      <c r="M26" s="2"/>
      <c r="N26" s="22">
        <f t="shared" si="1"/>
        <v>0</v>
      </c>
      <c r="O26" s="11"/>
      <c r="P26" s="2">
        <f>--1.52</f>
        <v>1.52</v>
      </c>
      <c r="Q26" s="2"/>
      <c r="R26" s="22"/>
      <c r="S26" s="2"/>
      <c r="T26" s="2"/>
      <c r="U26" s="2"/>
      <c r="V26" s="22"/>
      <c r="W26" s="2"/>
      <c r="X26" s="2">
        <f t="shared" si="2"/>
        <v>1.52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"4032", " - ", "TAXABLE SALES-JUICE")</f>
        <v xml:space="preserve">          4032 - TAXABLE SALES-JUICE</v>
      </c>
      <c r="C27" s="11"/>
      <c r="D27" s="2">
        <f>--6881.73</f>
        <v>6881.73</v>
      </c>
      <c r="E27" s="2"/>
      <c r="F27" s="22"/>
      <c r="G27" s="2"/>
      <c r="H27" s="2"/>
      <c r="I27" s="2"/>
      <c r="J27" s="22"/>
      <c r="K27" s="2"/>
      <c r="L27" s="2">
        <f t="shared" si="0"/>
        <v>6881.73</v>
      </c>
      <c r="M27" s="2"/>
      <c r="N27" s="22">
        <f t="shared" si="1"/>
        <v>0</v>
      </c>
      <c r="O27" s="11"/>
      <c r="P27" s="2">
        <f>--6881.73</f>
        <v>6881.73</v>
      </c>
      <c r="Q27" s="2"/>
      <c r="R27" s="22"/>
      <c r="S27" s="2"/>
      <c r="T27" s="2"/>
      <c r="U27" s="2"/>
      <c r="V27" s="22"/>
      <c r="W27" s="2"/>
      <c r="X27" s="2">
        <f t="shared" si="2"/>
        <v>6881.73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"4033", " - ", "TAXABLE SALES-CANDY")</f>
        <v xml:space="preserve">          4033 - TAXABLE SALES-CANDY</v>
      </c>
      <c r="C28" s="11"/>
      <c r="D28" s="2">
        <f>--3.17</f>
        <v>3.17</v>
      </c>
      <c r="E28" s="2"/>
      <c r="F28" s="22"/>
      <c r="G28" s="2"/>
      <c r="H28" s="2"/>
      <c r="I28" s="2"/>
      <c r="J28" s="22"/>
      <c r="K28" s="2"/>
      <c r="L28" s="2">
        <f t="shared" si="0"/>
        <v>3.17</v>
      </c>
      <c r="M28" s="2"/>
      <c r="N28" s="22">
        <f t="shared" si="1"/>
        <v>0</v>
      </c>
      <c r="O28" s="11"/>
      <c r="P28" s="2">
        <f>--3.17</f>
        <v>3.17</v>
      </c>
      <c r="Q28" s="2"/>
      <c r="R28" s="22"/>
      <c r="S28" s="2"/>
      <c r="T28" s="2"/>
      <c r="U28" s="2"/>
      <c r="V28" s="22"/>
      <c r="W28" s="2"/>
      <c r="X28" s="2">
        <f t="shared" si="2"/>
        <v>3.17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"4034", " - ", "TAXABLE SALES-SODA")</f>
        <v xml:space="preserve">          4034 - TAXABLE SALES-SODA</v>
      </c>
      <c r="C29" s="11"/>
      <c r="D29" s="2">
        <f>--323.49</f>
        <v>323.49</v>
      </c>
      <c r="E29" s="2"/>
      <c r="F29" s="22"/>
      <c r="G29" s="2"/>
      <c r="H29" s="2"/>
      <c r="I29" s="2"/>
      <c r="J29" s="22"/>
      <c r="K29" s="2"/>
      <c r="L29" s="2">
        <f t="shared" si="0"/>
        <v>323.49</v>
      </c>
      <c r="M29" s="2"/>
      <c r="N29" s="22">
        <f t="shared" si="1"/>
        <v>0</v>
      </c>
      <c r="O29" s="11"/>
      <c r="P29" s="2">
        <f>--323.49</f>
        <v>323.49</v>
      </c>
      <c r="Q29" s="2"/>
      <c r="R29" s="22"/>
      <c r="S29" s="2"/>
      <c r="T29" s="2"/>
      <c r="U29" s="2"/>
      <c r="V29" s="22"/>
      <c r="W29" s="2"/>
      <c r="X29" s="2">
        <f t="shared" si="2"/>
        <v>323.49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--5.97</f>
        <v>5.97</v>
      </c>
      <c r="E30" s="2"/>
      <c r="F30" s="22"/>
      <c r="G30" s="2"/>
      <c r="H30" s="2"/>
      <c r="I30" s="2"/>
      <c r="J30" s="22"/>
      <c r="K30" s="2"/>
      <c r="L30" s="2">
        <f t="shared" si="0"/>
        <v>5.97</v>
      </c>
      <c r="M30" s="2"/>
      <c r="N30" s="22">
        <f t="shared" si="1"/>
        <v>0</v>
      </c>
      <c r="O30" s="11"/>
      <c r="P30" s="2">
        <f>--5.97</f>
        <v>5.97</v>
      </c>
      <c r="Q30" s="2"/>
      <c r="R30" s="22"/>
      <c r="S30" s="2"/>
      <c r="T30" s="2"/>
      <c r="U30" s="2"/>
      <c r="V30" s="22"/>
      <c r="W30" s="2"/>
      <c r="X30" s="2">
        <f t="shared" si="2"/>
        <v>5.97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"4037", " - ", "TAXABLE SALES-WATER")</f>
        <v xml:space="preserve">          4037 - TAXABLE SALES-WATER</v>
      </c>
      <c r="C31" s="11"/>
      <c r="D31" s="2">
        <f>--5.29</f>
        <v>5.29</v>
      </c>
      <c r="E31" s="2"/>
      <c r="F31" s="22"/>
      <c r="G31" s="2"/>
      <c r="H31" s="2"/>
      <c r="I31" s="2"/>
      <c r="J31" s="22"/>
      <c r="K31" s="2"/>
      <c r="L31" s="2">
        <f t="shared" si="0"/>
        <v>5.29</v>
      </c>
      <c r="M31" s="2"/>
      <c r="N31" s="22">
        <f t="shared" si="1"/>
        <v>0</v>
      </c>
      <c r="O31" s="11"/>
      <c r="P31" s="2">
        <f>--5.29</f>
        <v>5.29</v>
      </c>
      <c r="Q31" s="2"/>
      <c r="R31" s="22"/>
      <c r="S31" s="2"/>
      <c r="T31" s="2"/>
      <c r="U31" s="2"/>
      <c r="V31" s="22"/>
      <c r="W31" s="2"/>
      <c r="X31" s="2">
        <f t="shared" si="2"/>
        <v>5.29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"4040", " - ", "TAXABLE SALES-LOGO CLOTHING")</f>
        <v xml:space="preserve">          4040 - TAXABLE SALES-LOGO CLOTHING</v>
      </c>
      <c r="C32" s="11"/>
      <c r="D32" s="2">
        <f>--170312.02</f>
        <v>170312.02</v>
      </c>
      <c r="E32" s="2"/>
      <c r="F32" s="22"/>
      <c r="G32" s="2"/>
      <c r="H32" s="2"/>
      <c r="I32" s="2"/>
      <c r="J32" s="22"/>
      <c r="K32" s="2"/>
      <c r="L32" s="2">
        <f t="shared" si="0"/>
        <v>170312.02</v>
      </c>
      <c r="M32" s="2"/>
      <c r="N32" s="22">
        <f t="shared" si="1"/>
        <v>0</v>
      </c>
      <c r="O32" s="11"/>
      <c r="P32" s="2">
        <f>--170312.02</f>
        <v>170312.02</v>
      </c>
      <c r="Q32" s="2"/>
      <c r="R32" s="22"/>
      <c r="S32" s="2"/>
      <c r="T32" s="2"/>
      <c r="U32" s="2"/>
      <c r="V32" s="22"/>
      <c r="W32" s="2"/>
      <c r="X32" s="2">
        <f t="shared" si="2"/>
        <v>170312.02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"4041", " - ", "TAXABLE SALES-LOGO GIFTS")</f>
        <v xml:space="preserve">          4041 - TAXABLE SALES-LOGO GIFTS</v>
      </c>
      <c r="C33" s="11"/>
      <c r="D33" s="2">
        <f>--31041.59</f>
        <v>31041.59</v>
      </c>
      <c r="E33" s="2"/>
      <c r="F33" s="22"/>
      <c r="G33" s="2"/>
      <c r="H33" s="2"/>
      <c r="I33" s="2"/>
      <c r="J33" s="22"/>
      <c r="K33" s="2"/>
      <c r="L33" s="2">
        <f t="shared" si="0"/>
        <v>31041.59</v>
      </c>
      <c r="M33" s="2"/>
      <c r="N33" s="22">
        <f t="shared" si="1"/>
        <v>0</v>
      </c>
      <c r="O33" s="11"/>
      <c r="P33" s="2">
        <f>--31041.59</f>
        <v>31041.59</v>
      </c>
      <c r="Q33" s="2"/>
      <c r="R33" s="22"/>
      <c r="S33" s="2"/>
      <c r="T33" s="2"/>
      <c r="U33" s="2"/>
      <c r="V33" s="22"/>
      <c r="W33" s="2"/>
      <c r="X33" s="2">
        <f t="shared" si="2"/>
        <v>31041.59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--15593.05</f>
        <v>15593.05</v>
      </c>
      <c r="E34" s="2"/>
      <c r="F34" s="22"/>
      <c r="G34" s="2"/>
      <c r="H34" s="2"/>
      <c r="I34" s="2"/>
      <c r="J34" s="22"/>
      <c r="K34" s="2"/>
      <c r="L34" s="2">
        <f t="shared" si="0"/>
        <v>15593.05</v>
      </c>
      <c r="M34" s="2"/>
      <c r="N34" s="22">
        <f t="shared" si="1"/>
        <v>0</v>
      </c>
      <c r="O34" s="11"/>
      <c r="P34" s="2">
        <f>--15593.05</f>
        <v>15593.05</v>
      </c>
      <c r="Q34" s="2"/>
      <c r="R34" s="22"/>
      <c r="S34" s="2"/>
      <c r="T34" s="2"/>
      <c r="U34" s="2"/>
      <c r="V34" s="22"/>
      <c r="W34" s="2"/>
      <c r="X34" s="2">
        <f t="shared" si="2"/>
        <v>15593.05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"4043", " - ", "TAXABLE SALES-CARDS")</f>
        <v xml:space="preserve">          4043 - TAXABLE SALES-CARDS</v>
      </c>
      <c r="C35" s="11"/>
      <c r="D35" s="2">
        <f>--56.4</f>
        <v>56.4</v>
      </c>
      <c r="E35" s="2"/>
      <c r="F35" s="22"/>
      <c r="G35" s="2"/>
      <c r="H35" s="2"/>
      <c r="I35" s="2"/>
      <c r="J35" s="22"/>
      <c r="K35" s="2"/>
      <c r="L35" s="2">
        <f t="shared" si="0"/>
        <v>56.4</v>
      </c>
      <c r="M35" s="2"/>
      <c r="N35" s="22">
        <f t="shared" si="1"/>
        <v>0</v>
      </c>
      <c r="O35" s="11"/>
      <c r="P35" s="2">
        <f>--56.4</f>
        <v>56.4</v>
      </c>
      <c r="Q35" s="2"/>
      <c r="R35" s="22"/>
      <c r="S35" s="2"/>
      <c r="T35" s="2"/>
      <c r="U35" s="2"/>
      <c r="V35" s="22"/>
      <c r="W35" s="2"/>
      <c r="X35" s="2">
        <f t="shared" si="2"/>
        <v>56.4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"4044", " - ", "TAXABLE SALES-ACCESSORIES")</f>
        <v xml:space="preserve">          4044 - TAXABLE SALES-ACCESSORIES</v>
      </c>
      <c r="C36" s="11"/>
      <c r="D36" s="2">
        <f>--2342.65</f>
        <v>2342.65</v>
      </c>
      <c r="E36" s="2"/>
      <c r="F36" s="22"/>
      <c r="G36" s="2"/>
      <c r="H36" s="2"/>
      <c r="I36" s="2"/>
      <c r="J36" s="22"/>
      <c r="K36" s="2"/>
      <c r="L36" s="2">
        <f t="shared" si="0"/>
        <v>2342.65</v>
      </c>
      <c r="M36" s="2"/>
      <c r="N36" s="22">
        <f t="shared" si="1"/>
        <v>0</v>
      </c>
      <c r="O36" s="11"/>
      <c r="P36" s="2">
        <f>--2342.65</f>
        <v>2342.65</v>
      </c>
      <c r="Q36" s="2"/>
      <c r="R36" s="22"/>
      <c r="S36" s="2"/>
      <c r="T36" s="2"/>
      <c r="U36" s="2"/>
      <c r="V36" s="22"/>
      <c r="W36" s="2"/>
      <c r="X36" s="2">
        <f t="shared" si="2"/>
        <v>2342.65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--19420.72</f>
        <v>19420.72</v>
      </c>
      <c r="E37" s="2"/>
      <c r="F37" s="22"/>
      <c r="G37" s="2"/>
      <c r="H37" s="2"/>
      <c r="I37" s="2"/>
      <c r="J37" s="22"/>
      <c r="K37" s="2"/>
      <c r="L37" s="2">
        <f t="shared" si="0"/>
        <v>19420.72</v>
      </c>
      <c r="M37" s="2"/>
      <c r="N37" s="22">
        <f t="shared" si="1"/>
        <v>0</v>
      </c>
      <c r="O37" s="11"/>
      <c r="P37" s="2">
        <f>--19420.72</f>
        <v>19420.72</v>
      </c>
      <c r="Q37" s="2"/>
      <c r="R37" s="22"/>
      <c r="S37" s="2"/>
      <c r="T37" s="2"/>
      <c r="U37" s="2"/>
      <c r="V37" s="22"/>
      <c r="W37" s="2"/>
      <c r="X37" s="2">
        <f t="shared" si="2"/>
        <v>19420.72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"4047", " - ", "TAXABLE SALES-MISC")</f>
        <v xml:space="preserve">          4047 - TAXABLE SALES-MISC</v>
      </c>
      <c r="C38" s="11"/>
      <c r="D38" s="2">
        <f>--40</f>
        <v>40</v>
      </c>
      <c r="E38" s="2"/>
      <c r="F38" s="22"/>
      <c r="G38" s="2"/>
      <c r="H38" s="2"/>
      <c r="I38" s="2"/>
      <c r="J38" s="22"/>
      <c r="K38" s="2"/>
      <c r="L38" s="2">
        <f t="shared" si="0"/>
        <v>40</v>
      </c>
      <c r="M38" s="2"/>
      <c r="N38" s="22">
        <f t="shared" si="1"/>
        <v>0</v>
      </c>
      <c r="O38" s="11"/>
      <c r="P38" s="2">
        <f>--40</f>
        <v>40</v>
      </c>
      <c r="Q38" s="2"/>
      <c r="R38" s="22"/>
      <c r="S38" s="2"/>
      <c r="T38" s="2"/>
      <c r="U38" s="2"/>
      <c r="V38" s="22"/>
      <c r="W38" s="2"/>
      <c r="X38" s="2">
        <f t="shared" si="2"/>
        <v>40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"4051", " - ", "TAXABLE SALES-FOOD")</f>
        <v xml:space="preserve">          4051 - TAXABLE SALES-FOOD</v>
      </c>
      <c r="C39" s="11"/>
      <c r="D39" s="2">
        <f>--3727.67</f>
        <v>3727.67</v>
      </c>
      <c r="E39" s="2"/>
      <c r="F39" s="22"/>
      <c r="G39" s="2"/>
      <c r="H39" s="2"/>
      <c r="I39" s="2"/>
      <c r="J39" s="22"/>
      <c r="K39" s="2"/>
      <c r="L39" s="2">
        <f t="shared" si="0"/>
        <v>3727.67</v>
      </c>
      <c r="M39" s="2"/>
      <c r="N39" s="22">
        <f t="shared" si="1"/>
        <v>0</v>
      </c>
      <c r="O39" s="11"/>
      <c r="P39" s="2">
        <f>--3727.67</f>
        <v>3727.67</v>
      </c>
      <c r="Q39" s="2"/>
      <c r="R39" s="22"/>
      <c r="S39" s="2"/>
      <c r="T39" s="2"/>
      <c r="U39" s="2"/>
      <c r="V39" s="22"/>
      <c r="W39" s="2"/>
      <c r="X39" s="2">
        <f t="shared" si="2"/>
        <v>3727.67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"4081", " - ", "TAXABLE SALES-ELECTRONICS")</f>
        <v xml:space="preserve">          4081 - TAXABLE SALES-ELECTRONICS</v>
      </c>
      <c r="C40" s="11"/>
      <c r="D40" s="2">
        <f>--7.98</f>
        <v>7.98</v>
      </c>
      <c r="E40" s="2"/>
      <c r="F40" s="22"/>
      <c r="G40" s="2"/>
      <c r="H40" s="2"/>
      <c r="I40" s="2"/>
      <c r="J40" s="22"/>
      <c r="K40" s="2"/>
      <c r="L40" s="2">
        <f t="shared" si="0"/>
        <v>7.98</v>
      </c>
      <c r="M40" s="2"/>
      <c r="N40" s="22">
        <f t="shared" si="1"/>
        <v>0</v>
      </c>
      <c r="O40" s="11"/>
      <c r="P40" s="2">
        <f>--7.98</f>
        <v>7.98</v>
      </c>
      <c r="Q40" s="2"/>
      <c r="R40" s="22"/>
      <c r="S40" s="2"/>
      <c r="T40" s="2"/>
      <c r="U40" s="2"/>
      <c r="V40" s="22"/>
      <c r="W40" s="2"/>
      <c r="X40" s="2">
        <f t="shared" si="2"/>
        <v>7.98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--19</f>
        <v>19</v>
      </c>
      <c r="E41" s="2"/>
      <c r="F41" s="22"/>
      <c r="G41" s="2"/>
      <c r="H41" s="2"/>
      <c r="I41" s="2"/>
      <c r="J41" s="22"/>
      <c r="K41" s="2"/>
      <c r="L41" s="2">
        <f t="shared" si="0"/>
        <v>19</v>
      </c>
      <c r="M41" s="2"/>
      <c r="N41" s="22">
        <f t="shared" si="1"/>
        <v>0</v>
      </c>
      <c r="O41" s="11"/>
      <c r="P41" s="2">
        <f>--19</f>
        <v>19</v>
      </c>
      <c r="Q41" s="2"/>
      <c r="R41" s="22"/>
      <c r="S41" s="2"/>
      <c r="T41" s="2"/>
      <c r="U41" s="2"/>
      <c r="V41" s="22"/>
      <c r="W41" s="2"/>
      <c r="X41" s="2">
        <f t="shared" si="2"/>
        <v>19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"4086", " - ", "TAXABLE SALES-COMPUTER SUPPLIE")</f>
        <v xml:space="preserve">          4086 - TAXABLE SALES-COMPUTER SUPPLIE</v>
      </c>
      <c r="C42" s="11"/>
      <c r="D42" s="2">
        <f>--14.99</f>
        <v>14.99</v>
      </c>
      <c r="E42" s="2"/>
      <c r="F42" s="22"/>
      <c r="G42" s="2"/>
      <c r="H42" s="2"/>
      <c r="I42" s="2"/>
      <c r="J42" s="22"/>
      <c r="K42" s="2"/>
      <c r="L42" s="2">
        <f t="shared" si="0"/>
        <v>14.99</v>
      </c>
      <c r="M42" s="2"/>
      <c r="N42" s="22">
        <f t="shared" si="1"/>
        <v>0</v>
      </c>
      <c r="O42" s="11"/>
      <c r="P42" s="2">
        <f>--14.99</f>
        <v>14.99</v>
      </c>
      <c r="Q42" s="2"/>
      <c r="R42" s="22"/>
      <c r="S42" s="2"/>
      <c r="T42" s="2"/>
      <c r="U42" s="2"/>
      <c r="V42" s="22"/>
      <c r="W42" s="2"/>
      <c r="X42" s="2">
        <f t="shared" si="2"/>
        <v>14.99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"4092", " - ", "TAXABLE SALES-GRAD MERCH")</f>
        <v xml:space="preserve">          4092 - TAXABLE SALES-GRAD MERCH</v>
      </c>
      <c r="C43" s="11"/>
      <c r="D43" s="2">
        <f>--2128.63</f>
        <v>2128.63</v>
      </c>
      <c r="E43" s="2"/>
      <c r="F43" s="22"/>
      <c r="G43" s="2"/>
      <c r="H43" s="2"/>
      <c r="I43" s="2"/>
      <c r="J43" s="22"/>
      <c r="K43" s="2"/>
      <c r="L43" s="2">
        <f t="shared" si="0"/>
        <v>2128.63</v>
      </c>
      <c r="M43" s="2"/>
      <c r="N43" s="22">
        <f t="shared" si="1"/>
        <v>0</v>
      </c>
      <c r="O43" s="11"/>
      <c r="P43" s="2">
        <f>--2128.63</f>
        <v>2128.63</v>
      </c>
      <c r="Q43" s="2"/>
      <c r="R43" s="22"/>
      <c r="S43" s="2"/>
      <c r="T43" s="2"/>
      <c r="U43" s="2"/>
      <c r="V43" s="22"/>
      <c r="W43" s="2"/>
      <c r="X43" s="2">
        <f t="shared" si="2"/>
        <v>2128.63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"4095", " - ", "TAXABLE SALES-CUSTOMER SERVICE")</f>
        <v xml:space="preserve">          4095 - TAXABLE SALES-CUSTOMER SERVICE</v>
      </c>
      <c r="C44" s="11"/>
      <c r="D44" s="2">
        <f>--46.53</f>
        <v>46.53</v>
      </c>
      <c r="E44" s="2"/>
      <c r="F44" s="22"/>
      <c r="G44" s="2"/>
      <c r="H44" s="2"/>
      <c r="I44" s="2"/>
      <c r="J44" s="22"/>
      <c r="K44" s="2"/>
      <c r="L44" s="2">
        <f t="shared" si="0"/>
        <v>46.53</v>
      </c>
      <c r="M44" s="2"/>
      <c r="N44" s="22">
        <f t="shared" si="1"/>
        <v>0</v>
      </c>
      <c r="O44" s="11"/>
      <c r="P44" s="2">
        <f>--46.53</f>
        <v>46.53</v>
      </c>
      <c r="Q44" s="2"/>
      <c r="R44" s="22"/>
      <c r="S44" s="2"/>
      <c r="T44" s="2"/>
      <c r="U44" s="2"/>
      <c r="V44" s="22"/>
      <c r="W44" s="2"/>
      <c r="X44" s="2">
        <f t="shared" si="2"/>
        <v>46.53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"4100", " - ", "NON-TAXABLE SALES")</f>
        <v xml:space="preserve">          4100 - NON-TAXABLE SALES</v>
      </c>
      <c r="C45" s="11"/>
      <c r="D45" s="2">
        <f>--4262.2</f>
        <v>4262.2</v>
      </c>
      <c r="E45" s="2"/>
      <c r="F45" s="22"/>
      <c r="G45" s="2"/>
      <c r="H45" s="2">
        <v>177986</v>
      </c>
      <c r="I45" s="2"/>
      <c r="J45" s="22"/>
      <c r="K45" s="2"/>
      <c r="L45" s="2">
        <f t="shared" si="0"/>
        <v>-173723.8</v>
      </c>
      <c r="M45" s="2"/>
      <c r="N45" s="22">
        <f t="shared" si="1"/>
        <v>-0.97605317272144998</v>
      </c>
      <c r="O45" s="11"/>
      <c r="P45" s="2">
        <f>--4262.2</f>
        <v>4262.2</v>
      </c>
      <c r="Q45" s="2"/>
      <c r="R45" s="22"/>
      <c r="S45" s="2"/>
      <c r="T45" s="2">
        <v>177986</v>
      </c>
      <c r="U45" s="2"/>
      <c r="V45" s="22"/>
      <c r="W45" s="2"/>
      <c r="X45" s="2">
        <f t="shared" si="2"/>
        <v>-173723.8</v>
      </c>
      <c r="Y45" s="2"/>
      <c r="Z45" s="22">
        <f t="shared" si="3"/>
        <v>-0.97605317272144998</v>
      </c>
    </row>
    <row r="46" spans="1:26" s="24" customFormat="1" hidden="1" outlineLevel="1" x14ac:dyDescent="0.25">
      <c r="A46" s="51"/>
      <c r="B46" s="11" t="str">
        <f>CONCATENATE("          ", "4101", " - ", "NON-TAXABLE SALES-NEW TEXT")</f>
        <v xml:space="preserve">          4101 - NON-TAXABLE SALES-NEW TEXT</v>
      </c>
      <c r="C46" s="11"/>
      <c r="D46" s="2">
        <f>--7736.58</f>
        <v>7736.58</v>
      </c>
      <c r="E46" s="2"/>
      <c r="F46" s="22"/>
      <c r="G46" s="2"/>
      <c r="H46" s="2"/>
      <c r="I46" s="2"/>
      <c r="J46" s="22"/>
      <c r="K46" s="2"/>
      <c r="L46" s="2">
        <f t="shared" si="0"/>
        <v>7736.58</v>
      </c>
      <c r="M46" s="2"/>
      <c r="N46" s="22">
        <f t="shared" si="1"/>
        <v>0</v>
      </c>
      <c r="O46" s="11"/>
      <c r="P46" s="2">
        <f>--7736.58</f>
        <v>7736.58</v>
      </c>
      <c r="Q46" s="2"/>
      <c r="R46" s="22"/>
      <c r="S46" s="2"/>
      <c r="T46" s="2"/>
      <c r="U46" s="2"/>
      <c r="V46" s="22"/>
      <c r="W46" s="2"/>
      <c r="X46" s="2">
        <f t="shared" si="2"/>
        <v>7736.58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"4102", " - ", "NON-TAXABLE SALES-USED TEXT")</f>
        <v xml:space="preserve">          4102 - NON-TAXABLE SALES-USED TEXT</v>
      </c>
      <c r="C47" s="11"/>
      <c r="D47" s="2">
        <f>--5359.24</f>
        <v>5359.24</v>
      </c>
      <c r="E47" s="2"/>
      <c r="F47" s="22"/>
      <c r="G47" s="2"/>
      <c r="H47" s="2"/>
      <c r="I47" s="2"/>
      <c r="J47" s="22"/>
      <c r="K47" s="2"/>
      <c r="L47" s="2">
        <f t="shared" si="0"/>
        <v>5359.24</v>
      </c>
      <c r="M47" s="2"/>
      <c r="N47" s="22">
        <f t="shared" si="1"/>
        <v>0</v>
      </c>
      <c r="O47" s="11"/>
      <c r="P47" s="2">
        <f>--5359.24</f>
        <v>5359.24</v>
      </c>
      <c r="Q47" s="2"/>
      <c r="R47" s="22"/>
      <c r="S47" s="2"/>
      <c r="T47" s="2"/>
      <c r="U47" s="2"/>
      <c r="V47" s="22"/>
      <c r="W47" s="2"/>
      <c r="X47" s="2">
        <f t="shared" si="2"/>
        <v>5359.24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"4104", " - ", "NON-TAXABLE SALES-DIGITAL TEXT")</f>
        <v xml:space="preserve">          4104 - NON-TAXABLE SALES-DIGITAL TEXT</v>
      </c>
      <c r="C48" s="11"/>
      <c r="D48" s="2">
        <f>--13424.17</f>
        <v>13424.17</v>
      </c>
      <c r="E48" s="2"/>
      <c r="F48" s="22"/>
      <c r="G48" s="2"/>
      <c r="H48" s="2"/>
      <c r="I48" s="2"/>
      <c r="J48" s="22"/>
      <c r="K48" s="2"/>
      <c r="L48" s="2">
        <f t="shared" si="0"/>
        <v>13424.17</v>
      </c>
      <c r="M48" s="2"/>
      <c r="N48" s="22">
        <f t="shared" si="1"/>
        <v>0</v>
      </c>
      <c r="O48" s="11"/>
      <c r="P48" s="2">
        <f>--13424.17</f>
        <v>13424.17</v>
      </c>
      <c r="Q48" s="2"/>
      <c r="R48" s="22"/>
      <c r="S48" s="2"/>
      <c r="T48" s="2"/>
      <c r="U48" s="2"/>
      <c r="V48" s="22"/>
      <c r="W48" s="2"/>
      <c r="X48" s="2">
        <f t="shared" si="2"/>
        <v>13424.17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"4111", " - ", "NON-TAXABLE SALES-NO VALUE TEX")</f>
        <v xml:space="preserve">          4111 - NON-TAXABLE SALES-NO VALUE TEX</v>
      </c>
      <c r="C49" s="11"/>
      <c r="D49" s="2">
        <f>--2680.95</f>
        <v>2680.95</v>
      </c>
      <c r="E49" s="2"/>
      <c r="F49" s="22"/>
      <c r="G49" s="2"/>
      <c r="H49" s="2"/>
      <c r="I49" s="2"/>
      <c r="J49" s="22"/>
      <c r="K49" s="2"/>
      <c r="L49" s="2">
        <f t="shared" si="0"/>
        <v>2680.95</v>
      </c>
      <c r="M49" s="2"/>
      <c r="N49" s="22">
        <f t="shared" si="1"/>
        <v>0</v>
      </c>
      <c r="O49" s="11"/>
      <c r="P49" s="2">
        <f>--2680.95</f>
        <v>2680.95</v>
      </c>
      <c r="Q49" s="2"/>
      <c r="R49" s="22"/>
      <c r="S49" s="2"/>
      <c r="T49" s="2"/>
      <c r="U49" s="2"/>
      <c r="V49" s="22"/>
      <c r="W49" s="2"/>
      <c r="X49" s="2">
        <f t="shared" si="2"/>
        <v>2680.95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"4113", " - ", "NON-TAXABLE SALES-TRADE BOOKS")</f>
        <v xml:space="preserve">          4113 - NON-TAXABLE SALES-TRADE BOOKS</v>
      </c>
      <c r="C50" s="11"/>
      <c r="D50" s="2">
        <f>--1134</f>
        <v>1134</v>
      </c>
      <c r="E50" s="2"/>
      <c r="F50" s="22"/>
      <c r="G50" s="2"/>
      <c r="H50" s="2"/>
      <c r="I50" s="2"/>
      <c r="J50" s="22"/>
      <c r="K50" s="2"/>
      <c r="L50" s="2">
        <f t="shared" si="0"/>
        <v>1134</v>
      </c>
      <c r="M50" s="2"/>
      <c r="N50" s="22">
        <f t="shared" si="1"/>
        <v>0</v>
      </c>
      <c r="O50" s="11"/>
      <c r="P50" s="2">
        <f>--1134</f>
        <v>1134</v>
      </c>
      <c r="Q50" s="2"/>
      <c r="R50" s="22"/>
      <c r="S50" s="2"/>
      <c r="T50" s="2"/>
      <c r="U50" s="2"/>
      <c r="V50" s="22"/>
      <c r="W50" s="2"/>
      <c r="X50" s="2">
        <f t="shared" si="2"/>
        <v>1134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"4118", " - ", "NON-TAXABLE SALES-STUDY GUIDES")</f>
        <v xml:space="preserve">          4118 - NON-TAXABLE SALES-STUDY GUIDES</v>
      </c>
      <c r="C51" s="11"/>
      <c r="D51" s="2">
        <f>--6.95</f>
        <v>6.95</v>
      </c>
      <c r="E51" s="2"/>
      <c r="F51" s="22"/>
      <c r="G51" s="2"/>
      <c r="H51" s="2"/>
      <c r="I51" s="2"/>
      <c r="J51" s="22"/>
      <c r="K51" s="2"/>
      <c r="L51" s="2">
        <f t="shared" si="0"/>
        <v>6.95</v>
      </c>
      <c r="M51" s="2"/>
      <c r="N51" s="22">
        <f t="shared" si="1"/>
        <v>0</v>
      </c>
      <c r="O51" s="11"/>
      <c r="P51" s="2">
        <f>--6.95</f>
        <v>6.95</v>
      </c>
      <c r="Q51" s="2"/>
      <c r="R51" s="22"/>
      <c r="S51" s="2"/>
      <c r="T51" s="2"/>
      <c r="U51" s="2"/>
      <c r="V51" s="22"/>
      <c r="W51" s="2"/>
      <c r="X51" s="2">
        <f t="shared" si="2"/>
        <v>6.95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"4125", " - ", "NON-TAXABLE SALES-TEST FORMS")</f>
        <v xml:space="preserve">          4125 - NON-TAXABLE SALES-TEST FORMS</v>
      </c>
      <c r="C52" s="11"/>
      <c r="D52" s="2">
        <f>--4.98</f>
        <v>4.9800000000000004</v>
      </c>
      <c r="E52" s="2"/>
      <c r="F52" s="22"/>
      <c r="G52" s="2"/>
      <c r="H52" s="2"/>
      <c r="I52" s="2"/>
      <c r="J52" s="22"/>
      <c r="K52" s="2"/>
      <c r="L52" s="2">
        <f t="shared" si="0"/>
        <v>4.9800000000000004</v>
      </c>
      <c r="M52" s="2"/>
      <c r="N52" s="22">
        <f t="shared" si="1"/>
        <v>0</v>
      </c>
      <c r="O52" s="11"/>
      <c r="P52" s="2">
        <f>--4.98</f>
        <v>4.9800000000000004</v>
      </c>
      <c r="Q52" s="2"/>
      <c r="R52" s="22"/>
      <c r="S52" s="2"/>
      <c r="T52" s="2"/>
      <c r="U52" s="2"/>
      <c r="V52" s="22"/>
      <c r="W52" s="2"/>
      <c r="X52" s="2">
        <f t="shared" si="2"/>
        <v>4.9800000000000004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"4126", " - ", "NON-TAXABLE SALES-WRITING INST")</f>
        <v xml:space="preserve">          4126 - NON-TAXABLE SALES-WRITING INST</v>
      </c>
      <c r="C53" s="11"/>
      <c r="D53" s="2">
        <f>--167.03</f>
        <v>167.03</v>
      </c>
      <c r="E53" s="2"/>
      <c r="F53" s="22"/>
      <c r="G53" s="2"/>
      <c r="H53" s="2"/>
      <c r="I53" s="2"/>
      <c r="J53" s="22"/>
      <c r="K53" s="2"/>
      <c r="L53" s="2">
        <f t="shared" si="0"/>
        <v>167.03</v>
      </c>
      <c r="M53" s="2"/>
      <c r="N53" s="22">
        <f t="shared" si="1"/>
        <v>0</v>
      </c>
      <c r="O53" s="11"/>
      <c r="P53" s="2">
        <f>--167.03</f>
        <v>167.03</v>
      </c>
      <c r="Q53" s="2"/>
      <c r="R53" s="22"/>
      <c r="S53" s="2"/>
      <c r="T53" s="2"/>
      <c r="U53" s="2"/>
      <c r="V53" s="22"/>
      <c r="W53" s="2"/>
      <c r="X53" s="2">
        <f t="shared" si="2"/>
        <v>167.03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"4127", " - ", "NON-TAXABLE SALES-SCHOOL SUPPL")</f>
        <v xml:space="preserve">          4127 - NON-TAXABLE SALES-SCHOOL SUPPL</v>
      </c>
      <c r="C54" s="11"/>
      <c r="D54" s="2">
        <f>--177.89</f>
        <v>177.89</v>
      </c>
      <c r="E54" s="2"/>
      <c r="F54" s="22"/>
      <c r="G54" s="2"/>
      <c r="H54" s="2"/>
      <c r="I54" s="2"/>
      <c r="J54" s="22"/>
      <c r="K54" s="2"/>
      <c r="L54" s="2">
        <f t="shared" si="0"/>
        <v>177.89</v>
      </c>
      <c r="M54" s="2"/>
      <c r="N54" s="22">
        <f t="shared" si="1"/>
        <v>0</v>
      </c>
      <c r="O54" s="11"/>
      <c r="P54" s="2">
        <f>--177.89</f>
        <v>177.89</v>
      </c>
      <c r="Q54" s="2"/>
      <c r="R54" s="22"/>
      <c r="S54" s="2"/>
      <c r="T54" s="2"/>
      <c r="U54" s="2"/>
      <c r="V54" s="22"/>
      <c r="W54" s="2"/>
      <c r="X54" s="2">
        <f t="shared" si="2"/>
        <v>177.89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"4128", " - ", "NON-TAXABLE SALES-ART/TECH")</f>
        <v xml:space="preserve">          4128 - NON-TAXABLE SALES-ART/TECH</v>
      </c>
      <c r="C55" s="11"/>
      <c r="D55" s="2">
        <f>--1.49</f>
        <v>1.49</v>
      </c>
      <c r="E55" s="2"/>
      <c r="F55" s="22"/>
      <c r="G55" s="2"/>
      <c r="H55" s="2"/>
      <c r="I55" s="2"/>
      <c r="J55" s="22"/>
      <c r="K55" s="2"/>
      <c r="L55" s="2">
        <f t="shared" si="0"/>
        <v>1.49</v>
      </c>
      <c r="M55" s="2"/>
      <c r="N55" s="22">
        <f t="shared" si="1"/>
        <v>0</v>
      </c>
      <c r="O55" s="11"/>
      <c r="P55" s="2">
        <f>--1.49</f>
        <v>1.49</v>
      </c>
      <c r="Q55" s="2"/>
      <c r="R55" s="22"/>
      <c r="S55" s="2"/>
      <c r="T55" s="2"/>
      <c r="U55" s="2"/>
      <c r="V55" s="22"/>
      <c r="W55" s="2"/>
      <c r="X55" s="2">
        <f t="shared" si="2"/>
        <v>1.49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"4131", " - ", "NON-TAXABLE SALES-FOOD")</f>
        <v xml:space="preserve">          4131 - NON-TAXABLE SALES-FOOD</v>
      </c>
      <c r="C56" s="11"/>
      <c r="D56" s="2">
        <f>--269.62</f>
        <v>269.62</v>
      </c>
      <c r="E56" s="2"/>
      <c r="F56" s="22"/>
      <c r="G56" s="2"/>
      <c r="H56" s="2"/>
      <c r="I56" s="2"/>
      <c r="J56" s="22"/>
      <c r="K56" s="2"/>
      <c r="L56" s="2">
        <f t="shared" si="0"/>
        <v>269.62</v>
      </c>
      <c r="M56" s="2"/>
      <c r="N56" s="22">
        <f t="shared" si="1"/>
        <v>0</v>
      </c>
      <c r="O56" s="11"/>
      <c r="P56" s="2">
        <f>--269.62</f>
        <v>269.62</v>
      </c>
      <c r="Q56" s="2"/>
      <c r="R56" s="22"/>
      <c r="S56" s="2"/>
      <c r="T56" s="2"/>
      <c r="U56" s="2"/>
      <c r="V56" s="22"/>
      <c r="W56" s="2"/>
      <c r="X56" s="2">
        <f t="shared" si="2"/>
        <v>269.62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"4132", " - ", "NON-TAXABLE SALES-JUICE")</f>
        <v xml:space="preserve">          4132 - NON-TAXABLE SALES-JUICE</v>
      </c>
      <c r="C57" s="11"/>
      <c r="D57" s="2">
        <f>--32132.94</f>
        <v>32132.94</v>
      </c>
      <c r="E57" s="2"/>
      <c r="F57" s="22"/>
      <c r="G57" s="2"/>
      <c r="H57" s="2"/>
      <c r="I57" s="2"/>
      <c r="J57" s="22"/>
      <c r="K57" s="2"/>
      <c r="L57" s="2">
        <f t="shared" si="0"/>
        <v>32132.94</v>
      </c>
      <c r="M57" s="2"/>
      <c r="N57" s="22">
        <f t="shared" si="1"/>
        <v>0</v>
      </c>
      <c r="O57" s="11"/>
      <c r="P57" s="2">
        <f>--32132.94</f>
        <v>32132.94</v>
      </c>
      <c r="Q57" s="2"/>
      <c r="R57" s="22"/>
      <c r="S57" s="2"/>
      <c r="T57" s="2"/>
      <c r="U57" s="2"/>
      <c r="V57" s="22"/>
      <c r="W57" s="2"/>
      <c r="X57" s="2">
        <f t="shared" si="2"/>
        <v>32132.94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"4133", " - ", "NON-TAXABLE SALES-CANDY")</f>
        <v xml:space="preserve">          4133 - NON-TAXABLE SALES-CANDY</v>
      </c>
      <c r="C58" s="11"/>
      <c r="D58" s="2">
        <f>--472.22</f>
        <v>472.22</v>
      </c>
      <c r="E58" s="2"/>
      <c r="F58" s="22"/>
      <c r="G58" s="2"/>
      <c r="H58" s="2"/>
      <c r="I58" s="2"/>
      <c r="J58" s="22"/>
      <c r="K58" s="2"/>
      <c r="L58" s="2">
        <f t="shared" si="0"/>
        <v>472.22</v>
      </c>
      <c r="M58" s="2"/>
      <c r="N58" s="22">
        <f t="shared" si="1"/>
        <v>0</v>
      </c>
      <c r="O58" s="11"/>
      <c r="P58" s="2">
        <f>--472.22</f>
        <v>472.22</v>
      </c>
      <c r="Q58" s="2"/>
      <c r="R58" s="22"/>
      <c r="S58" s="2"/>
      <c r="T58" s="2"/>
      <c r="U58" s="2"/>
      <c r="V58" s="22"/>
      <c r="W58" s="2"/>
      <c r="X58" s="2">
        <f t="shared" si="2"/>
        <v>472.22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"4134", " - ", "NON-TAXABLE SALES-SODA")</f>
        <v xml:space="preserve">          4134 - NON-TAXABLE SALES-SODA</v>
      </c>
      <c r="C59" s="11"/>
      <c r="D59" s="2">
        <f>-3.39</f>
        <v>-3.39</v>
      </c>
      <c r="E59" s="2"/>
      <c r="F59" s="22"/>
      <c r="G59" s="2"/>
      <c r="H59" s="2"/>
      <c r="I59" s="2"/>
      <c r="J59" s="22"/>
      <c r="K59" s="2"/>
      <c r="L59" s="2">
        <f t="shared" si="0"/>
        <v>-3.39</v>
      </c>
      <c r="M59" s="2"/>
      <c r="N59" s="22">
        <f t="shared" si="1"/>
        <v>0</v>
      </c>
      <c r="O59" s="11"/>
      <c r="P59" s="2">
        <f>-3.39</f>
        <v>-3.39</v>
      </c>
      <c r="Q59" s="2"/>
      <c r="R59" s="22"/>
      <c r="S59" s="2"/>
      <c r="T59" s="2"/>
      <c r="U59" s="2"/>
      <c r="V59" s="22"/>
      <c r="W59" s="2"/>
      <c r="X59" s="2">
        <f t="shared" si="2"/>
        <v>-3.39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"4135", " - ", "NON-TAXABLE SALES")</f>
        <v xml:space="preserve">          4135 - NON-TAXABLE SALES</v>
      </c>
      <c r="C60" s="11"/>
      <c r="D60" s="2">
        <f>--21.54</f>
        <v>21.54</v>
      </c>
      <c r="E60" s="2"/>
      <c r="F60" s="22"/>
      <c r="G60" s="2"/>
      <c r="H60" s="2"/>
      <c r="I60" s="2"/>
      <c r="J60" s="22"/>
      <c r="K60" s="2"/>
      <c r="L60" s="2">
        <f t="shared" si="0"/>
        <v>21.54</v>
      </c>
      <c r="M60" s="2"/>
      <c r="N60" s="22">
        <f t="shared" si="1"/>
        <v>0</v>
      </c>
      <c r="O60" s="11"/>
      <c r="P60" s="2">
        <f>--21.54</f>
        <v>21.54</v>
      </c>
      <c r="Q60" s="2"/>
      <c r="R60" s="22"/>
      <c r="S60" s="2"/>
      <c r="T60" s="2"/>
      <c r="U60" s="2"/>
      <c r="V60" s="22"/>
      <c r="W60" s="2"/>
      <c r="X60" s="2">
        <f t="shared" si="2"/>
        <v>21.54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"4137", " - ", "NON-TAXABLE SALES-WATER")</f>
        <v xml:space="preserve">          4137 - NON-TAXABLE SALES-WATER</v>
      </c>
      <c r="C61" s="11"/>
      <c r="D61" s="2">
        <f>--263.52</f>
        <v>263.52</v>
      </c>
      <c r="E61" s="2"/>
      <c r="F61" s="22"/>
      <c r="G61" s="2"/>
      <c r="H61" s="2"/>
      <c r="I61" s="2"/>
      <c r="J61" s="22"/>
      <c r="K61" s="2"/>
      <c r="L61" s="2">
        <f t="shared" si="0"/>
        <v>263.52</v>
      </c>
      <c r="M61" s="2"/>
      <c r="N61" s="22">
        <f t="shared" si="1"/>
        <v>0</v>
      </c>
      <c r="O61" s="11"/>
      <c r="P61" s="2">
        <f>--263.52</f>
        <v>263.52</v>
      </c>
      <c r="Q61" s="2"/>
      <c r="R61" s="22"/>
      <c r="S61" s="2"/>
      <c r="T61" s="2"/>
      <c r="U61" s="2"/>
      <c r="V61" s="22"/>
      <c r="W61" s="2"/>
      <c r="X61" s="2">
        <f t="shared" si="2"/>
        <v>263.52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"4140", " - ", "NON-TAXABLE SALES-LOGO CLOTHIN")</f>
        <v xml:space="preserve">          4140 - NON-TAXABLE SALES-LOGO CLOTHIN</v>
      </c>
      <c r="C62" s="11"/>
      <c r="D62" s="2">
        <f>--3163.67</f>
        <v>3163.67</v>
      </c>
      <c r="E62" s="2"/>
      <c r="F62" s="22"/>
      <c r="G62" s="2"/>
      <c r="H62" s="2"/>
      <c r="I62" s="2"/>
      <c r="J62" s="22"/>
      <c r="K62" s="2"/>
      <c r="L62" s="2">
        <f t="shared" si="0"/>
        <v>3163.67</v>
      </c>
      <c r="M62" s="2"/>
      <c r="N62" s="22">
        <f t="shared" si="1"/>
        <v>0</v>
      </c>
      <c r="O62" s="11"/>
      <c r="P62" s="2">
        <f>--3163.67</f>
        <v>3163.67</v>
      </c>
      <c r="Q62" s="2"/>
      <c r="R62" s="22"/>
      <c r="S62" s="2"/>
      <c r="T62" s="2"/>
      <c r="U62" s="2"/>
      <c r="V62" s="22"/>
      <c r="W62" s="2"/>
      <c r="X62" s="2">
        <f t="shared" si="2"/>
        <v>3163.67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"4141", " - ", "NON-TAXABLE SALES-LOGO GIFTS")</f>
        <v xml:space="preserve">          4141 - NON-TAXABLE SALES-LOGO GIFTS</v>
      </c>
      <c r="C63" s="11"/>
      <c r="D63" s="2">
        <f>--262.15</f>
        <v>262.14999999999998</v>
      </c>
      <c r="E63" s="2"/>
      <c r="F63" s="22"/>
      <c r="G63" s="2"/>
      <c r="H63" s="2"/>
      <c r="I63" s="2"/>
      <c r="J63" s="22"/>
      <c r="K63" s="2"/>
      <c r="L63" s="2">
        <f t="shared" si="0"/>
        <v>262.14999999999998</v>
      </c>
      <c r="M63" s="2"/>
      <c r="N63" s="22">
        <f t="shared" si="1"/>
        <v>0</v>
      </c>
      <c r="O63" s="11"/>
      <c r="P63" s="2">
        <f>--262.15</f>
        <v>262.14999999999998</v>
      </c>
      <c r="Q63" s="2"/>
      <c r="R63" s="22"/>
      <c r="S63" s="2"/>
      <c r="T63" s="2"/>
      <c r="U63" s="2"/>
      <c r="V63" s="22"/>
      <c r="W63" s="2"/>
      <c r="X63" s="2">
        <f t="shared" si="2"/>
        <v>262.14999999999998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"4142", " - ", "NON-TAXABLE SALES-EVERYDAY GIF")</f>
        <v xml:space="preserve">          4142 - NON-TAXABLE SALES-EVERYDAY GIF</v>
      </c>
      <c r="C64" s="11"/>
      <c r="D64" s="2">
        <f>--342.44</f>
        <v>342.44</v>
      </c>
      <c r="E64" s="2"/>
      <c r="F64" s="22"/>
      <c r="G64" s="2"/>
      <c r="H64" s="2"/>
      <c r="I64" s="2"/>
      <c r="J64" s="22"/>
      <c r="K64" s="2"/>
      <c r="L64" s="2">
        <f t="shared" si="0"/>
        <v>342.44</v>
      </c>
      <c r="M64" s="2"/>
      <c r="N64" s="22">
        <f t="shared" si="1"/>
        <v>0</v>
      </c>
      <c r="O64" s="11"/>
      <c r="P64" s="2">
        <f>--342.44</f>
        <v>342.44</v>
      </c>
      <c r="Q64" s="2"/>
      <c r="R64" s="22"/>
      <c r="S64" s="2"/>
      <c r="T64" s="2"/>
      <c r="U64" s="2"/>
      <c r="V64" s="22"/>
      <c r="W64" s="2"/>
      <c r="X64" s="2">
        <f t="shared" si="2"/>
        <v>342.44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"4144", " - ", "NON-TAXABLE SALES-ACCESSORIES")</f>
        <v xml:space="preserve">          4144 - NON-TAXABLE SALES-ACCESSORIES</v>
      </c>
      <c r="C65" s="11"/>
      <c r="D65" s="2">
        <f>--21.9</f>
        <v>21.9</v>
      </c>
      <c r="E65" s="2"/>
      <c r="F65" s="22"/>
      <c r="G65" s="2"/>
      <c r="H65" s="2"/>
      <c r="I65" s="2"/>
      <c r="J65" s="22"/>
      <c r="K65" s="2"/>
      <c r="L65" s="2">
        <f t="shared" si="0"/>
        <v>21.9</v>
      </c>
      <c r="M65" s="2"/>
      <c r="N65" s="22">
        <f t="shared" si="1"/>
        <v>0</v>
      </c>
      <c r="O65" s="11"/>
      <c r="P65" s="2">
        <f>--21.9</f>
        <v>21.9</v>
      </c>
      <c r="Q65" s="2"/>
      <c r="R65" s="22"/>
      <c r="S65" s="2"/>
      <c r="T65" s="2"/>
      <c r="U65" s="2"/>
      <c r="V65" s="22"/>
      <c r="W65" s="2"/>
      <c r="X65" s="2">
        <f t="shared" si="2"/>
        <v>21.9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"4146", " - ", "NON-TAXABLE SALES-COIN OP MACH")</f>
        <v xml:space="preserve">          4146 - NON-TAXABLE SALES-COIN OP MACH</v>
      </c>
      <c r="C66" s="11"/>
      <c r="D66" s="2">
        <f>--2067.1</f>
        <v>2067.1</v>
      </c>
      <c r="E66" s="2"/>
      <c r="F66" s="22"/>
      <c r="G66" s="2"/>
      <c r="H66" s="2"/>
      <c r="I66" s="2"/>
      <c r="J66" s="22"/>
      <c r="K66" s="2"/>
      <c r="L66" s="2">
        <f t="shared" si="0"/>
        <v>2067.1</v>
      </c>
      <c r="M66" s="2"/>
      <c r="N66" s="22">
        <f t="shared" si="1"/>
        <v>0</v>
      </c>
      <c r="O66" s="11"/>
      <c r="P66" s="2">
        <f>--2067.1</f>
        <v>2067.1</v>
      </c>
      <c r="Q66" s="2"/>
      <c r="R66" s="22"/>
      <c r="S66" s="2"/>
      <c r="T66" s="2"/>
      <c r="U66" s="2"/>
      <c r="V66" s="22"/>
      <c r="W66" s="2"/>
      <c r="X66" s="2">
        <f t="shared" si="2"/>
        <v>2067.1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"4147", " - ", "NON-TAXABLE SALES-MISC")</f>
        <v xml:space="preserve">          4147 - NON-TAXABLE SALES-MISC</v>
      </c>
      <c r="C67" s="11"/>
      <c r="D67" s="2">
        <f>--16.5</f>
        <v>16.5</v>
      </c>
      <c r="E67" s="2"/>
      <c r="F67" s="22"/>
      <c r="G67" s="2"/>
      <c r="H67" s="2"/>
      <c r="I67" s="2"/>
      <c r="J67" s="22"/>
      <c r="K67" s="2"/>
      <c r="L67" s="2">
        <f t="shared" si="0"/>
        <v>16.5</v>
      </c>
      <c r="M67" s="2"/>
      <c r="N67" s="22">
        <f t="shared" si="1"/>
        <v>0</v>
      </c>
      <c r="O67" s="11"/>
      <c r="P67" s="2">
        <f>--16.5</f>
        <v>16.5</v>
      </c>
      <c r="Q67" s="2"/>
      <c r="R67" s="22"/>
      <c r="S67" s="2"/>
      <c r="T67" s="2"/>
      <c r="U67" s="2"/>
      <c r="V67" s="22"/>
      <c r="W67" s="2"/>
      <c r="X67" s="2">
        <f t="shared" si="2"/>
        <v>16.5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"4151", " - ", "NON-TAXABLE SALES-FOOD")</f>
        <v xml:space="preserve">          4151 - NON-TAXABLE SALES-FOOD</v>
      </c>
      <c r="C68" s="11"/>
      <c r="D68" s="2">
        <f>--15396.52</f>
        <v>15396.52</v>
      </c>
      <c r="E68" s="2"/>
      <c r="F68" s="22"/>
      <c r="G68" s="2"/>
      <c r="H68" s="2"/>
      <c r="I68" s="2"/>
      <c r="J68" s="22"/>
      <c r="K68" s="2"/>
      <c r="L68" s="2">
        <f t="shared" si="0"/>
        <v>15396.52</v>
      </c>
      <c r="M68" s="2"/>
      <c r="N68" s="22">
        <f t="shared" si="1"/>
        <v>0</v>
      </c>
      <c r="O68" s="11"/>
      <c r="P68" s="2">
        <f>--15396.52</f>
        <v>15396.52</v>
      </c>
      <c r="Q68" s="2"/>
      <c r="R68" s="22"/>
      <c r="S68" s="2"/>
      <c r="T68" s="2"/>
      <c r="U68" s="2"/>
      <c r="V68" s="22"/>
      <c r="W68" s="2"/>
      <c r="X68" s="2">
        <f t="shared" si="2"/>
        <v>15396.52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"4153", " - ", "NON-TAXABLE SALES-FOOD")</f>
        <v xml:space="preserve">          4153 - NON-TAXABLE SALES-FOOD</v>
      </c>
      <c r="C69" s="11"/>
      <c r="D69" s="2">
        <f>--237</f>
        <v>237</v>
      </c>
      <c r="E69" s="2"/>
      <c r="F69" s="22"/>
      <c r="G69" s="2"/>
      <c r="H69" s="2"/>
      <c r="I69" s="2"/>
      <c r="J69" s="22"/>
      <c r="K69" s="2"/>
      <c r="L69" s="2">
        <f t="shared" si="0"/>
        <v>237</v>
      </c>
      <c r="M69" s="2"/>
      <c r="N69" s="22">
        <f t="shared" si="1"/>
        <v>0</v>
      </c>
      <c r="O69" s="11"/>
      <c r="P69" s="2">
        <f>--237</f>
        <v>237</v>
      </c>
      <c r="Q69" s="2"/>
      <c r="R69" s="22"/>
      <c r="S69" s="2"/>
      <c r="T69" s="2"/>
      <c r="U69" s="2"/>
      <c r="V69" s="22"/>
      <c r="W69" s="2"/>
      <c r="X69" s="2">
        <f t="shared" si="2"/>
        <v>237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"4201", " - ", "SALES RETURN TAXABLE-NEW TEXT")</f>
        <v xml:space="preserve">          4201 - SALES RETURN TAXABLE-NEW TEXT</v>
      </c>
      <c r="C70" s="11"/>
      <c r="D70" s="2">
        <f>-607.15</f>
        <v>-607.15</v>
      </c>
      <c r="E70" s="2"/>
      <c r="F70" s="22"/>
      <c r="G70" s="2"/>
      <c r="H70" s="2"/>
      <c r="I70" s="2"/>
      <c r="J70" s="22"/>
      <c r="K70" s="2"/>
      <c r="L70" s="2">
        <f t="shared" si="0"/>
        <v>-607.15</v>
      </c>
      <c r="M70" s="2"/>
      <c r="N70" s="22">
        <f t="shared" si="1"/>
        <v>0</v>
      </c>
      <c r="O70" s="11"/>
      <c r="P70" s="2">
        <f>-607.15</f>
        <v>-607.15</v>
      </c>
      <c r="Q70" s="2"/>
      <c r="R70" s="22"/>
      <c r="S70" s="2"/>
      <c r="T70" s="2"/>
      <c r="U70" s="2"/>
      <c r="V70" s="22"/>
      <c r="W70" s="2"/>
      <c r="X70" s="2">
        <f t="shared" si="2"/>
        <v>-607.15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"4202", " - ", "SALES RETURN TAXABLE-USED TEXT")</f>
        <v xml:space="preserve">          4202 - SALES RETURN TAXABLE-USED TEXT</v>
      </c>
      <c r="C71" s="11"/>
      <c r="D71" s="2">
        <f>-721.45</f>
        <v>-721.45</v>
      </c>
      <c r="E71" s="2"/>
      <c r="F71" s="22"/>
      <c r="G71" s="2"/>
      <c r="H71" s="2"/>
      <c r="I71" s="2"/>
      <c r="J71" s="22"/>
      <c r="K71" s="2"/>
      <c r="L71" s="2">
        <f t="shared" si="0"/>
        <v>-721.45</v>
      </c>
      <c r="M71" s="2"/>
      <c r="N71" s="22">
        <f t="shared" si="1"/>
        <v>0</v>
      </c>
      <c r="O71" s="11"/>
      <c r="P71" s="2">
        <f>-721.45</f>
        <v>-721.45</v>
      </c>
      <c r="Q71" s="2"/>
      <c r="R71" s="22"/>
      <c r="S71" s="2"/>
      <c r="T71" s="2"/>
      <c r="U71" s="2"/>
      <c r="V71" s="22"/>
      <c r="W71" s="2"/>
      <c r="X71" s="2">
        <f t="shared" si="2"/>
        <v>-721.45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"4225", " - ", "SALES RETURN TAXABLE-TEST FORM")</f>
        <v xml:space="preserve">          4225 - SALES RETURN TAXABLE-TEST FORM</v>
      </c>
      <c r="C72" s="11"/>
      <c r="D72" s="2">
        <f>-4.08</f>
        <v>-4.08</v>
      </c>
      <c r="E72" s="2"/>
      <c r="F72" s="22"/>
      <c r="G72" s="2"/>
      <c r="H72" s="2"/>
      <c r="I72" s="2"/>
      <c r="J72" s="22"/>
      <c r="K72" s="2"/>
      <c r="L72" s="2">
        <f t="shared" si="0"/>
        <v>-4.08</v>
      </c>
      <c r="M72" s="2"/>
      <c r="N72" s="22">
        <f t="shared" si="1"/>
        <v>0</v>
      </c>
      <c r="O72" s="11"/>
      <c r="P72" s="2">
        <f>-4.08</f>
        <v>-4.08</v>
      </c>
      <c r="Q72" s="2"/>
      <c r="R72" s="22"/>
      <c r="S72" s="2"/>
      <c r="T72" s="2"/>
      <c r="U72" s="2"/>
      <c r="V72" s="22"/>
      <c r="W72" s="2"/>
      <c r="X72" s="2">
        <f t="shared" si="2"/>
        <v>-4.08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"4226", " - ", "SALES RETURN TAXABLE-WRITING I")</f>
        <v xml:space="preserve">          4226 - SALES RETURN TAXABLE-WRITING I</v>
      </c>
      <c r="C73" s="11"/>
      <c r="D73" s="2">
        <f>-63.93</f>
        <v>-63.93</v>
      </c>
      <c r="E73" s="2"/>
      <c r="F73" s="22"/>
      <c r="G73" s="2"/>
      <c r="H73" s="2"/>
      <c r="I73" s="2"/>
      <c r="J73" s="22"/>
      <c r="K73" s="2"/>
      <c r="L73" s="2">
        <f t="shared" si="0"/>
        <v>-63.93</v>
      </c>
      <c r="M73" s="2"/>
      <c r="N73" s="22">
        <f t="shared" si="1"/>
        <v>0</v>
      </c>
      <c r="O73" s="11"/>
      <c r="P73" s="2">
        <f>-63.93</f>
        <v>-63.93</v>
      </c>
      <c r="Q73" s="2"/>
      <c r="R73" s="22"/>
      <c r="S73" s="2"/>
      <c r="T73" s="2"/>
      <c r="U73" s="2"/>
      <c r="V73" s="22"/>
      <c r="W73" s="2"/>
      <c r="X73" s="2">
        <f t="shared" si="2"/>
        <v>-63.93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"4227", " - ", "SALES RETURN TAXABLE-SCHOOL SU")</f>
        <v xml:space="preserve">          4227 - SALES RETURN TAXABLE-SCHOOL SU</v>
      </c>
      <c r="C74" s="11"/>
      <c r="D74" s="2">
        <f>-165.44</f>
        <v>-165.44</v>
      </c>
      <c r="E74" s="2"/>
      <c r="F74" s="22"/>
      <c r="G74" s="2"/>
      <c r="H74" s="2"/>
      <c r="I74" s="2"/>
      <c r="J74" s="22"/>
      <c r="K74" s="2"/>
      <c r="L74" s="2">
        <f t="shared" si="0"/>
        <v>-165.44</v>
      </c>
      <c r="M74" s="2"/>
      <c r="N74" s="22">
        <f t="shared" si="1"/>
        <v>0</v>
      </c>
      <c r="O74" s="11"/>
      <c r="P74" s="2">
        <f>-165.44</f>
        <v>-165.44</v>
      </c>
      <c r="Q74" s="2"/>
      <c r="R74" s="22"/>
      <c r="S74" s="2"/>
      <c r="T74" s="2"/>
      <c r="U74" s="2"/>
      <c r="V74" s="22"/>
      <c r="W74" s="2"/>
      <c r="X74" s="2">
        <f t="shared" si="2"/>
        <v>-165.44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"4228", " - ", "SALES RETURN TAXABLE-ART/TECH")</f>
        <v xml:space="preserve">          4228 - SALES RETURN TAXABLE-ART/TECH</v>
      </c>
      <c r="C75" s="11"/>
      <c r="D75" s="2">
        <f>-10.37</f>
        <v>-10.37</v>
      </c>
      <c r="E75" s="2"/>
      <c r="F75" s="22"/>
      <c r="G75" s="2"/>
      <c r="H75" s="2"/>
      <c r="I75" s="2"/>
      <c r="J75" s="22"/>
      <c r="K75" s="2"/>
      <c r="L75" s="2">
        <f t="shared" si="0"/>
        <v>-10.37</v>
      </c>
      <c r="M75" s="2"/>
      <c r="N75" s="22">
        <f t="shared" si="1"/>
        <v>0</v>
      </c>
      <c r="O75" s="11"/>
      <c r="P75" s="2">
        <f>-10.37</f>
        <v>-10.37</v>
      </c>
      <c r="Q75" s="2"/>
      <c r="R75" s="22"/>
      <c r="S75" s="2"/>
      <c r="T75" s="2"/>
      <c r="U75" s="2"/>
      <c r="V75" s="22"/>
      <c r="W75" s="2"/>
      <c r="X75" s="2">
        <f t="shared" si="2"/>
        <v>-10.37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"4240", " - ", "SALES RETURN TAXABLE-LOGO CLOT")</f>
        <v xml:space="preserve">          4240 - SALES RETURN TAXABLE-LOGO CLOT</v>
      </c>
      <c r="C76" s="11"/>
      <c r="D76" s="2">
        <f>-4446.84</f>
        <v>-4446.84</v>
      </c>
      <c r="E76" s="2"/>
      <c r="F76" s="22"/>
      <c r="G76" s="2"/>
      <c r="H76" s="2"/>
      <c r="I76" s="2"/>
      <c r="J76" s="22"/>
      <c r="K76" s="2"/>
      <c r="L76" s="2">
        <f t="shared" si="0"/>
        <v>-4446.84</v>
      </c>
      <c r="M76" s="2"/>
      <c r="N76" s="22">
        <f t="shared" si="1"/>
        <v>0</v>
      </c>
      <c r="O76" s="11"/>
      <c r="P76" s="2">
        <f>-4446.84</f>
        <v>-4446.84</v>
      </c>
      <c r="Q76" s="2"/>
      <c r="R76" s="22"/>
      <c r="S76" s="2"/>
      <c r="T76" s="2"/>
      <c r="U76" s="2"/>
      <c r="V76" s="22"/>
      <c r="W76" s="2"/>
      <c r="X76" s="2">
        <f t="shared" si="2"/>
        <v>-4446.84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"4241", " - ", "SALES RETURN TAXABLE-LOGO GIFT")</f>
        <v xml:space="preserve">          4241 - SALES RETURN TAXABLE-LOGO GIFT</v>
      </c>
      <c r="C77" s="11"/>
      <c r="D77" s="2">
        <f>-718.9</f>
        <v>-718.9</v>
      </c>
      <c r="E77" s="2"/>
      <c r="F77" s="22"/>
      <c r="G77" s="2"/>
      <c r="H77" s="2"/>
      <c r="I77" s="2"/>
      <c r="J77" s="22"/>
      <c r="K77" s="2"/>
      <c r="L77" s="2">
        <f t="shared" si="0"/>
        <v>-718.9</v>
      </c>
      <c r="M77" s="2"/>
      <c r="N77" s="22">
        <f t="shared" si="1"/>
        <v>0</v>
      </c>
      <c r="O77" s="11"/>
      <c r="P77" s="2">
        <f>-718.9</f>
        <v>-718.9</v>
      </c>
      <c r="Q77" s="2"/>
      <c r="R77" s="22"/>
      <c r="S77" s="2"/>
      <c r="T77" s="2"/>
      <c r="U77" s="2"/>
      <c r="V77" s="22"/>
      <c r="W77" s="2"/>
      <c r="X77" s="2">
        <f t="shared" si="2"/>
        <v>-718.9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"4242", " - ", "SALES RETURN TAXABLE-EVERYDAY")</f>
        <v xml:space="preserve">          4242 - SALES RETURN TAXABLE-EVERYDAY</v>
      </c>
      <c r="C78" s="11"/>
      <c r="D78" s="2">
        <f>-373.98</f>
        <v>-373.98</v>
      </c>
      <c r="E78" s="2"/>
      <c r="F78" s="22"/>
      <c r="G78" s="2"/>
      <c r="H78" s="2"/>
      <c r="I78" s="2"/>
      <c r="J78" s="22"/>
      <c r="K78" s="2"/>
      <c r="L78" s="2">
        <f t="shared" si="0"/>
        <v>-373.98</v>
      </c>
      <c r="M78" s="2"/>
      <c r="N78" s="22">
        <f t="shared" si="1"/>
        <v>0</v>
      </c>
      <c r="O78" s="11"/>
      <c r="P78" s="2">
        <f>-373.98</f>
        <v>-373.98</v>
      </c>
      <c r="Q78" s="2"/>
      <c r="R78" s="22"/>
      <c r="S78" s="2"/>
      <c r="T78" s="2"/>
      <c r="U78" s="2"/>
      <c r="V78" s="22"/>
      <c r="W78" s="2"/>
      <c r="X78" s="2">
        <f t="shared" si="2"/>
        <v>-373.98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"4244", " - ", "SALES RETURN TAXABLE-ACCESSORI")</f>
        <v xml:space="preserve">          4244 - SALES RETURN TAXABLE-ACCESSORI</v>
      </c>
      <c r="C79" s="11"/>
      <c r="D79" s="2">
        <f>-106.79</f>
        <v>-106.79</v>
      </c>
      <c r="E79" s="2"/>
      <c r="F79" s="22"/>
      <c r="G79" s="2"/>
      <c r="H79" s="2"/>
      <c r="I79" s="2"/>
      <c r="J79" s="22"/>
      <c r="K79" s="2"/>
      <c r="L79" s="2">
        <f t="shared" si="0"/>
        <v>-106.79</v>
      </c>
      <c r="M79" s="2"/>
      <c r="N79" s="22">
        <f t="shared" si="1"/>
        <v>0</v>
      </c>
      <c r="O79" s="11"/>
      <c r="P79" s="2">
        <f>-106.79</f>
        <v>-106.79</v>
      </c>
      <c r="Q79" s="2"/>
      <c r="R79" s="22"/>
      <c r="S79" s="2"/>
      <c r="T79" s="2"/>
      <c r="U79" s="2"/>
      <c r="V79" s="22"/>
      <c r="W79" s="2"/>
      <c r="X79" s="2">
        <f t="shared" si="2"/>
        <v>-106.79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"4292", " - ", "SALES RETURN TAXABLE-GRAD MERC")</f>
        <v xml:space="preserve">          4292 - SALES RETURN TAXABLE-GRAD MERC</v>
      </c>
      <c r="C80" s="11"/>
      <c r="D80" s="2">
        <f>-9.95</f>
        <v>-9.9499999999999993</v>
      </c>
      <c r="E80" s="2"/>
      <c r="F80" s="22"/>
      <c r="G80" s="2"/>
      <c r="H80" s="2"/>
      <c r="I80" s="2"/>
      <c r="J80" s="22"/>
      <c r="K80" s="2"/>
      <c r="L80" s="2">
        <f t="shared" si="0"/>
        <v>-9.9499999999999993</v>
      </c>
      <c r="M80" s="2"/>
      <c r="N80" s="22">
        <f t="shared" si="1"/>
        <v>0</v>
      </c>
      <c r="O80" s="11"/>
      <c r="P80" s="2">
        <f>-9.95</f>
        <v>-9.9499999999999993</v>
      </c>
      <c r="Q80" s="2"/>
      <c r="R80" s="22"/>
      <c r="S80" s="2"/>
      <c r="T80" s="2"/>
      <c r="U80" s="2"/>
      <c r="V80" s="22"/>
      <c r="W80" s="2"/>
      <c r="X80" s="2">
        <f t="shared" si="2"/>
        <v>-9.9499999999999993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"4301", " - ", "SALES RETURN NON TAXABLE-NEW T")</f>
        <v xml:space="preserve">          4301 - SALES RETURN NON TAXABLE-NEW T</v>
      </c>
      <c r="C81" s="11"/>
      <c r="D81" s="2">
        <f>-254.59</f>
        <v>-254.59</v>
      </c>
      <c r="E81" s="2"/>
      <c r="F81" s="22"/>
      <c r="G81" s="2"/>
      <c r="H81" s="2"/>
      <c r="I81" s="2"/>
      <c r="J81" s="22"/>
      <c r="K81" s="2"/>
      <c r="L81" s="2">
        <f t="shared" si="0"/>
        <v>-254.59</v>
      </c>
      <c r="M81" s="2"/>
      <c r="N81" s="22">
        <f t="shared" si="1"/>
        <v>0</v>
      </c>
      <c r="O81" s="11"/>
      <c r="P81" s="2">
        <f>-254.59</f>
        <v>-254.59</v>
      </c>
      <c r="Q81" s="2"/>
      <c r="R81" s="22"/>
      <c r="S81" s="2"/>
      <c r="T81" s="2"/>
      <c r="U81" s="2"/>
      <c r="V81" s="22"/>
      <c r="W81" s="2"/>
      <c r="X81" s="2">
        <f t="shared" si="2"/>
        <v>-254.59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"4311", " - ", "SALES RETURN NON TAXABLE-NO VA")</f>
        <v xml:space="preserve">          4311 - SALES RETURN NON TAXABLE-NO VA</v>
      </c>
      <c r="C82" s="11"/>
      <c r="D82" s="2">
        <f>-31.98</f>
        <v>-31.98</v>
      </c>
      <c r="E82" s="2"/>
      <c r="F82" s="22"/>
      <c r="G82" s="2"/>
      <c r="H82" s="2"/>
      <c r="I82" s="2"/>
      <c r="J82" s="22"/>
      <c r="K82" s="2"/>
      <c r="L82" s="2">
        <f t="shared" si="0"/>
        <v>-31.98</v>
      </c>
      <c r="M82" s="2"/>
      <c r="N82" s="22">
        <f t="shared" si="1"/>
        <v>0</v>
      </c>
      <c r="O82" s="11"/>
      <c r="P82" s="2">
        <f>-31.98</f>
        <v>-31.98</v>
      </c>
      <c r="Q82" s="2"/>
      <c r="R82" s="22"/>
      <c r="S82" s="2"/>
      <c r="T82" s="2"/>
      <c r="U82" s="2"/>
      <c r="V82" s="22"/>
      <c r="W82" s="2"/>
      <c r="X82" s="2">
        <f t="shared" si="2"/>
        <v>-31.98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"4340", " - ", "SALES RETURN NON TAXABLE-LOGO")</f>
        <v xml:space="preserve">          4340 - SALES RETURN NON TAXABLE-LOGO</v>
      </c>
      <c r="C83" s="11"/>
      <c r="D83" s="2">
        <f>-223.55</f>
        <v>-223.55</v>
      </c>
      <c r="E83" s="2"/>
      <c r="F83" s="22"/>
      <c r="G83" s="2"/>
      <c r="H83" s="2"/>
      <c r="I83" s="2"/>
      <c r="J83" s="22"/>
      <c r="K83" s="2"/>
      <c r="L83" s="2">
        <f t="shared" si="0"/>
        <v>-223.55</v>
      </c>
      <c r="M83" s="2"/>
      <c r="N83" s="22">
        <f t="shared" si="1"/>
        <v>0</v>
      </c>
      <c r="O83" s="11"/>
      <c r="P83" s="2">
        <f>-223.55</f>
        <v>-223.55</v>
      </c>
      <c r="Q83" s="2"/>
      <c r="R83" s="22"/>
      <c r="S83" s="2"/>
      <c r="T83" s="2"/>
      <c r="U83" s="2"/>
      <c r="V83" s="22"/>
      <c r="W83" s="2"/>
      <c r="X83" s="2">
        <f t="shared" si="2"/>
        <v>-223.55</v>
      </c>
      <c r="Y83" s="2"/>
      <c r="Z83" s="22">
        <f t="shared" si="3"/>
        <v>0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collapsed="1" x14ac:dyDescent="0.25">
      <c r="A85" s="10"/>
      <c r="B85" s="25" t="s">
        <v>8</v>
      </c>
      <c r="C85" s="10"/>
      <c r="D85" s="4">
        <f>SUM(OSRRefD16x_0)</f>
        <v>219188.74999999991</v>
      </c>
      <c r="E85" s="4"/>
      <c r="F85" s="12">
        <f t="shared" ref="F85:F124" si="4">IF(D$12=0,0,D85/D$12)</f>
        <v>0.53361324959589851</v>
      </c>
      <c r="G85" s="4"/>
      <c r="H85" s="4">
        <f>SUM(OSRRefH16x_0)</f>
        <v>237977.56432</v>
      </c>
      <c r="I85" s="4"/>
      <c r="J85" s="12">
        <f t="shared" ref="J85:J124" si="5">IF(H$12=0,0,H85/H$12)</f>
        <v>0.53300402499264554</v>
      </c>
      <c r="K85" s="4"/>
      <c r="L85" s="4">
        <f t="shared" ref="L85:L124" si="6">+D85-H85</f>
        <v>-18788.814320000092</v>
      </c>
      <c r="M85" s="4"/>
      <c r="N85" s="12">
        <f t="shared" ref="N85:N124" si="7">IF(H85=0,0,L85/H85)</f>
        <v>-7.8952040599656867E-2</v>
      </c>
      <c r="O85" s="10"/>
      <c r="P85" s="4">
        <f>SUM(OSRRefP16x_0)</f>
        <v>219188.74999999991</v>
      </c>
      <c r="Q85" s="4"/>
      <c r="R85" s="12">
        <f t="shared" ref="R85:R124" si="8">IF(P$12=0,0,P85/P$12)</f>
        <v>0.53361324959589851</v>
      </c>
      <c r="S85" s="4"/>
      <c r="T85" s="4">
        <f>SUM(OSRRefT16x_0)</f>
        <v>237977.56432</v>
      </c>
      <c r="U85" s="4"/>
      <c r="V85" s="12">
        <f t="shared" ref="V85:V124" si="9">IF(T$12=0,0,T85/T$12)</f>
        <v>0.53300402499264554</v>
      </c>
      <c r="W85" s="4"/>
      <c r="X85" s="4">
        <f t="shared" ref="X85:X124" si="10">+P85-T85</f>
        <v>-18788.814320000092</v>
      </c>
      <c r="Y85" s="4"/>
      <c r="Z85" s="12">
        <f t="shared" ref="Z85:Z124" si="11">IF(T85=0,0,X85/T85)</f>
        <v>-7.8952040599656867E-2</v>
      </c>
    </row>
    <row r="86" spans="1:26" s="24" customFormat="1" hidden="1" outlineLevel="1" x14ac:dyDescent="0.25">
      <c r="A86" s="51"/>
      <c r="B86" s="11" t="str">
        <f>CONCATENATE("          ", "5000", " - ", "PURCHASES @ COST")</f>
        <v xml:space="preserve">          5000 - PURCHASES @ COST</v>
      </c>
      <c r="C86" s="11"/>
      <c r="D86" s="2"/>
      <c r="E86" s="2"/>
      <c r="F86" s="22">
        <f t="shared" si="4"/>
        <v>0</v>
      </c>
      <c r="G86" s="2"/>
      <c r="H86" s="2">
        <v>237977.56432</v>
      </c>
      <c r="I86" s="2"/>
      <c r="J86" s="22">
        <f t="shared" si="5"/>
        <v>0.53300402499264554</v>
      </c>
      <c r="K86" s="2"/>
      <c r="L86" s="2">
        <f t="shared" si="6"/>
        <v>-237977.56432</v>
      </c>
      <c r="M86" s="2"/>
      <c r="N86" s="22">
        <f t="shared" si="7"/>
        <v>-1</v>
      </c>
      <c r="O86" s="11"/>
      <c r="P86" s="2"/>
      <c r="Q86" s="2"/>
      <c r="R86" s="22">
        <f t="shared" si="8"/>
        <v>0</v>
      </c>
      <c r="S86" s="2"/>
      <c r="T86" s="2">
        <v>237977.56432</v>
      </c>
      <c r="U86" s="2"/>
      <c r="V86" s="22">
        <f t="shared" si="9"/>
        <v>0.53300402499264554</v>
      </c>
      <c r="W86" s="2"/>
      <c r="X86" s="2">
        <f t="shared" si="10"/>
        <v>-237977.56432</v>
      </c>
      <c r="Y86" s="2"/>
      <c r="Z86" s="22">
        <f t="shared" si="11"/>
        <v>-1</v>
      </c>
    </row>
    <row r="87" spans="1:26" s="24" customFormat="1" hidden="1" outlineLevel="1" x14ac:dyDescent="0.25">
      <c r="A87" s="51"/>
      <c r="B87" s="11" t="str">
        <f>CONCATENATE("          ", "5001", " - ", "PURCHASES @ COST-NEW TEXT")</f>
        <v xml:space="preserve">          5001 - PURCHASES @ COST-NEW TEXT</v>
      </c>
      <c r="C87" s="11"/>
      <c r="D87" s="2">
        <v>343994.56</v>
      </c>
      <c r="E87" s="2"/>
      <c r="F87" s="22">
        <f t="shared" si="4"/>
        <v>0.83745199060130293</v>
      </c>
      <c r="G87" s="2"/>
      <c r="H87" s="2"/>
      <c r="I87" s="2"/>
      <c r="J87" s="22">
        <f t="shared" si="5"/>
        <v>0</v>
      </c>
      <c r="K87" s="2"/>
      <c r="L87" s="2">
        <f t="shared" si="6"/>
        <v>343994.56</v>
      </c>
      <c r="M87" s="2"/>
      <c r="N87" s="22">
        <f t="shared" si="7"/>
        <v>0</v>
      </c>
      <c r="O87" s="11"/>
      <c r="P87" s="2">
        <v>343994.56</v>
      </c>
      <c r="Q87" s="2"/>
      <c r="R87" s="22">
        <f t="shared" si="8"/>
        <v>0.83745199060130293</v>
      </c>
      <c r="S87" s="2"/>
      <c r="T87" s="2"/>
      <c r="U87" s="2"/>
      <c r="V87" s="22">
        <f t="shared" si="9"/>
        <v>0</v>
      </c>
      <c r="W87" s="2"/>
      <c r="X87" s="2">
        <f t="shared" si="10"/>
        <v>343994.56</v>
      </c>
      <c r="Y87" s="2"/>
      <c r="Z87" s="22">
        <f t="shared" si="11"/>
        <v>0</v>
      </c>
    </row>
    <row r="88" spans="1:26" s="24" customFormat="1" hidden="1" outlineLevel="1" x14ac:dyDescent="0.25">
      <c r="A88" s="51"/>
      <c r="B88" s="11" t="str">
        <f>CONCATENATE("          ", "5002", " - ", "PURCHASES @ COST-USED TEXT")</f>
        <v xml:space="preserve">          5002 - PURCHASES @ COST-USED TEXT</v>
      </c>
      <c r="C88" s="11"/>
      <c r="D88" s="2">
        <v>110293.25</v>
      </c>
      <c r="E88" s="2"/>
      <c r="F88" s="22">
        <f t="shared" si="4"/>
        <v>0.2685080303664894</v>
      </c>
      <c r="G88" s="2"/>
      <c r="H88" s="2"/>
      <c r="I88" s="2"/>
      <c r="J88" s="22">
        <f t="shared" si="5"/>
        <v>0</v>
      </c>
      <c r="K88" s="2"/>
      <c r="L88" s="2">
        <f t="shared" si="6"/>
        <v>110293.25</v>
      </c>
      <c r="M88" s="2"/>
      <c r="N88" s="22">
        <f t="shared" si="7"/>
        <v>0</v>
      </c>
      <c r="O88" s="11"/>
      <c r="P88" s="2">
        <v>110293.25</v>
      </c>
      <c r="Q88" s="2"/>
      <c r="R88" s="22">
        <f t="shared" si="8"/>
        <v>0.2685080303664894</v>
      </c>
      <c r="S88" s="2"/>
      <c r="T88" s="2"/>
      <c r="U88" s="2"/>
      <c r="V88" s="22">
        <f t="shared" si="9"/>
        <v>0</v>
      </c>
      <c r="W88" s="2"/>
      <c r="X88" s="2">
        <f t="shared" si="10"/>
        <v>110293.25</v>
      </c>
      <c r="Y88" s="2"/>
      <c r="Z88" s="22">
        <f t="shared" si="11"/>
        <v>0</v>
      </c>
    </row>
    <row r="89" spans="1:26" s="24" customFormat="1" hidden="1" outlineLevel="1" x14ac:dyDescent="0.25">
      <c r="A89" s="51"/>
      <c r="B89" s="11" t="str">
        <f>CONCATENATE("          ", "5003", " - ", "PURCHASES @ COST-RENTAL TEXT")</f>
        <v xml:space="preserve">          5003 - PURCHASES @ COST-RENTAL TEXT</v>
      </c>
      <c r="C89" s="11"/>
      <c r="D89" s="2">
        <v>38295.800000000003</v>
      </c>
      <c r="E89" s="2"/>
      <c r="F89" s="22">
        <f t="shared" si="4"/>
        <v>9.3230817201496965E-2</v>
      </c>
      <c r="G89" s="2"/>
      <c r="H89" s="2"/>
      <c r="I89" s="2"/>
      <c r="J89" s="22">
        <f t="shared" si="5"/>
        <v>0</v>
      </c>
      <c r="K89" s="2"/>
      <c r="L89" s="2">
        <f t="shared" si="6"/>
        <v>38295.800000000003</v>
      </c>
      <c r="M89" s="2"/>
      <c r="N89" s="22">
        <f t="shared" si="7"/>
        <v>0</v>
      </c>
      <c r="O89" s="11"/>
      <c r="P89" s="2">
        <v>38295.800000000003</v>
      </c>
      <c r="Q89" s="2"/>
      <c r="R89" s="22">
        <f t="shared" si="8"/>
        <v>9.3230817201496965E-2</v>
      </c>
      <c r="S89" s="2"/>
      <c r="T89" s="2"/>
      <c r="U89" s="2"/>
      <c r="V89" s="22">
        <f t="shared" si="9"/>
        <v>0</v>
      </c>
      <c r="W89" s="2"/>
      <c r="X89" s="2">
        <f t="shared" si="10"/>
        <v>38295.800000000003</v>
      </c>
      <c r="Y89" s="2"/>
      <c r="Z89" s="22">
        <f t="shared" si="11"/>
        <v>0</v>
      </c>
    </row>
    <row r="90" spans="1:26" s="24" customFormat="1" hidden="1" outlineLevel="1" x14ac:dyDescent="0.25">
      <c r="A90" s="51"/>
      <c r="B90" s="11" t="str">
        <f>CONCATENATE("          ", "5004", " - ", "PURCHASES @ COST-DIGITAL TEXT")</f>
        <v xml:space="preserve">          5004 - PURCHASES @ COST-DIGITAL TEXT</v>
      </c>
      <c r="C90" s="11"/>
      <c r="D90" s="2">
        <v>133958.57</v>
      </c>
      <c r="E90" s="2"/>
      <c r="F90" s="22">
        <f t="shared" si="4"/>
        <v>0.3261210616371491</v>
      </c>
      <c r="G90" s="2"/>
      <c r="H90" s="2"/>
      <c r="I90" s="2"/>
      <c r="J90" s="22">
        <f t="shared" si="5"/>
        <v>0</v>
      </c>
      <c r="K90" s="2"/>
      <c r="L90" s="2">
        <f t="shared" si="6"/>
        <v>133958.57</v>
      </c>
      <c r="M90" s="2"/>
      <c r="N90" s="22">
        <f t="shared" si="7"/>
        <v>0</v>
      </c>
      <c r="O90" s="11"/>
      <c r="P90" s="2">
        <v>133958.57</v>
      </c>
      <c r="Q90" s="2"/>
      <c r="R90" s="22">
        <f t="shared" si="8"/>
        <v>0.3261210616371491</v>
      </c>
      <c r="S90" s="2"/>
      <c r="T90" s="2"/>
      <c r="U90" s="2"/>
      <c r="V90" s="22">
        <f t="shared" si="9"/>
        <v>0</v>
      </c>
      <c r="W90" s="2"/>
      <c r="X90" s="2">
        <f t="shared" si="10"/>
        <v>133958.57</v>
      </c>
      <c r="Y90" s="2"/>
      <c r="Z90" s="22">
        <f t="shared" si="11"/>
        <v>0</v>
      </c>
    </row>
    <row r="91" spans="1:26" s="24" customFormat="1" hidden="1" outlineLevel="1" x14ac:dyDescent="0.25">
      <c r="A91" s="51"/>
      <c r="B91" s="11" t="str">
        <f>CONCATENATE("          ", "5011", " - ", "PURCHASES @ COST-NO VALUE TEXT")</f>
        <v xml:space="preserve">          5011 - PURCHASES @ COST-NO VALUE TEXT</v>
      </c>
      <c r="C91" s="11"/>
      <c r="D91" s="2">
        <v>288</v>
      </c>
      <c r="E91" s="2"/>
      <c r="F91" s="22">
        <f t="shared" si="4"/>
        <v>7.0113368447796167E-4</v>
      </c>
      <c r="G91" s="2"/>
      <c r="H91" s="2"/>
      <c r="I91" s="2"/>
      <c r="J91" s="22">
        <f t="shared" si="5"/>
        <v>0</v>
      </c>
      <c r="K91" s="2"/>
      <c r="L91" s="2">
        <f t="shared" si="6"/>
        <v>288</v>
      </c>
      <c r="M91" s="2"/>
      <c r="N91" s="22">
        <f t="shared" si="7"/>
        <v>0</v>
      </c>
      <c r="O91" s="11"/>
      <c r="P91" s="2">
        <v>288</v>
      </c>
      <c r="Q91" s="2"/>
      <c r="R91" s="22">
        <f t="shared" si="8"/>
        <v>7.0113368447796167E-4</v>
      </c>
      <c r="S91" s="2"/>
      <c r="T91" s="2"/>
      <c r="U91" s="2"/>
      <c r="V91" s="22">
        <f t="shared" si="9"/>
        <v>0</v>
      </c>
      <c r="W91" s="2"/>
      <c r="X91" s="2">
        <f t="shared" si="10"/>
        <v>288</v>
      </c>
      <c r="Y91" s="2"/>
      <c r="Z91" s="22">
        <f t="shared" si="11"/>
        <v>0</v>
      </c>
    </row>
    <row r="92" spans="1:26" s="24" customFormat="1" hidden="1" outlineLevel="1" x14ac:dyDescent="0.25">
      <c r="A92" s="51"/>
      <c r="B92" s="11" t="str">
        <f>CONCATENATE("          ", "5013", " - ", "PURCHASES @ COST-TRADE BOOKS")</f>
        <v xml:space="preserve">          5013 - PURCHASES @ COST-TRADE BOOKS</v>
      </c>
      <c r="C92" s="11"/>
      <c r="D92" s="2">
        <v>204.9</v>
      </c>
      <c r="E92" s="2"/>
      <c r="F92" s="22">
        <f t="shared" si="4"/>
        <v>4.988274026025498E-4</v>
      </c>
      <c r="G92" s="2"/>
      <c r="H92" s="2"/>
      <c r="I92" s="2"/>
      <c r="J92" s="22">
        <f t="shared" si="5"/>
        <v>0</v>
      </c>
      <c r="K92" s="2"/>
      <c r="L92" s="2">
        <f t="shared" si="6"/>
        <v>204.9</v>
      </c>
      <c r="M92" s="2"/>
      <c r="N92" s="22">
        <f t="shared" si="7"/>
        <v>0</v>
      </c>
      <c r="O92" s="11"/>
      <c r="P92" s="2">
        <v>204.9</v>
      </c>
      <c r="Q92" s="2"/>
      <c r="R92" s="22">
        <f t="shared" si="8"/>
        <v>4.988274026025498E-4</v>
      </c>
      <c r="S92" s="2"/>
      <c r="T92" s="2"/>
      <c r="U92" s="2"/>
      <c r="V92" s="22">
        <f t="shared" si="9"/>
        <v>0</v>
      </c>
      <c r="W92" s="2"/>
      <c r="X92" s="2">
        <f t="shared" si="10"/>
        <v>204.9</v>
      </c>
      <c r="Y92" s="2"/>
      <c r="Z92" s="22">
        <f t="shared" si="11"/>
        <v>0</v>
      </c>
    </row>
    <row r="93" spans="1:26" s="24" customFormat="1" hidden="1" outlineLevel="1" x14ac:dyDescent="0.25">
      <c r="A93" s="51"/>
      <c r="B93" s="11" t="str">
        <f>CONCATENATE("          ", "5014", " - ", "PURCHASES @ COST-REMAINDERS")</f>
        <v xml:space="preserve">          5014 - PURCHASES @ COST-REMAINDERS</v>
      </c>
      <c r="C93" s="11"/>
      <c r="D93" s="2">
        <v>100.48</v>
      </c>
      <c r="E93" s="2"/>
      <c r="F93" s="22">
        <f t="shared" si="4"/>
        <v>2.4461775214008885E-4</v>
      </c>
      <c r="G93" s="2"/>
      <c r="H93" s="2"/>
      <c r="I93" s="2"/>
      <c r="J93" s="22">
        <f t="shared" si="5"/>
        <v>0</v>
      </c>
      <c r="K93" s="2"/>
      <c r="L93" s="2">
        <f t="shared" si="6"/>
        <v>100.48</v>
      </c>
      <c r="M93" s="2"/>
      <c r="N93" s="22">
        <f t="shared" si="7"/>
        <v>0</v>
      </c>
      <c r="O93" s="11"/>
      <c r="P93" s="2">
        <v>100.48</v>
      </c>
      <c r="Q93" s="2"/>
      <c r="R93" s="22">
        <f t="shared" si="8"/>
        <v>2.4461775214008885E-4</v>
      </c>
      <c r="S93" s="2"/>
      <c r="T93" s="2"/>
      <c r="U93" s="2"/>
      <c r="V93" s="22">
        <f t="shared" si="9"/>
        <v>0</v>
      </c>
      <c r="W93" s="2"/>
      <c r="X93" s="2">
        <f t="shared" si="10"/>
        <v>100.48</v>
      </c>
      <c r="Y93" s="2"/>
      <c r="Z93" s="22">
        <f t="shared" si="11"/>
        <v>0</v>
      </c>
    </row>
    <row r="94" spans="1:26" s="24" customFormat="1" hidden="1" outlineLevel="1" x14ac:dyDescent="0.25">
      <c r="A94" s="51"/>
      <c r="B94" s="11" t="str">
        <f>CONCATENATE("          ", "5018", " - ", "PURCHASES @ COST-STUDY GUIDES")</f>
        <v xml:space="preserve">          5018 - PURCHASES @ COST-STUDY GUIDES</v>
      </c>
      <c r="C94" s="11"/>
      <c r="D94" s="2">
        <v>503.93</v>
      </c>
      <c r="E94" s="2"/>
      <c r="F94" s="22">
        <f t="shared" si="4"/>
        <v>1.2268135333992334E-3</v>
      </c>
      <c r="G94" s="2"/>
      <c r="H94" s="2"/>
      <c r="I94" s="2"/>
      <c r="J94" s="22">
        <f t="shared" si="5"/>
        <v>0</v>
      </c>
      <c r="K94" s="2"/>
      <c r="L94" s="2">
        <f t="shared" si="6"/>
        <v>503.93</v>
      </c>
      <c r="M94" s="2"/>
      <c r="N94" s="22">
        <f t="shared" si="7"/>
        <v>0</v>
      </c>
      <c r="O94" s="11"/>
      <c r="P94" s="2">
        <v>503.93</v>
      </c>
      <c r="Q94" s="2"/>
      <c r="R94" s="22">
        <f t="shared" si="8"/>
        <v>1.2268135333992334E-3</v>
      </c>
      <c r="S94" s="2"/>
      <c r="T94" s="2"/>
      <c r="U94" s="2"/>
      <c r="V94" s="22">
        <f t="shared" si="9"/>
        <v>0</v>
      </c>
      <c r="W94" s="2"/>
      <c r="X94" s="2">
        <f t="shared" si="10"/>
        <v>503.93</v>
      </c>
      <c r="Y94" s="2"/>
      <c r="Z94" s="22">
        <f t="shared" si="11"/>
        <v>0</v>
      </c>
    </row>
    <row r="95" spans="1:26" s="24" customFormat="1" hidden="1" outlineLevel="1" x14ac:dyDescent="0.25">
      <c r="A95" s="51"/>
      <c r="B95" s="11" t="str">
        <f>CONCATENATE("          ", "5025", " - ", "PURCHASES @ COST-TEST FORMS")</f>
        <v xml:space="preserve">          5025 - PURCHASES @ COST-TEST FORMS</v>
      </c>
      <c r="C95" s="11"/>
      <c r="D95" s="2">
        <v>879.12</v>
      </c>
      <c r="E95" s="2"/>
      <c r="F95" s="22">
        <f t="shared" si="4"/>
        <v>2.140210571868978E-3</v>
      </c>
      <c r="G95" s="2"/>
      <c r="H95" s="2"/>
      <c r="I95" s="2"/>
      <c r="J95" s="22">
        <f t="shared" si="5"/>
        <v>0</v>
      </c>
      <c r="K95" s="2"/>
      <c r="L95" s="2">
        <f t="shared" si="6"/>
        <v>879.12</v>
      </c>
      <c r="M95" s="2"/>
      <c r="N95" s="22">
        <f t="shared" si="7"/>
        <v>0</v>
      </c>
      <c r="O95" s="11"/>
      <c r="P95" s="2">
        <v>879.12</v>
      </c>
      <c r="Q95" s="2"/>
      <c r="R95" s="22">
        <f t="shared" si="8"/>
        <v>2.140210571868978E-3</v>
      </c>
      <c r="S95" s="2"/>
      <c r="T95" s="2"/>
      <c r="U95" s="2"/>
      <c r="V95" s="22">
        <f t="shared" si="9"/>
        <v>0</v>
      </c>
      <c r="W95" s="2"/>
      <c r="X95" s="2">
        <f t="shared" si="10"/>
        <v>879.12</v>
      </c>
      <c r="Y95" s="2"/>
      <c r="Z95" s="22">
        <f t="shared" si="11"/>
        <v>0</v>
      </c>
    </row>
    <row r="96" spans="1:26" s="24" customFormat="1" hidden="1" outlineLevel="1" x14ac:dyDescent="0.25">
      <c r="A96" s="51"/>
      <c r="B96" s="11" t="str">
        <f>CONCATENATE("          ", "5026", " - ", "PURCHASES @ COST-WRITING INSTR")</f>
        <v xml:space="preserve">          5026 - PURCHASES @ COST-WRITING INSTR</v>
      </c>
      <c r="C96" s="11"/>
      <c r="D96" s="2">
        <v>10331.040000000001</v>
      </c>
      <c r="E96" s="2"/>
      <c r="F96" s="22">
        <f t="shared" si="4"/>
        <v>2.5150833818365283E-2</v>
      </c>
      <c r="G96" s="2"/>
      <c r="H96" s="2"/>
      <c r="I96" s="2"/>
      <c r="J96" s="22">
        <f t="shared" si="5"/>
        <v>0</v>
      </c>
      <c r="K96" s="2"/>
      <c r="L96" s="2">
        <f t="shared" si="6"/>
        <v>10331.040000000001</v>
      </c>
      <c r="M96" s="2"/>
      <c r="N96" s="22">
        <f t="shared" si="7"/>
        <v>0</v>
      </c>
      <c r="O96" s="11"/>
      <c r="P96" s="2">
        <v>10331.040000000001</v>
      </c>
      <c r="Q96" s="2"/>
      <c r="R96" s="22">
        <f t="shared" si="8"/>
        <v>2.5150833818365283E-2</v>
      </c>
      <c r="S96" s="2"/>
      <c r="T96" s="2"/>
      <c r="U96" s="2"/>
      <c r="V96" s="22">
        <f t="shared" si="9"/>
        <v>0</v>
      </c>
      <c r="W96" s="2"/>
      <c r="X96" s="2">
        <f t="shared" si="10"/>
        <v>10331.040000000001</v>
      </c>
      <c r="Y96" s="2"/>
      <c r="Z96" s="22">
        <f t="shared" si="11"/>
        <v>0</v>
      </c>
    </row>
    <row r="97" spans="1:26" s="24" customFormat="1" hidden="1" outlineLevel="1" x14ac:dyDescent="0.25">
      <c r="A97" s="51"/>
      <c r="B97" s="11" t="str">
        <f>CONCATENATE("          ", "5027", " - ", "PURCHASES @ COST-SCHOOL SUPPLI")</f>
        <v xml:space="preserve">          5027 - PURCHASES @ COST-SCHOOL SUPPLI</v>
      </c>
      <c r="C97" s="11"/>
      <c r="D97" s="2">
        <v>50115.47</v>
      </c>
      <c r="E97" s="2"/>
      <c r="F97" s="22">
        <f t="shared" si="4"/>
        <v>0.1220057087862665</v>
      </c>
      <c r="G97" s="2"/>
      <c r="H97" s="2"/>
      <c r="I97" s="2"/>
      <c r="J97" s="22">
        <f t="shared" si="5"/>
        <v>0</v>
      </c>
      <c r="K97" s="2"/>
      <c r="L97" s="2">
        <f t="shared" si="6"/>
        <v>50115.47</v>
      </c>
      <c r="M97" s="2"/>
      <c r="N97" s="22">
        <f t="shared" si="7"/>
        <v>0</v>
      </c>
      <c r="O97" s="11"/>
      <c r="P97" s="2">
        <v>50115.47</v>
      </c>
      <c r="Q97" s="2"/>
      <c r="R97" s="22">
        <f t="shared" si="8"/>
        <v>0.1220057087862665</v>
      </c>
      <c r="S97" s="2"/>
      <c r="T97" s="2"/>
      <c r="U97" s="2"/>
      <c r="V97" s="22">
        <f t="shared" si="9"/>
        <v>0</v>
      </c>
      <c r="W97" s="2"/>
      <c r="X97" s="2">
        <f t="shared" si="10"/>
        <v>50115.47</v>
      </c>
      <c r="Y97" s="2"/>
      <c r="Z97" s="22">
        <f t="shared" si="11"/>
        <v>0</v>
      </c>
    </row>
    <row r="98" spans="1:26" s="24" customFormat="1" hidden="1" outlineLevel="1" x14ac:dyDescent="0.25">
      <c r="A98" s="51"/>
      <c r="B98" s="11" t="str">
        <f>CONCATENATE("          ", "5028", " - ", "PURCHASES @ COST-ART/TECH")</f>
        <v xml:space="preserve">          5028 - PURCHASES @ COST-ART/TECH</v>
      </c>
      <c r="C98" s="11"/>
      <c r="D98" s="2">
        <v>28027.649999999998</v>
      </c>
      <c r="E98" s="2"/>
      <c r="F98" s="22">
        <f t="shared" si="4"/>
        <v>6.8233088582495632E-2</v>
      </c>
      <c r="G98" s="2"/>
      <c r="H98" s="2"/>
      <c r="I98" s="2"/>
      <c r="J98" s="22">
        <f t="shared" si="5"/>
        <v>0</v>
      </c>
      <c r="K98" s="2"/>
      <c r="L98" s="2">
        <f t="shared" si="6"/>
        <v>28027.649999999998</v>
      </c>
      <c r="M98" s="2"/>
      <c r="N98" s="22">
        <f t="shared" si="7"/>
        <v>0</v>
      </c>
      <c r="O98" s="11"/>
      <c r="P98" s="2">
        <v>28027.649999999998</v>
      </c>
      <c r="Q98" s="2"/>
      <c r="R98" s="22">
        <f t="shared" si="8"/>
        <v>6.8233088582495632E-2</v>
      </c>
      <c r="S98" s="2"/>
      <c r="T98" s="2"/>
      <c r="U98" s="2"/>
      <c r="V98" s="22">
        <f t="shared" si="9"/>
        <v>0</v>
      </c>
      <c r="W98" s="2"/>
      <c r="X98" s="2">
        <f t="shared" si="10"/>
        <v>28027.649999999998</v>
      </c>
      <c r="Y98" s="2"/>
      <c r="Z98" s="22">
        <f t="shared" si="11"/>
        <v>0</v>
      </c>
    </row>
    <row r="99" spans="1:26" s="24" customFormat="1" hidden="1" outlineLevel="1" x14ac:dyDescent="0.25">
      <c r="A99" s="51"/>
      <c r="B99" s="11" t="str">
        <f>CONCATENATE("          ", "5032", " - ", "PURCHASES @ COST-JUICE")</f>
        <v xml:space="preserve">          5032 - PURCHASES @ COST-JUICE</v>
      </c>
      <c r="C99" s="11"/>
      <c r="D99" s="2">
        <v>114.42</v>
      </c>
      <c r="E99" s="2"/>
      <c r="F99" s="22">
        <f t="shared" si="4"/>
        <v>2.7855457006239017E-4</v>
      </c>
      <c r="G99" s="2"/>
      <c r="H99" s="2"/>
      <c r="I99" s="2"/>
      <c r="J99" s="22">
        <f t="shared" si="5"/>
        <v>0</v>
      </c>
      <c r="K99" s="2"/>
      <c r="L99" s="2">
        <f t="shared" si="6"/>
        <v>114.42</v>
      </c>
      <c r="M99" s="2"/>
      <c r="N99" s="22">
        <f t="shared" si="7"/>
        <v>0</v>
      </c>
      <c r="O99" s="11"/>
      <c r="P99" s="2">
        <v>114.42</v>
      </c>
      <c r="Q99" s="2"/>
      <c r="R99" s="22">
        <f t="shared" si="8"/>
        <v>2.7855457006239017E-4</v>
      </c>
      <c r="S99" s="2"/>
      <c r="T99" s="2"/>
      <c r="U99" s="2"/>
      <c r="V99" s="22">
        <f t="shared" si="9"/>
        <v>0</v>
      </c>
      <c r="W99" s="2"/>
      <c r="X99" s="2">
        <f t="shared" si="10"/>
        <v>114.42</v>
      </c>
      <c r="Y99" s="2"/>
      <c r="Z99" s="22">
        <f t="shared" si="11"/>
        <v>0</v>
      </c>
    </row>
    <row r="100" spans="1:26" s="24" customFormat="1" hidden="1" outlineLevel="1" x14ac:dyDescent="0.25">
      <c r="A100" s="51"/>
      <c r="B100" s="11" t="str">
        <f>CONCATENATE("          ", "5034", " - ", "PURCHASES @ COST-SODA")</f>
        <v xml:space="preserve">          5034 - PURCHASES @ COST-SODA</v>
      </c>
      <c r="C100" s="11"/>
      <c r="D100" s="2">
        <v>-61.54</v>
      </c>
      <c r="E100" s="2"/>
      <c r="F100" s="22">
        <f t="shared" si="4"/>
        <v>-1.4981863521796443E-4</v>
      </c>
      <c r="G100" s="2"/>
      <c r="H100" s="2"/>
      <c r="I100" s="2"/>
      <c r="J100" s="22">
        <f t="shared" si="5"/>
        <v>0</v>
      </c>
      <c r="K100" s="2"/>
      <c r="L100" s="2">
        <f t="shared" si="6"/>
        <v>-61.54</v>
      </c>
      <c r="M100" s="2"/>
      <c r="N100" s="22">
        <f t="shared" si="7"/>
        <v>0</v>
      </c>
      <c r="O100" s="11"/>
      <c r="P100" s="2">
        <v>-61.54</v>
      </c>
      <c r="Q100" s="2"/>
      <c r="R100" s="22">
        <f t="shared" si="8"/>
        <v>-1.4981863521796443E-4</v>
      </c>
      <c r="S100" s="2"/>
      <c r="T100" s="2"/>
      <c r="U100" s="2"/>
      <c r="V100" s="22">
        <f t="shared" si="9"/>
        <v>0</v>
      </c>
      <c r="W100" s="2"/>
      <c r="X100" s="2">
        <f t="shared" si="10"/>
        <v>-61.54</v>
      </c>
      <c r="Y100" s="2"/>
      <c r="Z100" s="22">
        <f t="shared" si="11"/>
        <v>0</v>
      </c>
    </row>
    <row r="101" spans="1:26" s="24" customFormat="1" hidden="1" outlineLevel="1" x14ac:dyDescent="0.25">
      <c r="A101" s="51"/>
      <c r="B101" s="11" t="str">
        <f>CONCATENATE("          ", "5037", " - ", "PURCHASES @ COST-WATER")</f>
        <v xml:space="preserve">          5037 - PURCHASES @ COST-WATER</v>
      </c>
      <c r="C101" s="11"/>
      <c r="D101" s="2">
        <v>33.58</v>
      </c>
      <c r="E101" s="2"/>
      <c r="F101" s="22">
        <f t="shared" si="4"/>
        <v>8.1750240016562325E-5</v>
      </c>
      <c r="G101" s="2"/>
      <c r="H101" s="2"/>
      <c r="I101" s="2"/>
      <c r="J101" s="22">
        <f t="shared" si="5"/>
        <v>0</v>
      </c>
      <c r="K101" s="2"/>
      <c r="L101" s="2">
        <f t="shared" si="6"/>
        <v>33.58</v>
      </c>
      <c r="M101" s="2"/>
      <c r="N101" s="22">
        <f t="shared" si="7"/>
        <v>0</v>
      </c>
      <c r="O101" s="11"/>
      <c r="P101" s="2">
        <v>33.58</v>
      </c>
      <c r="Q101" s="2"/>
      <c r="R101" s="22">
        <f t="shared" si="8"/>
        <v>8.1750240016562325E-5</v>
      </c>
      <c r="S101" s="2"/>
      <c r="T101" s="2"/>
      <c r="U101" s="2"/>
      <c r="V101" s="22">
        <f t="shared" si="9"/>
        <v>0</v>
      </c>
      <c r="W101" s="2"/>
      <c r="X101" s="2">
        <f t="shared" si="10"/>
        <v>33.58</v>
      </c>
      <c r="Y101" s="2"/>
      <c r="Z101" s="22">
        <f t="shared" si="11"/>
        <v>0</v>
      </c>
    </row>
    <row r="102" spans="1:26" s="24" customFormat="1" hidden="1" outlineLevel="1" x14ac:dyDescent="0.25">
      <c r="A102" s="51"/>
      <c r="B102" s="11" t="str">
        <f>CONCATENATE("          ", "5040", " - ", "PURCHASES @ COST-LOGO CLOTHING")</f>
        <v xml:space="preserve">          5040 - PURCHASES @ COST-LOGO CLOTHING</v>
      </c>
      <c r="C102" s="11"/>
      <c r="D102" s="2">
        <v>78921.570000000007</v>
      </c>
      <c r="E102" s="2"/>
      <c r="F102" s="22">
        <f t="shared" si="4"/>
        <v>0.19213392763501863</v>
      </c>
      <c r="G102" s="2"/>
      <c r="H102" s="2"/>
      <c r="I102" s="2"/>
      <c r="J102" s="22">
        <f t="shared" si="5"/>
        <v>0</v>
      </c>
      <c r="K102" s="2"/>
      <c r="L102" s="2">
        <f t="shared" si="6"/>
        <v>78921.570000000007</v>
      </c>
      <c r="M102" s="2"/>
      <c r="N102" s="22">
        <f t="shared" si="7"/>
        <v>0</v>
      </c>
      <c r="O102" s="11"/>
      <c r="P102" s="2">
        <v>78921.570000000007</v>
      </c>
      <c r="Q102" s="2"/>
      <c r="R102" s="22">
        <f t="shared" si="8"/>
        <v>0.19213392763501863</v>
      </c>
      <c r="S102" s="2"/>
      <c r="T102" s="2"/>
      <c r="U102" s="2"/>
      <c r="V102" s="22">
        <f t="shared" si="9"/>
        <v>0</v>
      </c>
      <c r="W102" s="2"/>
      <c r="X102" s="2">
        <f t="shared" si="10"/>
        <v>78921.570000000007</v>
      </c>
      <c r="Y102" s="2"/>
      <c r="Z102" s="22">
        <f t="shared" si="11"/>
        <v>0</v>
      </c>
    </row>
    <row r="103" spans="1:26" s="24" customFormat="1" hidden="1" outlineLevel="1" x14ac:dyDescent="0.25">
      <c r="A103" s="51"/>
      <c r="B103" s="11" t="str">
        <f>CONCATENATE("          ", "5041", " - ", "PURCHASES @ COST-LOGO GIFTS")</f>
        <v xml:space="preserve">          5041 - PURCHASES @ COST-LOGO GIFTS</v>
      </c>
      <c r="C103" s="11"/>
      <c r="D103" s="2">
        <v>11950.27</v>
      </c>
      <c r="E103" s="2"/>
      <c r="F103" s="22">
        <f t="shared" si="4"/>
        <v>2.9092836234744623E-2</v>
      </c>
      <c r="G103" s="2"/>
      <c r="H103" s="2"/>
      <c r="I103" s="2"/>
      <c r="J103" s="22">
        <f t="shared" si="5"/>
        <v>0</v>
      </c>
      <c r="K103" s="2"/>
      <c r="L103" s="2">
        <f t="shared" si="6"/>
        <v>11950.27</v>
      </c>
      <c r="M103" s="2"/>
      <c r="N103" s="22">
        <f t="shared" si="7"/>
        <v>0</v>
      </c>
      <c r="O103" s="11"/>
      <c r="P103" s="2">
        <v>11950.27</v>
      </c>
      <c r="Q103" s="2"/>
      <c r="R103" s="22">
        <f t="shared" si="8"/>
        <v>2.9092836234744623E-2</v>
      </c>
      <c r="S103" s="2"/>
      <c r="T103" s="2"/>
      <c r="U103" s="2"/>
      <c r="V103" s="22">
        <f t="shared" si="9"/>
        <v>0</v>
      </c>
      <c r="W103" s="2"/>
      <c r="X103" s="2">
        <f t="shared" si="10"/>
        <v>11950.27</v>
      </c>
      <c r="Y103" s="2"/>
      <c r="Z103" s="22">
        <f t="shared" si="11"/>
        <v>0</v>
      </c>
    </row>
    <row r="104" spans="1:26" s="24" customFormat="1" hidden="1" outlineLevel="1" x14ac:dyDescent="0.25">
      <c r="A104" s="51"/>
      <c r="B104" s="11" t="str">
        <f>CONCATENATE("          ", "5042", " - ", "PURCHASES @ COST-EVERYDAY GIFT")</f>
        <v xml:space="preserve">          5042 - PURCHASES @ COST-EVERYDAY GIFT</v>
      </c>
      <c r="C104" s="11"/>
      <c r="D104" s="2">
        <v>7752.36</v>
      </c>
      <c r="E104" s="2"/>
      <c r="F104" s="22">
        <f t="shared" si="4"/>
        <v>1.8873058090970733E-2</v>
      </c>
      <c r="G104" s="2"/>
      <c r="H104" s="2"/>
      <c r="I104" s="2"/>
      <c r="J104" s="22">
        <f t="shared" si="5"/>
        <v>0</v>
      </c>
      <c r="K104" s="2"/>
      <c r="L104" s="2">
        <f t="shared" si="6"/>
        <v>7752.36</v>
      </c>
      <c r="M104" s="2"/>
      <c r="N104" s="22">
        <f t="shared" si="7"/>
        <v>0</v>
      </c>
      <c r="O104" s="11"/>
      <c r="P104" s="2">
        <v>7752.36</v>
      </c>
      <c r="Q104" s="2"/>
      <c r="R104" s="22">
        <f t="shared" si="8"/>
        <v>1.8873058090970733E-2</v>
      </c>
      <c r="S104" s="2"/>
      <c r="T104" s="2"/>
      <c r="U104" s="2"/>
      <c r="V104" s="22">
        <f t="shared" si="9"/>
        <v>0</v>
      </c>
      <c r="W104" s="2"/>
      <c r="X104" s="2">
        <f t="shared" si="10"/>
        <v>7752.36</v>
      </c>
      <c r="Y104" s="2"/>
      <c r="Z104" s="22">
        <f t="shared" si="11"/>
        <v>0</v>
      </c>
    </row>
    <row r="105" spans="1:26" s="24" customFormat="1" hidden="1" outlineLevel="1" x14ac:dyDescent="0.25">
      <c r="A105" s="51"/>
      <c r="B105" s="11" t="str">
        <f>CONCATENATE("          ", "5043", " - ", "PURCHASES @ COST-CARDS")</f>
        <v xml:space="preserve">          5043 - PURCHASES @ COST-CARDS</v>
      </c>
      <c r="C105" s="11"/>
      <c r="D105" s="2">
        <v>498.26</v>
      </c>
      <c r="E105" s="2"/>
      <c r="F105" s="22">
        <f t="shared" si="4"/>
        <v>1.2130099639860734E-3</v>
      </c>
      <c r="G105" s="2"/>
      <c r="H105" s="2"/>
      <c r="I105" s="2"/>
      <c r="J105" s="22">
        <f t="shared" si="5"/>
        <v>0</v>
      </c>
      <c r="K105" s="2"/>
      <c r="L105" s="2">
        <f t="shared" si="6"/>
        <v>498.26</v>
      </c>
      <c r="M105" s="2"/>
      <c r="N105" s="22">
        <f t="shared" si="7"/>
        <v>0</v>
      </c>
      <c r="O105" s="11"/>
      <c r="P105" s="2">
        <v>498.26</v>
      </c>
      <c r="Q105" s="2"/>
      <c r="R105" s="22">
        <f t="shared" si="8"/>
        <v>1.2130099639860734E-3</v>
      </c>
      <c r="S105" s="2"/>
      <c r="T105" s="2"/>
      <c r="U105" s="2"/>
      <c r="V105" s="22">
        <f t="shared" si="9"/>
        <v>0</v>
      </c>
      <c r="W105" s="2"/>
      <c r="X105" s="2">
        <f t="shared" si="10"/>
        <v>498.26</v>
      </c>
      <c r="Y105" s="2"/>
      <c r="Z105" s="22">
        <f t="shared" si="11"/>
        <v>0</v>
      </c>
    </row>
    <row r="106" spans="1:26" s="24" customFormat="1" hidden="1" outlineLevel="1" x14ac:dyDescent="0.25">
      <c r="A106" s="51"/>
      <c r="B106" s="11" t="str">
        <f>CONCATENATE("          ", "5044", " - ", "PURCHASES @ COST-ACCESSORIES")</f>
        <v xml:space="preserve">          5044 - PURCHASES @ COST-ACCESSORIES</v>
      </c>
      <c r="C106" s="11"/>
      <c r="D106" s="2">
        <v>4839</v>
      </c>
      <c r="E106" s="2"/>
      <c r="F106" s="22">
        <f t="shared" si="4"/>
        <v>1.1780506594405752E-2</v>
      </c>
      <c r="G106" s="2"/>
      <c r="H106" s="2"/>
      <c r="I106" s="2"/>
      <c r="J106" s="22">
        <f t="shared" si="5"/>
        <v>0</v>
      </c>
      <c r="K106" s="2"/>
      <c r="L106" s="2">
        <f t="shared" si="6"/>
        <v>4839</v>
      </c>
      <c r="M106" s="2"/>
      <c r="N106" s="22">
        <f t="shared" si="7"/>
        <v>0</v>
      </c>
      <c r="O106" s="11"/>
      <c r="P106" s="2">
        <v>4839</v>
      </c>
      <c r="Q106" s="2"/>
      <c r="R106" s="22">
        <f t="shared" si="8"/>
        <v>1.1780506594405752E-2</v>
      </c>
      <c r="S106" s="2"/>
      <c r="T106" s="2"/>
      <c r="U106" s="2"/>
      <c r="V106" s="22">
        <f t="shared" si="9"/>
        <v>0</v>
      </c>
      <c r="W106" s="2"/>
      <c r="X106" s="2">
        <f t="shared" si="10"/>
        <v>4839</v>
      </c>
      <c r="Y106" s="2"/>
      <c r="Z106" s="22">
        <f t="shared" si="11"/>
        <v>0</v>
      </c>
    </row>
    <row r="107" spans="1:26" s="24" customFormat="1" hidden="1" outlineLevel="1" x14ac:dyDescent="0.25">
      <c r="A107" s="51"/>
      <c r="B107" s="11" t="str">
        <f>CONCATENATE("          ", "5045", " - ", "PURCHASES @ COST-SPECIAL ORDER")</f>
        <v xml:space="preserve">          5045 - PURCHASES @ COST-SPECIAL ORDER</v>
      </c>
      <c r="C107" s="11"/>
      <c r="D107" s="2">
        <v>15992.849999999999</v>
      </c>
      <c r="E107" s="2"/>
      <c r="F107" s="22">
        <f t="shared" si="4"/>
        <v>3.8934464742372804E-2</v>
      </c>
      <c r="G107" s="2"/>
      <c r="H107" s="2"/>
      <c r="I107" s="2"/>
      <c r="J107" s="22">
        <f t="shared" si="5"/>
        <v>0</v>
      </c>
      <c r="K107" s="2"/>
      <c r="L107" s="2">
        <f t="shared" si="6"/>
        <v>15992.849999999999</v>
      </c>
      <c r="M107" s="2"/>
      <c r="N107" s="22">
        <f t="shared" si="7"/>
        <v>0</v>
      </c>
      <c r="O107" s="11"/>
      <c r="P107" s="2">
        <v>15992.849999999999</v>
      </c>
      <c r="Q107" s="2"/>
      <c r="R107" s="22">
        <f t="shared" si="8"/>
        <v>3.8934464742372804E-2</v>
      </c>
      <c r="S107" s="2"/>
      <c r="T107" s="2"/>
      <c r="U107" s="2"/>
      <c r="V107" s="22">
        <f t="shared" si="9"/>
        <v>0</v>
      </c>
      <c r="W107" s="2"/>
      <c r="X107" s="2">
        <f t="shared" si="10"/>
        <v>15992.849999999999</v>
      </c>
      <c r="Y107" s="2"/>
      <c r="Z107" s="22">
        <f t="shared" si="11"/>
        <v>0</v>
      </c>
    </row>
    <row r="108" spans="1:26" s="24" customFormat="1" hidden="1" outlineLevel="1" x14ac:dyDescent="0.25">
      <c r="A108" s="51"/>
      <c r="B108" s="11" t="str">
        <f>CONCATENATE("          ", "5053", " - ", "PURCHASES @ COST-FOOD")</f>
        <v xml:space="preserve">          5053 - PURCHASES @ COST-FOOD</v>
      </c>
      <c r="C108" s="11"/>
      <c r="D108" s="2">
        <v>41557.07</v>
      </c>
      <c r="E108" s="2"/>
      <c r="F108" s="22">
        <f t="shared" si="4"/>
        <v>0.10117035279586307</v>
      </c>
      <c r="G108" s="2"/>
      <c r="H108" s="2"/>
      <c r="I108" s="2"/>
      <c r="J108" s="22">
        <f t="shared" si="5"/>
        <v>0</v>
      </c>
      <c r="K108" s="2"/>
      <c r="L108" s="2">
        <f t="shared" si="6"/>
        <v>41557.07</v>
      </c>
      <c r="M108" s="2"/>
      <c r="N108" s="22">
        <f t="shared" si="7"/>
        <v>0</v>
      </c>
      <c r="O108" s="11"/>
      <c r="P108" s="2">
        <v>41557.07</v>
      </c>
      <c r="Q108" s="2"/>
      <c r="R108" s="22">
        <f t="shared" si="8"/>
        <v>0.10117035279586307</v>
      </c>
      <c r="S108" s="2"/>
      <c r="T108" s="2"/>
      <c r="U108" s="2"/>
      <c r="V108" s="22">
        <f t="shared" si="9"/>
        <v>0</v>
      </c>
      <c r="W108" s="2"/>
      <c r="X108" s="2">
        <f t="shared" si="10"/>
        <v>41557.07</v>
      </c>
      <c r="Y108" s="2"/>
      <c r="Z108" s="22">
        <f t="shared" si="11"/>
        <v>0</v>
      </c>
    </row>
    <row r="109" spans="1:26" s="24" customFormat="1" hidden="1" outlineLevel="1" x14ac:dyDescent="0.25">
      <c r="A109" s="51"/>
      <c r="B109" s="11" t="str">
        <f>CONCATENATE("          ", "5059", " - ", "PURCHASES @ COST-FOOD")</f>
        <v xml:space="preserve">          5059 - PURCHASES @ COST-FOOD</v>
      </c>
      <c r="C109" s="11"/>
      <c r="D109" s="2">
        <v>-16290.750000000002</v>
      </c>
      <c r="E109" s="2"/>
      <c r="F109" s="22">
        <f t="shared" si="4"/>
        <v>-3.9659699897254708E-2</v>
      </c>
      <c r="G109" s="2"/>
      <c r="H109" s="2"/>
      <c r="I109" s="2"/>
      <c r="J109" s="22">
        <f t="shared" si="5"/>
        <v>0</v>
      </c>
      <c r="K109" s="2"/>
      <c r="L109" s="2">
        <f t="shared" si="6"/>
        <v>-16290.750000000002</v>
      </c>
      <c r="M109" s="2"/>
      <c r="N109" s="22">
        <f t="shared" si="7"/>
        <v>0</v>
      </c>
      <c r="O109" s="11"/>
      <c r="P109" s="2">
        <v>-16290.750000000002</v>
      </c>
      <c r="Q109" s="2"/>
      <c r="R109" s="22">
        <f t="shared" si="8"/>
        <v>-3.9659699897254708E-2</v>
      </c>
      <c r="S109" s="2"/>
      <c r="T109" s="2"/>
      <c r="U109" s="2"/>
      <c r="V109" s="22">
        <f t="shared" si="9"/>
        <v>0</v>
      </c>
      <c r="W109" s="2"/>
      <c r="X109" s="2">
        <f t="shared" si="10"/>
        <v>-16290.750000000002</v>
      </c>
      <c r="Y109" s="2"/>
      <c r="Z109" s="22">
        <f t="shared" si="11"/>
        <v>0</v>
      </c>
    </row>
    <row r="110" spans="1:26" s="24" customFormat="1" hidden="1" outlineLevel="1" x14ac:dyDescent="0.25">
      <c r="A110" s="51"/>
      <c r="B110" s="11" t="str">
        <f>CONCATENATE("          ", "5092", " - ", "PURCHASES @ COST-GRAD MERCH")</f>
        <v xml:space="preserve">          5092 - PURCHASES @ COST-GRAD MERCH</v>
      </c>
      <c r="C110" s="11"/>
      <c r="D110" s="2">
        <v>1228.5999999999999</v>
      </c>
      <c r="E110" s="2"/>
      <c r="F110" s="22">
        <f t="shared" si="4"/>
        <v>2.9910168220473043E-3</v>
      </c>
      <c r="G110" s="2"/>
      <c r="H110" s="2"/>
      <c r="I110" s="2"/>
      <c r="J110" s="22">
        <f t="shared" si="5"/>
        <v>0</v>
      </c>
      <c r="K110" s="2"/>
      <c r="L110" s="2">
        <f t="shared" si="6"/>
        <v>1228.5999999999999</v>
      </c>
      <c r="M110" s="2"/>
      <c r="N110" s="22">
        <f t="shared" si="7"/>
        <v>0</v>
      </c>
      <c r="O110" s="11"/>
      <c r="P110" s="2">
        <v>1228.5999999999999</v>
      </c>
      <c r="Q110" s="2"/>
      <c r="R110" s="22">
        <f t="shared" si="8"/>
        <v>2.9910168220473043E-3</v>
      </c>
      <c r="S110" s="2"/>
      <c r="T110" s="2"/>
      <c r="U110" s="2"/>
      <c r="V110" s="22">
        <f t="shared" si="9"/>
        <v>0</v>
      </c>
      <c r="W110" s="2"/>
      <c r="X110" s="2">
        <f t="shared" si="10"/>
        <v>1228.5999999999999</v>
      </c>
      <c r="Y110" s="2"/>
      <c r="Z110" s="22">
        <f t="shared" si="11"/>
        <v>0</v>
      </c>
    </row>
    <row r="111" spans="1:26" s="24" customFormat="1" hidden="1" outlineLevel="1" x14ac:dyDescent="0.25">
      <c r="A111" s="51"/>
      <c r="B111" s="11" t="str">
        <f>CONCATENATE("          ", "5095", " - ", "PURCHASES @ COST-CUSTOMER SERV")</f>
        <v xml:space="preserve">          5095 - PURCHASES @ COST-CUSTOMER SERV</v>
      </c>
      <c r="C111" s="11"/>
      <c r="D111" s="2">
        <v>0</v>
      </c>
      <c r="E111" s="2"/>
      <c r="F111" s="22">
        <f t="shared" si="4"/>
        <v>0</v>
      </c>
      <c r="G111" s="2"/>
      <c r="H111" s="2"/>
      <c r="I111" s="2"/>
      <c r="J111" s="22">
        <f t="shared" si="5"/>
        <v>0</v>
      </c>
      <c r="K111" s="2"/>
      <c r="L111" s="2">
        <f t="shared" si="6"/>
        <v>0</v>
      </c>
      <c r="M111" s="2"/>
      <c r="N111" s="22">
        <f t="shared" si="7"/>
        <v>0</v>
      </c>
      <c r="O111" s="11"/>
      <c r="P111" s="2">
        <v>0</v>
      </c>
      <c r="Q111" s="2"/>
      <c r="R111" s="22">
        <f t="shared" si="8"/>
        <v>0</v>
      </c>
      <c r="S111" s="2"/>
      <c r="T111" s="2"/>
      <c r="U111" s="2"/>
      <c r="V111" s="22">
        <f t="shared" si="9"/>
        <v>0</v>
      </c>
      <c r="W111" s="2"/>
      <c r="X111" s="2">
        <f t="shared" si="10"/>
        <v>0</v>
      </c>
      <c r="Y111" s="2"/>
      <c r="Z111" s="22">
        <f t="shared" si="11"/>
        <v>0</v>
      </c>
    </row>
    <row r="112" spans="1:26" s="24" customFormat="1" hidden="1" outlineLevel="1" x14ac:dyDescent="0.25">
      <c r="A112" s="51"/>
      <c r="B112" s="11" t="str">
        <f>CONCATENATE("          ", "5200", " - ", "PURCHASES OFFSET")</f>
        <v xml:space="preserve">          5200 - PURCHASES OFFSET</v>
      </c>
      <c r="C112" s="11"/>
      <c r="D112" s="2">
        <v>-828869</v>
      </c>
      <c r="E112" s="2"/>
      <c r="F112" s="22">
        <f t="shared" si="4"/>
        <v>-2.0178749163873735</v>
      </c>
      <c r="G112" s="2"/>
      <c r="H112" s="2"/>
      <c r="I112" s="2"/>
      <c r="J112" s="22">
        <f t="shared" si="5"/>
        <v>0</v>
      </c>
      <c r="K112" s="2"/>
      <c r="L112" s="2">
        <f t="shared" si="6"/>
        <v>-828869</v>
      </c>
      <c r="M112" s="2"/>
      <c r="N112" s="22">
        <f t="shared" si="7"/>
        <v>0</v>
      </c>
      <c r="O112" s="11"/>
      <c r="P112" s="2">
        <v>-828869</v>
      </c>
      <c r="Q112" s="2"/>
      <c r="R112" s="22">
        <f t="shared" si="8"/>
        <v>-2.0178749163873735</v>
      </c>
      <c r="S112" s="2"/>
      <c r="T112" s="2"/>
      <c r="U112" s="2"/>
      <c r="V112" s="22">
        <f t="shared" si="9"/>
        <v>0</v>
      </c>
      <c r="W112" s="2"/>
      <c r="X112" s="2">
        <f t="shared" si="10"/>
        <v>-828869</v>
      </c>
      <c r="Y112" s="2"/>
      <c r="Z112" s="22">
        <f t="shared" si="11"/>
        <v>0</v>
      </c>
    </row>
    <row r="113" spans="1:26" s="24" customFormat="1" hidden="1" outlineLevel="1" x14ac:dyDescent="0.25">
      <c r="A113" s="51"/>
      <c r="B113" s="11" t="str">
        <f>CONCATENATE("          ", "5300", " - ", "COG$ OFFSET")</f>
        <v xml:space="preserve">          5300 - COG$ OFFSET</v>
      </c>
      <c r="C113" s="11"/>
      <c r="D113" s="2">
        <v>181170</v>
      </c>
      <c r="E113" s="2"/>
      <c r="F113" s="22">
        <f t="shared" si="4"/>
        <v>0.44105690839191775</v>
      </c>
      <c r="G113" s="2"/>
      <c r="H113" s="2"/>
      <c r="I113" s="2"/>
      <c r="J113" s="22">
        <f t="shared" si="5"/>
        <v>0</v>
      </c>
      <c r="K113" s="2"/>
      <c r="L113" s="2">
        <f t="shared" si="6"/>
        <v>181170</v>
      </c>
      <c r="M113" s="2"/>
      <c r="N113" s="22">
        <f t="shared" si="7"/>
        <v>0</v>
      </c>
      <c r="O113" s="11"/>
      <c r="P113" s="2">
        <v>181170</v>
      </c>
      <c r="Q113" s="2"/>
      <c r="R113" s="22">
        <f t="shared" si="8"/>
        <v>0.44105690839191775</v>
      </c>
      <c r="S113" s="2"/>
      <c r="T113" s="2"/>
      <c r="U113" s="2"/>
      <c r="V113" s="22">
        <f t="shared" si="9"/>
        <v>0</v>
      </c>
      <c r="W113" s="2"/>
      <c r="X113" s="2">
        <f t="shared" si="10"/>
        <v>181170</v>
      </c>
      <c r="Y113" s="2"/>
      <c r="Z113" s="22">
        <f t="shared" si="11"/>
        <v>0</v>
      </c>
    </row>
    <row r="114" spans="1:26" s="24" customFormat="1" hidden="1" outlineLevel="1" x14ac:dyDescent="0.25">
      <c r="A114" s="51"/>
      <c r="B114" s="11" t="str">
        <f>CONCATENATE("          ", "5500", " - ", "FREIGHT-IN")</f>
        <v xml:space="preserve">          5500 - FREIGHT-IN</v>
      </c>
      <c r="C114" s="11"/>
      <c r="D114" s="2">
        <v>49</v>
      </c>
      <c r="E114" s="2"/>
      <c r="F114" s="22">
        <f t="shared" si="4"/>
        <v>1.1929010603965319E-4</v>
      </c>
      <c r="G114" s="2"/>
      <c r="H114" s="2"/>
      <c r="I114" s="2"/>
      <c r="J114" s="22">
        <f t="shared" si="5"/>
        <v>0</v>
      </c>
      <c r="K114" s="2"/>
      <c r="L114" s="2">
        <f t="shared" si="6"/>
        <v>49</v>
      </c>
      <c r="M114" s="2"/>
      <c r="N114" s="22">
        <f t="shared" si="7"/>
        <v>0</v>
      </c>
      <c r="O114" s="11"/>
      <c r="P114" s="2">
        <v>49</v>
      </c>
      <c r="Q114" s="2"/>
      <c r="R114" s="22">
        <f t="shared" si="8"/>
        <v>1.1929010603965319E-4</v>
      </c>
      <c r="S114" s="2"/>
      <c r="T114" s="2"/>
      <c r="U114" s="2"/>
      <c r="V114" s="22">
        <f t="shared" si="9"/>
        <v>0</v>
      </c>
      <c r="W114" s="2"/>
      <c r="X114" s="2">
        <f t="shared" si="10"/>
        <v>49</v>
      </c>
      <c r="Y114" s="2"/>
      <c r="Z114" s="22">
        <f t="shared" si="11"/>
        <v>0</v>
      </c>
    </row>
    <row r="115" spans="1:26" s="24" customFormat="1" hidden="1" outlineLevel="1" x14ac:dyDescent="0.25">
      <c r="A115" s="51"/>
      <c r="B115" s="11" t="str">
        <f>CONCATENATE("          ", "5501", " - ", "FREIGHT-IN-NEW TEXT")</f>
        <v xml:space="preserve">          5501 - FREIGHT-IN-NEW TEXT</v>
      </c>
      <c r="C115" s="11"/>
      <c r="D115" s="2">
        <v>1716.08</v>
      </c>
      <c r="E115" s="2"/>
      <c r="F115" s="22">
        <f t="shared" si="4"/>
        <v>4.1777829627046544E-3</v>
      </c>
      <c r="G115" s="2"/>
      <c r="H115" s="2"/>
      <c r="I115" s="2"/>
      <c r="J115" s="22">
        <f t="shared" si="5"/>
        <v>0</v>
      </c>
      <c r="K115" s="2"/>
      <c r="L115" s="2">
        <f t="shared" si="6"/>
        <v>1716.08</v>
      </c>
      <c r="M115" s="2"/>
      <c r="N115" s="22">
        <f t="shared" si="7"/>
        <v>0</v>
      </c>
      <c r="O115" s="11"/>
      <c r="P115" s="2">
        <v>1716.08</v>
      </c>
      <c r="Q115" s="2"/>
      <c r="R115" s="22">
        <f t="shared" si="8"/>
        <v>4.1777829627046544E-3</v>
      </c>
      <c r="S115" s="2"/>
      <c r="T115" s="2"/>
      <c r="U115" s="2"/>
      <c r="V115" s="22">
        <f t="shared" si="9"/>
        <v>0</v>
      </c>
      <c r="W115" s="2"/>
      <c r="X115" s="2">
        <f t="shared" si="10"/>
        <v>1716.08</v>
      </c>
      <c r="Y115" s="2"/>
      <c r="Z115" s="22">
        <f t="shared" si="11"/>
        <v>0</v>
      </c>
    </row>
    <row r="116" spans="1:26" s="24" customFormat="1" hidden="1" outlineLevel="1" x14ac:dyDescent="0.25">
      <c r="A116" s="51"/>
      <c r="B116" s="11" t="str">
        <f>CONCATENATE("          ", "5502", " - ", "FREIGHT-IN-USED TEXT")</f>
        <v xml:space="preserve">          5502 - FREIGHT-IN-USED TEXT</v>
      </c>
      <c r="C116" s="11"/>
      <c r="D116" s="2">
        <v>277.49</v>
      </c>
      <c r="E116" s="2"/>
      <c r="F116" s="22">
        <f t="shared" si="4"/>
        <v>6.7554717397843602E-4</v>
      </c>
      <c r="G116" s="2"/>
      <c r="H116" s="2"/>
      <c r="I116" s="2"/>
      <c r="J116" s="22">
        <f t="shared" si="5"/>
        <v>0</v>
      </c>
      <c r="K116" s="2"/>
      <c r="L116" s="2">
        <f t="shared" si="6"/>
        <v>277.49</v>
      </c>
      <c r="M116" s="2"/>
      <c r="N116" s="22">
        <f t="shared" si="7"/>
        <v>0</v>
      </c>
      <c r="O116" s="11"/>
      <c r="P116" s="2">
        <v>277.49</v>
      </c>
      <c r="Q116" s="2"/>
      <c r="R116" s="22">
        <f t="shared" si="8"/>
        <v>6.7554717397843602E-4</v>
      </c>
      <c r="S116" s="2"/>
      <c r="T116" s="2"/>
      <c r="U116" s="2"/>
      <c r="V116" s="22">
        <f t="shared" si="9"/>
        <v>0</v>
      </c>
      <c r="W116" s="2"/>
      <c r="X116" s="2">
        <f t="shared" si="10"/>
        <v>277.49</v>
      </c>
      <c r="Y116" s="2"/>
      <c r="Z116" s="22">
        <f t="shared" si="11"/>
        <v>0</v>
      </c>
    </row>
    <row r="117" spans="1:26" s="24" customFormat="1" hidden="1" outlineLevel="1" x14ac:dyDescent="0.25">
      <c r="A117" s="51"/>
      <c r="B117" s="11" t="str">
        <f>CONCATENATE("          ", "5526", " - ", "FREIGHT-IN-WRITING INSTRUMENTS")</f>
        <v xml:space="preserve">          5526 - FREIGHT-IN-WRITING INSTRUMENTS</v>
      </c>
      <c r="C117" s="11"/>
      <c r="D117" s="2">
        <v>39.11</v>
      </c>
      <c r="E117" s="2"/>
      <c r="F117" s="22">
        <f t="shared" si="4"/>
        <v>9.5212980555323199E-5</v>
      </c>
      <c r="G117" s="2"/>
      <c r="H117" s="2"/>
      <c r="I117" s="2"/>
      <c r="J117" s="22">
        <f t="shared" si="5"/>
        <v>0</v>
      </c>
      <c r="K117" s="2"/>
      <c r="L117" s="2">
        <f t="shared" si="6"/>
        <v>39.11</v>
      </c>
      <c r="M117" s="2"/>
      <c r="N117" s="22">
        <f t="shared" si="7"/>
        <v>0</v>
      </c>
      <c r="O117" s="11"/>
      <c r="P117" s="2">
        <v>39.11</v>
      </c>
      <c r="Q117" s="2"/>
      <c r="R117" s="22">
        <f t="shared" si="8"/>
        <v>9.5212980555323199E-5</v>
      </c>
      <c r="S117" s="2"/>
      <c r="T117" s="2"/>
      <c r="U117" s="2"/>
      <c r="V117" s="22">
        <f t="shared" si="9"/>
        <v>0</v>
      </c>
      <c r="W117" s="2"/>
      <c r="X117" s="2">
        <f t="shared" si="10"/>
        <v>39.11</v>
      </c>
      <c r="Y117" s="2"/>
      <c r="Z117" s="22">
        <f t="shared" si="11"/>
        <v>0</v>
      </c>
    </row>
    <row r="118" spans="1:26" s="24" customFormat="1" hidden="1" outlineLevel="1" x14ac:dyDescent="0.25">
      <c r="A118" s="51"/>
      <c r="B118" s="11" t="str">
        <f>CONCATENATE("          ", "5527", " - ", "FREIGHT-IN-SCHOOL SUPPLIES")</f>
        <v xml:space="preserve">          5527 - FREIGHT-IN-SCHOOL SUPPLIES</v>
      </c>
      <c r="C118" s="11"/>
      <c r="D118" s="2">
        <v>250.02</v>
      </c>
      <c r="E118" s="2"/>
      <c r="F118" s="22">
        <f t="shared" si="4"/>
        <v>6.0867167983743046E-4</v>
      </c>
      <c r="G118" s="2"/>
      <c r="H118" s="2"/>
      <c r="I118" s="2"/>
      <c r="J118" s="22">
        <f t="shared" si="5"/>
        <v>0</v>
      </c>
      <c r="K118" s="2"/>
      <c r="L118" s="2">
        <f t="shared" si="6"/>
        <v>250.02</v>
      </c>
      <c r="M118" s="2"/>
      <c r="N118" s="22">
        <f t="shared" si="7"/>
        <v>0</v>
      </c>
      <c r="O118" s="11"/>
      <c r="P118" s="2">
        <v>250.02</v>
      </c>
      <c r="Q118" s="2"/>
      <c r="R118" s="22">
        <f t="shared" si="8"/>
        <v>6.0867167983743046E-4</v>
      </c>
      <c r="S118" s="2"/>
      <c r="T118" s="2"/>
      <c r="U118" s="2"/>
      <c r="V118" s="22">
        <f t="shared" si="9"/>
        <v>0</v>
      </c>
      <c r="W118" s="2"/>
      <c r="X118" s="2">
        <f t="shared" si="10"/>
        <v>250.02</v>
      </c>
      <c r="Y118" s="2"/>
      <c r="Z118" s="22">
        <f t="shared" si="11"/>
        <v>0</v>
      </c>
    </row>
    <row r="119" spans="1:26" s="24" customFormat="1" hidden="1" outlineLevel="1" x14ac:dyDescent="0.25">
      <c r="A119" s="51"/>
      <c r="B119" s="11" t="str">
        <f>CONCATENATE("          ", "5528", " - ", "FREIGHT-IN-ART/TECH")</f>
        <v xml:space="preserve">          5528 - FREIGHT-IN-ART/TECH</v>
      </c>
      <c r="C119" s="11"/>
      <c r="D119" s="2">
        <v>44.35</v>
      </c>
      <c r="E119" s="2"/>
      <c r="F119" s="22">
        <f t="shared" si="4"/>
        <v>1.0796971842568611E-4</v>
      </c>
      <c r="G119" s="2"/>
      <c r="H119" s="2"/>
      <c r="I119" s="2"/>
      <c r="J119" s="22">
        <f t="shared" si="5"/>
        <v>0</v>
      </c>
      <c r="K119" s="2"/>
      <c r="L119" s="2">
        <f t="shared" si="6"/>
        <v>44.35</v>
      </c>
      <c r="M119" s="2"/>
      <c r="N119" s="22">
        <f t="shared" si="7"/>
        <v>0</v>
      </c>
      <c r="O119" s="11"/>
      <c r="P119" s="2">
        <v>44.35</v>
      </c>
      <c r="Q119" s="2"/>
      <c r="R119" s="22">
        <f t="shared" si="8"/>
        <v>1.0796971842568611E-4</v>
      </c>
      <c r="S119" s="2"/>
      <c r="T119" s="2"/>
      <c r="U119" s="2"/>
      <c r="V119" s="22">
        <f t="shared" si="9"/>
        <v>0</v>
      </c>
      <c r="W119" s="2"/>
      <c r="X119" s="2">
        <f t="shared" si="10"/>
        <v>44.35</v>
      </c>
      <c r="Y119" s="2"/>
      <c r="Z119" s="22">
        <f t="shared" si="11"/>
        <v>0</v>
      </c>
    </row>
    <row r="120" spans="1:26" s="24" customFormat="1" hidden="1" outlineLevel="1" x14ac:dyDescent="0.25">
      <c r="A120" s="51"/>
      <c r="B120" s="11" t="str">
        <f>CONCATENATE("          ", "5540", " - ", "FREIGHT-IN-LOGO CLOTHING")</f>
        <v xml:space="preserve">          5540 - FREIGHT-IN-LOGO CLOTHING</v>
      </c>
      <c r="C120" s="11"/>
      <c r="D120" s="2">
        <v>395.22</v>
      </c>
      <c r="E120" s="2"/>
      <c r="F120" s="22">
        <f t="shared" si="4"/>
        <v>9.6215991242840288E-4</v>
      </c>
      <c r="G120" s="2"/>
      <c r="H120" s="2"/>
      <c r="I120" s="2"/>
      <c r="J120" s="22">
        <f t="shared" si="5"/>
        <v>0</v>
      </c>
      <c r="K120" s="2"/>
      <c r="L120" s="2">
        <f t="shared" si="6"/>
        <v>395.22</v>
      </c>
      <c r="M120" s="2"/>
      <c r="N120" s="22">
        <f t="shared" si="7"/>
        <v>0</v>
      </c>
      <c r="O120" s="11"/>
      <c r="P120" s="2">
        <v>395.22</v>
      </c>
      <c r="Q120" s="2"/>
      <c r="R120" s="22">
        <f t="shared" si="8"/>
        <v>9.6215991242840288E-4</v>
      </c>
      <c r="S120" s="2"/>
      <c r="T120" s="2"/>
      <c r="U120" s="2"/>
      <c r="V120" s="22">
        <f t="shared" si="9"/>
        <v>0</v>
      </c>
      <c r="W120" s="2"/>
      <c r="X120" s="2">
        <f t="shared" si="10"/>
        <v>395.22</v>
      </c>
      <c r="Y120" s="2"/>
      <c r="Z120" s="22">
        <f t="shared" si="11"/>
        <v>0</v>
      </c>
    </row>
    <row r="121" spans="1:26" s="24" customFormat="1" hidden="1" outlineLevel="1" x14ac:dyDescent="0.25">
      <c r="A121" s="51"/>
      <c r="B121" s="11" t="str">
        <f>CONCATENATE("          ", "5541", " - ", "FREIGHT-IN-LOGO GIFTS")</f>
        <v xml:space="preserve">          5541 - FREIGHT-IN-LOGO GIFTS</v>
      </c>
      <c r="C121" s="11"/>
      <c r="D121" s="2">
        <v>314.49</v>
      </c>
      <c r="E121" s="2"/>
      <c r="F121" s="22">
        <f t="shared" si="4"/>
        <v>7.6562337649817422E-4</v>
      </c>
      <c r="G121" s="2"/>
      <c r="H121" s="2"/>
      <c r="I121" s="2"/>
      <c r="J121" s="22">
        <f t="shared" si="5"/>
        <v>0</v>
      </c>
      <c r="K121" s="2"/>
      <c r="L121" s="2">
        <f t="shared" si="6"/>
        <v>314.49</v>
      </c>
      <c r="M121" s="2"/>
      <c r="N121" s="22">
        <f t="shared" si="7"/>
        <v>0</v>
      </c>
      <c r="O121" s="11"/>
      <c r="P121" s="2">
        <v>314.49</v>
      </c>
      <c r="Q121" s="2"/>
      <c r="R121" s="22">
        <f t="shared" si="8"/>
        <v>7.6562337649817422E-4</v>
      </c>
      <c r="S121" s="2"/>
      <c r="T121" s="2"/>
      <c r="U121" s="2"/>
      <c r="V121" s="22">
        <f t="shared" si="9"/>
        <v>0</v>
      </c>
      <c r="W121" s="2"/>
      <c r="X121" s="2">
        <f t="shared" si="10"/>
        <v>314.49</v>
      </c>
      <c r="Y121" s="2"/>
      <c r="Z121" s="22">
        <f t="shared" si="11"/>
        <v>0</v>
      </c>
    </row>
    <row r="122" spans="1:26" s="24" customFormat="1" hidden="1" outlineLevel="1" x14ac:dyDescent="0.25">
      <c r="A122" s="51"/>
      <c r="B122" s="11" t="str">
        <f>CONCATENATE("          ", "5542", " - ", "FREIGHT-IN-EVERYDAY GIFTS")</f>
        <v xml:space="preserve">          5542 - FREIGHT-IN-EVERYDAY GIFTS</v>
      </c>
      <c r="C122" s="11"/>
      <c r="D122" s="2">
        <v>29.72</v>
      </c>
      <c r="E122" s="2"/>
      <c r="F122" s="22">
        <f t="shared" si="4"/>
        <v>7.2353101050989655E-5</v>
      </c>
      <c r="G122" s="2"/>
      <c r="H122" s="2"/>
      <c r="I122" s="2"/>
      <c r="J122" s="22">
        <f t="shared" si="5"/>
        <v>0</v>
      </c>
      <c r="K122" s="2"/>
      <c r="L122" s="2">
        <f t="shared" si="6"/>
        <v>29.72</v>
      </c>
      <c r="M122" s="2"/>
      <c r="N122" s="22">
        <f t="shared" si="7"/>
        <v>0</v>
      </c>
      <c r="O122" s="11"/>
      <c r="P122" s="2">
        <v>29.72</v>
      </c>
      <c r="Q122" s="2"/>
      <c r="R122" s="22">
        <f t="shared" si="8"/>
        <v>7.2353101050989655E-5</v>
      </c>
      <c r="S122" s="2"/>
      <c r="T122" s="2"/>
      <c r="U122" s="2"/>
      <c r="V122" s="22">
        <f t="shared" si="9"/>
        <v>0</v>
      </c>
      <c r="W122" s="2"/>
      <c r="X122" s="2">
        <f t="shared" si="10"/>
        <v>29.72</v>
      </c>
      <c r="Y122" s="2"/>
      <c r="Z122" s="22">
        <f t="shared" si="11"/>
        <v>0</v>
      </c>
    </row>
    <row r="123" spans="1:26" s="24" customFormat="1" hidden="1" outlineLevel="1" x14ac:dyDescent="0.25">
      <c r="A123" s="51"/>
      <c r="B123" s="11" t="str">
        <f>CONCATENATE("          ", "5544", " - ", "FREIGHT-IN-ACCESSORIES")</f>
        <v xml:space="preserve">          5544 - FREIGHT-IN-ACCESSORIES</v>
      </c>
      <c r="C123" s="11"/>
      <c r="D123" s="2">
        <v>16.73</v>
      </c>
      <c r="E123" s="2"/>
      <c r="F123" s="22">
        <f t="shared" si="4"/>
        <v>4.0729050490681591E-5</v>
      </c>
      <c r="G123" s="2"/>
      <c r="H123" s="2"/>
      <c r="I123" s="2"/>
      <c r="J123" s="22">
        <f t="shared" si="5"/>
        <v>0</v>
      </c>
      <c r="K123" s="2"/>
      <c r="L123" s="2">
        <f t="shared" si="6"/>
        <v>16.73</v>
      </c>
      <c r="M123" s="2"/>
      <c r="N123" s="22">
        <f t="shared" si="7"/>
        <v>0</v>
      </c>
      <c r="O123" s="11"/>
      <c r="P123" s="2">
        <v>16.73</v>
      </c>
      <c r="Q123" s="2"/>
      <c r="R123" s="22">
        <f t="shared" si="8"/>
        <v>4.0729050490681591E-5</v>
      </c>
      <c r="S123" s="2"/>
      <c r="T123" s="2"/>
      <c r="U123" s="2"/>
      <c r="V123" s="22">
        <f t="shared" si="9"/>
        <v>0</v>
      </c>
      <c r="W123" s="2"/>
      <c r="X123" s="2">
        <f t="shared" si="10"/>
        <v>16.73</v>
      </c>
      <c r="Y123" s="2"/>
      <c r="Z123" s="22">
        <f t="shared" si="11"/>
        <v>0</v>
      </c>
    </row>
    <row r="124" spans="1:26" s="24" customFormat="1" hidden="1" outlineLevel="1" x14ac:dyDescent="0.25">
      <c r="A124" s="51"/>
      <c r="B124" s="11" t="str">
        <f>CONCATENATE("          ", "5545", " - ", "FREIGHT-IN-SPECIAL ORDERS")</f>
        <v xml:space="preserve">          5545 - FREIGHT-IN-SPECIAL ORDERS</v>
      </c>
      <c r="C124" s="11"/>
      <c r="D124" s="2">
        <v>227.08</v>
      </c>
      <c r="E124" s="2"/>
      <c r="F124" s="22">
        <f t="shared" si="4"/>
        <v>5.5282443427519289E-4</v>
      </c>
      <c r="G124" s="2"/>
      <c r="H124" s="2"/>
      <c r="I124" s="2"/>
      <c r="J124" s="22">
        <f t="shared" si="5"/>
        <v>0</v>
      </c>
      <c r="K124" s="2"/>
      <c r="L124" s="2">
        <f t="shared" si="6"/>
        <v>227.08</v>
      </c>
      <c r="M124" s="2"/>
      <c r="N124" s="22">
        <f t="shared" si="7"/>
        <v>0</v>
      </c>
      <c r="O124" s="11"/>
      <c r="P124" s="2">
        <v>227.08</v>
      </c>
      <c r="Q124" s="2"/>
      <c r="R124" s="22">
        <f t="shared" si="8"/>
        <v>5.5282443427519289E-4</v>
      </c>
      <c r="S124" s="2"/>
      <c r="T124" s="2"/>
      <c r="U124" s="2"/>
      <c r="V124" s="22">
        <f t="shared" si="9"/>
        <v>0</v>
      </c>
      <c r="W124" s="2"/>
      <c r="X124" s="2">
        <f t="shared" si="10"/>
        <v>227.08</v>
      </c>
      <c r="Y124" s="2"/>
      <c r="Z124" s="22">
        <f t="shared" si="11"/>
        <v>0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10"/>
      <c r="B126" s="26" t="s">
        <v>6</v>
      </c>
      <c r="C126" s="26"/>
      <c r="D126" s="21">
        <f>D12-D85</f>
        <v>191574.57000000009</v>
      </c>
      <c r="E126" s="13"/>
      <c r="F126" s="19">
        <f>IF(D$12=0,0,D126/D$12)</f>
        <v>0.46638675040410155</v>
      </c>
      <c r="G126" s="13"/>
      <c r="H126" s="21">
        <f>H12-H85</f>
        <v>208506.05148999998</v>
      </c>
      <c r="I126" s="13"/>
      <c r="J126" s="19">
        <f>IF(H$12=0,0,H126/H$12)</f>
        <v>0.4669959750073544</v>
      </c>
      <c r="K126" s="15"/>
      <c r="L126" s="21">
        <f>+D126-H126</f>
        <v>-16931.481489999889</v>
      </c>
      <c r="M126" s="15"/>
      <c r="N126" s="19">
        <f>IF(H126=0,0,L126/H126)</f>
        <v>-8.1203789381680991E-2</v>
      </c>
      <c r="O126" s="25"/>
      <c r="P126" s="21">
        <f>P12-P85</f>
        <v>191574.57000000009</v>
      </c>
      <c r="Q126" s="13"/>
      <c r="R126" s="19">
        <f>IF(P$12=0,0,P126/P$12)</f>
        <v>0.46638675040410155</v>
      </c>
      <c r="S126" s="13"/>
      <c r="T126" s="21">
        <f>T12-T85</f>
        <v>208506.05148999998</v>
      </c>
      <c r="U126" s="13"/>
      <c r="V126" s="19">
        <f>IF(T$12=0,0,T126/T$12)</f>
        <v>0.4669959750073544</v>
      </c>
      <c r="W126" s="15"/>
      <c r="X126" s="21">
        <f>+P126-T126</f>
        <v>-16931.481489999889</v>
      </c>
      <c r="Y126" s="15"/>
      <c r="Z126" s="19">
        <f>IF(T126=0,0,X126/T126)</f>
        <v>-8.1203789381680991E-2</v>
      </c>
    </row>
    <row r="127" spans="1:26" x14ac:dyDescent="0.25">
      <c r="A127" s="9"/>
      <c r="B127" s="10"/>
      <c r="C127" s="9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6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x14ac:dyDescent="0.25">
      <c r="A128" s="10"/>
      <c r="B128" s="25" t="s">
        <v>9</v>
      </c>
      <c r="C128" s="10"/>
      <c r="D128" s="20">
        <f>SUM(OSRRefD22x_0)</f>
        <v>440488.96999999986</v>
      </c>
      <c r="E128" s="20"/>
      <c r="F128" s="30">
        <f t="shared" ref="F128:F139" si="12">IF(D$12=0,0,D128/D$12)</f>
        <v>1.0723668559305632</v>
      </c>
      <c r="G128" s="20"/>
      <c r="H128" s="20">
        <f>SUM(OSRRefH22x_0)</f>
        <v>502548.27214966208</v>
      </c>
      <c r="I128" s="20"/>
      <c r="J128" s="30">
        <f t="shared" ref="J128:J139" si="13">IF(H$12=0,0,H128/H$12)</f>
        <v>1.1255693475738207</v>
      </c>
      <c r="K128" s="4"/>
      <c r="L128" s="20">
        <f t="shared" ref="L128:L139" si="14">+D128-H128</f>
        <v>-62059.302149662224</v>
      </c>
      <c r="M128" s="4"/>
      <c r="N128" s="30">
        <f t="shared" ref="N128:N139" si="15">IF(H128=0,0,L128/H128)</f>
        <v>-0.12348923593787736</v>
      </c>
      <c r="O128" s="10"/>
      <c r="P128" s="20">
        <f>SUM(OSRRefP22x_0)</f>
        <v>440488.96999999986</v>
      </c>
      <c r="Q128" s="20"/>
      <c r="R128" s="30">
        <f t="shared" ref="R128:R139" si="16">IF(P$12=0,0,P128/P$12)</f>
        <v>1.0723668559305632</v>
      </c>
      <c r="S128" s="20"/>
      <c r="T128" s="20">
        <f>SUM(OSRRefT22x_0)</f>
        <v>502548.27214966208</v>
      </c>
      <c r="U128" s="20"/>
      <c r="V128" s="30">
        <f t="shared" ref="V128:V139" si="17">IF(T$12=0,0,T128/T$12)</f>
        <v>1.1255693475738207</v>
      </c>
      <c r="W128" s="4"/>
      <c r="X128" s="20">
        <f t="shared" ref="X128:X139" si="18">+P128-T128</f>
        <v>-62059.302149662224</v>
      </c>
      <c r="Y128" s="4"/>
      <c r="Z128" s="30">
        <f t="shared" ref="Z128:Z139" si="19">IF(T128=0,0,X128/T128)</f>
        <v>-0.12348923593787736</v>
      </c>
    </row>
    <row r="129" spans="1:26" s="27" customFormat="1" outlineLevel="1" collapsed="1" x14ac:dyDescent="0.25">
      <c r="A129" s="28"/>
      <c r="B129" s="14" t="str">
        <f>CONCATENATE("     ","*Benefits                                         ")</f>
        <v xml:space="preserve">     *Benefits                                         </v>
      </c>
      <c r="C129" s="14"/>
      <c r="D129" s="1">
        <f>SUM(OSRRefD22_0x_0)</f>
        <v>69602.099999999991</v>
      </c>
      <c r="E129" s="1"/>
      <c r="F129" s="5">
        <f t="shared" si="12"/>
        <v>0.16944575284862337</v>
      </c>
      <c r="G129" s="1"/>
      <c r="H129" s="1">
        <f>SUM(OSRRefH22_0x_0)</f>
        <v>70022.188860173643</v>
      </c>
      <c r="I129" s="1"/>
      <c r="J129" s="5">
        <f t="shared" si="13"/>
        <v>0.15683036595450664</v>
      </c>
      <c r="K129" s="1"/>
      <c r="L129" s="1">
        <f t="shared" si="14"/>
        <v>-420.08886017365148</v>
      </c>
      <c r="M129" s="1"/>
      <c r="N129" s="5">
        <f t="shared" si="15"/>
        <v>-5.999367729171123E-3</v>
      </c>
      <c r="O129" s="14"/>
      <c r="P129" s="1">
        <f>SUM(OSRRefP22_0x_0)</f>
        <v>69602.099999999991</v>
      </c>
      <c r="Q129" s="1"/>
      <c r="R129" s="5">
        <f t="shared" si="16"/>
        <v>0.16944575284862337</v>
      </c>
      <c r="S129" s="1"/>
      <c r="T129" s="1">
        <f>SUM(OSRRefT22_0x_0)</f>
        <v>70022.188860173643</v>
      </c>
      <c r="U129" s="1"/>
      <c r="V129" s="5">
        <f t="shared" si="17"/>
        <v>0.15683036595450664</v>
      </c>
      <c r="W129" s="1"/>
      <c r="X129" s="1">
        <f t="shared" si="18"/>
        <v>-420.08886017365148</v>
      </c>
      <c r="Y129" s="1"/>
      <c r="Z129" s="5">
        <f t="shared" si="19"/>
        <v>-5.999367729171123E-3</v>
      </c>
    </row>
    <row r="130" spans="1:26" s="24" customFormat="1" hidden="1" outlineLevel="2" x14ac:dyDescent="0.25">
      <c r="A130" s="29"/>
      <c r="B130" s="11" t="str">
        <f>CONCATENATE("          ", "6111", " - ", "F.I.C.A.")</f>
        <v xml:space="preserve">          6111 - F.I.C.A.</v>
      </c>
      <c r="C130" s="11"/>
      <c r="D130" s="7">
        <v>13044.05</v>
      </c>
      <c r="E130" s="2"/>
      <c r="F130" s="6">
        <f t="shared" si="12"/>
        <v>3.175563485074568E-2</v>
      </c>
      <c r="G130" s="2"/>
      <c r="H130" s="7">
        <v>17309.711688074247</v>
      </c>
      <c r="I130" s="2"/>
      <c r="J130" s="6">
        <f t="shared" si="13"/>
        <v>3.8768973989496518E-2</v>
      </c>
      <c r="K130" s="2"/>
      <c r="L130" s="7">
        <f t="shared" si="14"/>
        <v>-4265.6616880742476</v>
      </c>
      <c r="M130" s="2"/>
      <c r="N130" s="6">
        <f t="shared" si="15"/>
        <v>-0.24643170059343802</v>
      </c>
      <c r="O130" s="11"/>
      <c r="P130" s="7">
        <v>13044.05</v>
      </c>
      <c r="Q130" s="2"/>
      <c r="R130" s="6">
        <f t="shared" si="16"/>
        <v>3.175563485074568E-2</v>
      </c>
      <c r="S130" s="2"/>
      <c r="T130" s="7">
        <v>17309.711688074247</v>
      </c>
      <c r="U130" s="2"/>
      <c r="V130" s="6">
        <f t="shared" si="17"/>
        <v>3.8768973989496518E-2</v>
      </c>
      <c r="W130" s="2"/>
      <c r="X130" s="7">
        <f t="shared" si="18"/>
        <v>-4265.6616880742476</v>
      </c>
      <c r="Y130" s="2"/>
      <c r="Z130" s="6">
        <f t="shared" si="19"/>
        <v>-0.24643170059343802</v>
      </c>
    </row>
    <row r="131" spans="1:26" s="24" customFormat="1" hidden="1" outlineLevel="2" x14ac:dyDescent="0.25">
      <c r="A131" s="29"/>
      <c r="B131" s="11" t="str">
        <f>CONCATENATE("          ", "6112", " - ", "COMPENSATION INSURANCE")</f>
        <v xml:space="preserve">          6112 - COMPENSATION INSURANCE</v>
      </c>
      <c r="C131" s="11"/>
      <c r="D131" s="7">
        <v>2663.93</v>
      </c>
      <c r="E131" s="2"/>
      <c r="F131" s="6">
        <f t="shared" si="12"/>
        <v>6.4853161669839454E-3</v>
      </c>
      <c r="G131" s="2"/>
      <c r="H131" s="7">
        <v>4262.5657505288455</v>
      </c>
      <c r="I131" s="2"/>
      <c r="J131" s="6">
        <f t="shared" si="13"/>
        <v>9.5469701453563972E-3</v>
      </c>
      <c r="K131" s="2"/>
      <c r="L131" s="7">
        <f t="shared" si="14"/>
        <v>-1598.6357505288456</v>
      </c>
      <c r="M131" s="2"/>
      <c r="N131" s="6">
        <f t="shared" si="15"/>
        <v>-0.37504072525579391</v>
      </c>
      <c r="O131" s="11"/>
      <c r="P131" s="7">
        <v>2663.93</v>
      </c>
      <c r="Q131" s="2"/>
      <c r="R131" s="6">
        <f t="shared" si="16"/>
        <v>6.4853161669839454E-3</v>
      </c>
      <c r="S131" s="2"/>
      <c r="T131" s="7">
        <v>4262.5657505288455</v>
      </c>
      <c r="U131" s="2"/>
      <c r="V131" s="6">
        <f t="shared" si="17"/>
        <v>9.5469701453563972E-3</v>
      </c>
      <c r="W131" s="2"/>
      <c r="X131" s="7">
        <f t="shared" si="18"/>
        <v>-1598.6357505288456</v>
      </c>
      <c r="Y131" s="2"/>
      <c r="Z131" s="6">
        <f t="shared" si="19"/>
        <v>-0.37504072525579391</v>
      </c>
    </row>
    <row r="132" spans="1:26" s="24" customFormat="1" hidden="1" outlineLevel="2" x14ac:dyDescent="0.25">
      <c r="A132" s="29"/>
      <c r="B132" s="11" t="str">
        <f>CONCATENATE("          ", "6113", " - ", "GROUP INSURANCE")</f>
        <v xml:space="preserve">          6113 - GROUP INSURANCE</v>
      </c>
      <c r="C132" s="11"/>
      <c r="D132" s="7">
        <v>25376.27</v>
      </c>
      <c r="E132" s="2"/>
      <c r="F132" s="6">
        <f t="shared" si="12"/>
        <v>6.1778325289609595E-2</v>
      </c>
      <c r="G132" s="2"/>
      <c r="H132" s="7">
        <v>24980.511538461542</v>
      </c>
      <c r="I132" s="2"/>
      <c r="J132" s="6">
        <f t="shared" si="13"/>
        <v>5.5949447312064277E-2</v>
      </c>
      <c r="K132" s="2"/>
      <c r="L132" s="7">
        <f t="shared" si="14"/>
        <v>395.7584615384585</v>
      </c>
      <c r="M132" s="2"/>
      <c r="N132" s="6">
        <f t="shared" si="15"/>
        <v>1.5842688446516567E-2</v>
      </c>
      <c r="O132" s="11"/>
      <c r="P132" s="7">
        <v>25376.27</v>
      </c>
      <c r="Q132" s="2"/>
      <c r="R132" s="6">
        <f t="shared" si="16"/>
        <v>6.1778325289609595E-2</v>
      </c>
      <c r="S132" s="2"/>
      <c r="T132" s="7">
        <v>24980.511538461542</v>
      </c>
      <c r="U132" s="2"/>
      <c r="V132" s="6">
        <f t="shared" si="17"/>
        <v>5.5949447312064277E-2</v>
      </c>
      <c r="W132" s="2"/>
      <c r="X132" s="7">
        <f t="shared" si="18"/>
        <v>395.7584615384585</v>
      </c>
      <c r="Y132" s="2"/>
      <c r="Z132" s="6">
        <f t="shared" si="19"/>
        <v>1.5842688446516567E-2</v>
      </c>
    </row>
    <row r="133" spans="1:26" s="24" customFormat="1" hidden="1" outlineLevel="2" x14ac:dyDescent="0.25">
      <c r="A133" s="29"/>
      <c r="B133" s="11" t="str">
        <f>CONCATENATE("          ", "6114", " - ", "STATE UNEMPLOYMENT INSURANCE")</f>
        <v xml:space="preserve">          6114 - STATE UNEMPLOYMENT INSURANCE</v>
      </c>
      <c r="C133" s="11"/>
      <c r="D133" s="7">
        <v>445.47</v>
      </c>
      <c r="E133" s="2"/>
      <c r="F133" s="6">
        <f t="shared" si="12"/>
        <v>1.0844931334180472E-3</v>
      </c>
      <c r="G133" s="2"/>
      <c r="H133" s="7">
        <v>601.43642566931999</v>
      </c>
      <c r="I133" s="2"/>
      <c r="J133" s="6">
        <f t="shared" si="13"/>
        <v>1.3470515028378102E-3</v>
      </c>
      <c r="K133" s="2"/>
      <c r="L133" s="7">
        <f t="shared" si="14"/>
        <v>-155.96642566931996</v>
      </c>
      <c r="M133" s="2"/>
      <c r="N133" s="6">
        <f t="shared" si="15"/>
        <v>-0.25932321191844965</v>
      </c>
      <c r="O133" s="11"/>
      <c r="P133" s="7">
        <v>445.47</v>
      </c>
      <c r="Q133" s="2"/>
      <c r="R133" s="6">
        <f t="shared" si="16"/>
        <v>1.0844931334180472E-3</v>
      </c>
      <c r="S133" s="2"/>
      <c r="T133" s="7">
        <v>601.43642566931999</v>
      </c>
      <c r="U133" s="2"/>
      <c r="V133" s="6">
        <f t="shared" si="17"/>
        <v>1.3470515028378102E-3</v>
      </c>
      <c r="W133" s="2"/>
      <c r="X133" s="7">
        <f t="shared" si="18"/>
        <v>-155.96642566931996</v>
      </c>
      <c r="Y133" s="2"/>
      <c r="Z133" s="6">
        <f t="shared" si="19"/>
        <v>-0.25932321191844965</v>
      </c>
    </row>
    <row r="134" spans="1:26" s="24" customFormat="1" hidden="1" outlineLevel="2" x14ac:dyDescent="0.25">
      <c r="A134" s="29"/>
      <c r="B134" s="11" t="str">
        <f>CONCATENATE("          ", "6115", " - ", "P.E.R.S.")</f>
        <v xml:space="preserve">          6115 - P.E.R.S.</v>
      </c>
      <c r="C134" s="11"/>
      <c r="D134" s="7">
        <v>7612.39</v>
      </c>
      <c r="E134" s="2"/>
      <c r="F134" s="6">
        <f t="shared" si="12"/>
        <v>1.8532302251330523E-2</v>
      </c>
      <c r="G134" s="2"/>
      <c r="H134" s="7">
        <v>9384.5559252884559</v>
      </c>
      <c r="I134" s="2"/>
      <c r="J134" s="6">
        <f t="shared" si="13"/>
        <v>2.1018813665229837E-2</v>
      </c>
      <c r="K134" s="2"/>
      <c r="L134" s="7">
        <f t="shared" si="14"/>
        <v>-1772.1659252884556</v>
      </c>
      <c r="M134" s="2"/>
      <c r="N134" s="6">
        <f t="shared" si="15"/>
        <v>-0.18883854914360096</v>
      </c>
      <c r="O134" s="11"/>
      <c r="P134" s="7">
        <v>7612.39</v>
      </c>
      <c r="Q134" s="2"/>
      <c r="R134" s="6">
        <f t="shared" si="16"/>
        <v>1.8532302251330523E-2</v>
      </c>
      <c r="S134" s="2"/>
      <c r="T134" s="7">
        <v>9384.5559252884559</v>
      </c>
      <c r="U134" s="2"/>
      <c r="V134" s="6">
        <f t="shared" si="17"/>
        <v>2.1018813665229837E-2</v>
      </c>
      <c r="W134" s="2"/>
      <c r="X134" s="7">
        <f t="shared" si="18"/>
        <v>-1772.1659252884556</v>
      </c>
      <c r="Y134" s="2"/>
      <c r="Z134" s="6">
        <f t="shared" si="19"/>
        <v>-0.18883854914360096</v>
      </c>
    </row>
    <row r="135" spans="1:26" s="24" customFormat="1" hidden="1" outlineLevel="2" x14ac:dyDescent="0.25">
      <c r="A135" s="29"/>
      <c r="B135" s="11" t="str">
        <f>CONCATENATE("          ", "6116", " - ", "EDUCATIONAL BENEFITS")</f>
        <v xml:space="preserve">          6116 - EDUCATIONAL BENEFITS</v>
      </c>
      <c r="C135" s="11"/>
      <c r="D135" s="7"/>
      <c r="E135" s="2"/>
      <c r="F135" s="6">
        <f t="shared" si="12"/>
        <v>0</v>
      </c>
      <c r="G135" s="2"/>
      <c r="H135" s="7">
        <v>0</v>
      </c>
      <c r="I135" s="2"/>
      <c r="J135" s="6">
        <f t="shared" si="13"/>
        <v>0</v>
      </c>
      <c r="K135" s="2"/>
      <c r="L135" s="7">
        <f t="shared" si="14"/>
        <v>0</v>
      </c>
      <c r="M135" s="2"/>
      <c r="N135" s="6">
        <f t="shared" si="15"/>
        <v>0</v>
      </c>
      <c r="O135" s="11"/>
      <c r="P135" s="7"/>
      <c r="Q135" s="2"/>
      <c r="R135" s="6">
        <f t="shared" si="16"/>
        <v>0</v>
      </c>
      <c r="S135" s="2"/>
      <c r="T135" s="7">
        <v>0</v>
      </c>
      <c r="U135" s="2"/>
      <c r="V135" s="6">
        <f t="shared" si="17"/>
        <v>0</v>
      </c>
      <c r="W135" s="2"/>
      <c r="X135" s="7">
        <f t="shared" si="18"/>
        <v>0</v>
      </c>
      <c r="Y135" s="2"/>
      <c r="Z135" s="6">
        <f t="shared" si="19"/>
        <v>0</v>
      </c>
    </row>
    <row r="136" spans="1:26" s="24" customFormat="1" hidden="1" outlineLevel="2" x14ac:dyDescent="0.25">
      <c r="A136" s="29"/>
      <c r="B136" s="11" t="str">
        <f>CONCATENATE("          ", "6117", " - ", "RETIREMENT STAFF HOURLY")</f>
        <v xml:space="preserve">          6117 - RETIREMENT STAFF HOURLY</v>
      </c>
      <c r="C136" s="11"/>
      <c r="D136" s="7">
        <v>220.69</v>
      </c>
      <c r="E136" s="2"/>
      <c r="F136" s="6">
        <f t="shared" si="12"/>
        <v>5.3726803065083802E-4</v>
      </c>
      <c r="G136" s="2"/>
      <c r="H136" s="7"/>
      <c r="I136" s="2"/>
      <c r="J136" s="6">
        <f t="shared" si="13"/>
        <v>0</v>
      </c>
      <c r="K136" s="2"/>
      <c r="L136" s="7">
        <f t="shared" si="14"/>
        <v>220.69</v>
      </c>
      <c r="M136" s="2"/>
      <c r="N136" s="6">
        <f t="shared" si="15"/>
        <v>0</v>
      </c>
      <c r="O136" s="11"/>
      <c r="P136" s="7">
        <v>220.69</v>
      </c>
      <c r="Q136" s="2"/>
      <c r="R136" s="6">
        <f t="shared" si="16"/>
        <v>5.3726803065083802E-4</v>
      </c>
      <c r="S136" s="2"/>
      <c r="T136" s="7"/>
      <c r="U136" s="2"/>
      <c r="V136" s="6">
        <f t="shared" si="17"/>
        <v>0</v>
      </c>
      <c r="W136" s="2"/>
      <c r="X136" s="7">
        <f t="shared" si="18"/>
        <v>220.69</v>
      </c>
      <c r="Y136" s="2"/>
      <c r="Z136" s="6">
        <f t="shared" si="19"/>
        <v>0</v>
      </c>
    </row>
    <row r="137" spans="1:26" s="24" customFormat="1" hidden="1" outlineLevel="2" x14ac:dyDescent="0.25">
      <c r="A137" s="29"/>
      <c r="B137" s="11" t="str">
        <f>CONCATENATE("          ", "6118", " - ", "VACATION")</f>
        <v xml:space="preserve">          6118 - VACATION</v>
      </c>
      <c r="C137" s="11"/>
      <c r="D137" s="7">
        <v>8700.7800000000007</v>
      </c>
      <c r="E137" s="2"/>
      <c r="F137" s="6">
        <f t="shared" si="12"/>
        <v>2.118197895566722E-2</v>
      </c>
      <c r="G137" s="2"/>
      <c r="H137" s="7">
        <v>6256.542364057691</v>
      </c>
      <c r="I137" s="2"/>
      <c r="J137" s="6">
        <f t="shared" si="13"/>
        <v>1.4012927109782563E-2</v>
      </c>
      <c r="K137" s="2"/>
      <c r="L137" s="7">
        <f t="shared" si="14"/>
        <v>2444.2376359423097</v>
      </c>
      <c r="M137" s="2"/>
      <c r="N137" s="6">
        <f t="shared" si="15"/>
        <v>0.39066907785742144</v>
      </c>
      <c r="O137" s="11"/>
      <c r="P137" s="7">
        <v>8700.7800000000007</v>
      </c>
      <c r="Q137" s="2"/>
      <c r="R137" s="6">
        <f t="shared" si="16"/>
        <v>2.118197895566722E-2</v>
      </c>
      <c r="S137" s="2"/>
      <c r="T137" s="7">
        <v>6256.542364057691</v>
      </c>
      <c r="U137" s="2"/>
      <c r="V137" s="6">
        <f t="shared" si="17"/>
        <v>1.4012927109782563E-2</v>
      </c>
      <c r="W137" s="2"/>
      <c r="X137" s="7">
        <f t="shared" si="18"/>
        <v>2444.2376359423097</v>
      </c>
      <c r="Y137" s="2"/>
      <c r="Z137" s="6">
        <f t="shared" si="19"/>
        <v>0.39066907785742144</v>
      </c>
    </row>
    <row r="138" spans="1:26" s="24" customFormat="1" hidden="1" outlineLevel="2" x14ac:dyDescent="0.25">
      <c r="A138" s="29"/>
      <c r="B138" s="11" t="str">
        <f>CONCATENATE("          ", "6119", " - ", "SICK LEAVE")</f>
        <v xml:space="preserve">          6119 - SICK LEAVE</v>
      </c>
      <c r="C138" s="11"/>
      <c r="D138" s="7">
        <v>9243.6200000000008</v>
      </c>
      <c r="E138" s="2"/>
      <c r="F138" s="6">
        <f t="shared" si="12"/>
        <v>2.2503518571229779E-2</v>
      </c>
      <c r="G138" s="2"/>
      <c r="H138" s="7">
        <v>5551.8651680935318</v>
      </c>
      <c r="I138" s="2"/>
      <c r="J138" s="6">
        <f t="shared" si="13"/>
        <v>1.2434644792108372E-2</v>
      </c>
      <c r="K138" s="2"/>
      <c r="L138" s="7">
        <f t="shared" si="14"/>
        <v>3691.754831906469</v>
      </c>
      <c r="M138" s="2"/>
      <c r="N138" s="6">
        <f t="shared" si="15"/>
        <v>0.66495758094467372</v>
      </c>
      <c r="O138" s="11"/>
      <c r="P138" s="7">
        <v>9243.6200000000008</v>
      </c>
      <c r="Q138" s="2"/>
      <c r="R138" s="6">
        <f t="shared" si="16"/>
        <v>2.2503518571229779E-2</v>
      </c>
      <c r="S138" s="2"/>
      <c r="T138" s="7">
        <v>5551.8651680935318</v>
      </c>
      <c r="U138" s="2"/>
      <c r="V138" s="6">
        <f t="shared" si="17"/>
        <v>1.2434644792108372E-2</v>
      </c>
      <c r="W138" s="2"/>
      <c r="X138" s="7">
        <f t="shared" si="18"/>
        <v>3691.754831906469</v>
      </c>
      <c r="Y138" s="2"/>
      <c r="Z138" s="6">
        <f t="shared" si="19"/>
        <v>0.66495758094467372</v>
      </c>
    </row>
    <row r="139" spans="1:26" s="24" customFormat="1" hidden="1" outlineLevel="2" x14ac:dyDescent="0.25">
      <c r="A139" s="29"/>
      <c r="B139" s="11" t="str">
        <f>CONCATENATE("          ", "6156", " - ", "EMPLOYEE MEALS")</f>
        <v xml:space="preserve">          6156 - EMPLOYEE MEALS</v>
      </c>
      <c r="C139" s="11"/>
      <c r="D139" s="7">
        <v>2294.9</v>
      </c>
      <c r="E139" s="2"/>
      <c r="F139" s="6">
        <f t="shared" si="12"/>
        <v>5.5869155989877574E-3</v>
      </c>
      <c r="G139" s="2"/>
      <c r="H139" s="7">
        <v>1675</v>
      </c>
      <c r="I139" s="2"/>
      <c r="J139" s="6">
        <f t="shared" si="13"/>
        <v>3.7515374376308405E-3</v>
      </c>
      <c r="K139" s="2"/>
      <c r="L139" s="7">
        <f t="shared" si="14"/>
        <v>619.90000000000009</v>
      </c>
      <c r="M139" s="2"/>
      <c r="N139" s="6">
        <f t="shared" si="15"/>
        <v>0.37008955223880602</v>
      </c>
      <c r="O139" s="11"/>
      <c r="P139" s="7">
        <v>2294.9</v>
      </c>
      <c r="Q139" s="2"/>
      <c r="R139" s="6">
        <f t="shared" si="16"/>
        <v>5.5869155989877574E-3</v>
      </c>
      <c r="S139" s="2"/>
      <c r="T139" s="7">
        <v>1675</v>
      </c>
      <c r="U139" s="2"/>
      <c r="V139" s="6">
        <f t="shared" si="17"/>
        <v>3.7515374376308405E-3</v>
      </c>
      <c r="W139" s="2"/>
      <c r="X139" s="7">
        <f t="shared" si="18"/>
        <v>619.90000000000009</v>
      </c>
      <c r="Y139" s="2"/>
      <c r="Z139" s="6">
        <f t="shared" si="19"/>
        <v>0.37008955223880602</v>
      </c>
    </row>
    <row r="140" spans="1:26" s="27" customFormat="1" outlineLevel="1" collapsed="1" x14ac:dyDescent="0.25">
      <c r="A140" s="28"/>
      <c r="B140" s="14" t="str">
        <f>CONCATENATE("     ","*Payroll                                          ")</f>
        <v xml:space="preserve">     *Payroll                                          </v>
      </c>
      <c r="C140" s="14"/>
      <c r="D140" s="1">
        <f>SUM(OSRRefD22_1x_0)</f>
        <v>208066.32000000004</v>
      </c>
      <c r="E140" s="1"/>
      <c r="F140" s="5">
        <f t="shared" ref="F140:F150" si="20">IF(D$12=0,0,D140/D$12)</f>
        <v>0.50653578318531467</v>
      </c>
      <c r="G140" s="1"/>
      <c r="H140" s="1">
        <f>SUM(OSRRefH22_1x_0)</f>
        <v>221014.58328948845</v>
      </c>
      <c r="I140" s="1"/>
      <c r="J140" s="5">
        <f t="shared" ref="J140:J150" si="21">IF(H$12=0,0,H140/H$12)</f>
        <v>0.49501163192411674</v>
      </c>
      <c r="K140" s="1"/>
      <c r="L140" s="1">
        <f t="shared" ref="L140:L150" si="22">+D140-H140</f>
        <v>-12948.263289488415</v>
      </c>
      <c r="M140" s="1"/>
      <c r="N140" s="5">
        <f t="shared" ref="N140:N150" si="23">IF(H140=0,0,L140/H140)</f>
        <v>-5.8585560720799006E-2</v>
      </c>
      <c r="O140" s="14"/>
      <c r="P140" s="1">
        <f>SUM(OSRRefP22_1x_0)</f>
        <v>208066.32000000004</v>
      </c>
      <c r="Q140" s="1"/>
      <c r="R140" s="5">
        <f t="shared" ref="R140:R150" si="24">IF(P$12=0,0,P140/P$12)</f>
        <v>0.50653578318531467</v>
      </c>
      <c r="S140" s="1"/>
      <c r="T140" s="1">
        <f>SUM(OSRRefT22_1x_0)</f>
        <v>221014.58328948845</v>
      </c>
      <c r="U140" s="1"/>
      <c r="V140" s="5">
        <f t="shared" ref="V140:V150" si="25">IF(T$12=0,0,T140/T$12)</f>
        <v>0.49501163192411674</v>
      </c>
      <c r="W140" s="1"/>
      <c r="X140" s="1">
        <f t="shared" ref="X140:X150" si="26">+P140-T140</f>
        <v>-12948.263289488415</v>
      </c>
      <c r="Y140" s="1"/>
      <c r="Z140" s="5">
        <f t="shared" ref="Z140:Z150" si="27">IF(T140=0,0,X140/T140)</f>
        <v>-5.8585560720799006E-2</v>
      </c>
    </row>
    <row r="141" spans="1:26" s="24" customFormat="1" hidden="1" outlineLevel="2" x14ac:dyDescent="0.25">
      <c r="A141" s="29"/>
      <c r="B141" s="11" t="str">
        <f>CONCATENATE("          ", "6001", " - ", "ADMINISTRATIVE SALARIES")</f>
        <v xml:space="preserve">          6001 - ADMINISTRATIVE SALARIES</v>
      </c>
      <c r="C141" s="11"/>
      <c r="D141" s="7">
        <v>12860.28</v>
      </c>
      <c r="E141" s="2"/>
      <c r="F141" s="6">
        <f t="shared" si="20"/>
        <v>3.130824826325778E-2</v>
      </c>
      <c r="G141" s="2"/>
      <c r="H141" s="7">
        <v>46636.641704230766</v>
      </c>
      <c r="I141" s="2"/>
      <c r="J141" s="6">
        <f t="shared" si="21"/>
        <v>0.10445319839928208</v>
      </c>
      <c r="K141" s="2"/>
      <c r="L141" s="7">
        <f t="shared" si="22"/>
        <v>-33776.361704230767</v>
      </c>
      <c r="M141" s="2"/>
      <c r="N141" s="6">
        <f t="shared" si="23"/>
        <v>-0.7242451529516255</v>
      </c>
      <c r="O141" s="11"/>
      <c r="P141" s="7">
        <v>12860.28</v>
      </c>
      <c r="Q141" s="2"/>
      <c r="R141" s="6">
        <f t="shared" si="24"/>
        <v>3.130824826325778E-2</v>
      </c>
      <c r="S141" s="2"/>
      <c r="T141" s="7">
        <v>46636.641704230766</v>
      </c>
      <c r="U141" s="2"/>
      <c r="V141" s="6">
        <f t="shared" si="25"/>
        <v>0.10445319839928208</v>
      </c>
      <c r="W141" s="2"/>
      <c r="X141" s="7">
        <f t="shared" si="26"/>
        <v>-33776.361704230767</v>
      </c>
      <c r="Y141" s="2"/>
      <c r="Z141" s="6">
        <f t="shared" si="27"/>
        <v>-0.7242451529516255</v>
      </c>
    </row>
    <row r="142" spans="1:26" s="24" customFormat="1" hidden="1" outlineLevel="2" x14ac:dyDescent="0.25">
      <c r="A142" s="29"/>
      <c r="B142" s="11" t="str">
        <f>CONCATENATE("          ", "6002", " - ", "STAFF SALARIES")</f>
        <v xml:space="preserve">          6002 - STAFF SALARIES</v>
      </c>
      <c r="C142" s="11"/>
      <c r="D142" s="7">
        <v>83411.650000000009</v>
      </c>
      <c r="E142" s="2"/>
      <c r="F142" s="6">
        <f t="shared" si="20"/>
        <v>0.20306499129474367</v>
      </c>
      <c r="G142" s="2"/>
      <c r="H142" s="7">
        <v>53364.643182057691</v>
      </c>
      <c r="I142" s="2"/>
      <c r="J142" s="6">
        <f t="shared" si="21"/>
        <v>0.11952206372734377</v>
      </c>
      <c r="K142" s="2"/>
      <c r="L142" s="7">
        <f t="shared" si="22"/>
        <v>30047.006817942318</v>
      </c>
      <c r="M142" s="2"/>
      <c r="N142" s="6">
        <f t="shared" si="23"/>
        <v>0.5630508334035812</v>
      </c>
      <c r="O142" s="11"/>
      <c r="P142" s="7">
        <v>83411.650000000009</v>
      </c>
      <c r="Q142" s="2"/>
      <c r="R142" s="6">
        <f t="shared" si="24"/>
        <v>0.20306499129474367</v>
      </c>
      <c r="S142" s="2"/>
      <c r="T142" s="7">
        <v>53364.643182057691</v>
      </c>
      <c r="U142" s="2"/>
      <c r="V142" s="6">
        <f t="shared" si="25"/>
        <v>0.11952206372734377</v>
      </c>
      <c r="W142" s="2"/>
      <c r="X142" s="7">
        <f t="shared" si="26"/>
        <v>30047.006817942318</v>
      </c>
      <c r="Y142" s="2"/>
      <c r="Z142" s="6">
        <f t="shared" si="27"/>
        <v>0.5630508334035812</v>
      </c>
    </row>
    <row r="143" spans="1:26" s="24" customFormat="1" hidden="1" outlineLevel="2" x14ac:dyDescent="0.25">
      <c r="A143" s="29"/>
      <c r="B143" s="11" t="str">
        <f>CONCATENATE("          ", "6003", " - ", "STAFF HOURLY-9 MONTH")</f>
        <v xml:space="preserve">          6003 - STAFF HOURLY-9 MONTH</v>
      </c>
      <c r="C143" s="11"/>
      <c r="D143" s="7"/>
      <c r="E143" s="2"/>
      <c r="F143" s="6">
        <f t="shared" si="20"/>
        <v>0</v>
      </c>
      <c r="G143" s="2"/>
      <c r="H143" s="7">
        <v>0</v>
      </c>
      <c r="I143" s="2"/>
      <c r="J143" s="6">
        <f t="shared" si="21"/>
        <v>0</v>
      </c>
      <c r="K143" s="2"/>
      <c r="L143" s="7">
        <f t="shared" si="22"/>
        <v>0</v>
      </c>
      <c r="M143" s="2"/>
      <c r="N143" s="6">
        <f t="shared" si="23"/>
        <v>0</v>
      </c>
      <c r="O143" s="11"/>
      <c r="P143" s="7"/>
      <c r="Q143" s="2"/>
      <c r="R143" s="6">
        <f t="shared" si="24"/>
        <v>0</v>
      </c>
      <c r="S143" s="2"/>
      <c r="T143" s="7">
        <v>0</v>
      </c>
      <c r="U143" s="2"/>
      <c r="V143" s="6">
        <f t="shared" si="25"/>
        <v>0</v>
      </c>
      <c r="W143" s="2"/>
      <c r="X143" s="7">
        <f t="shared" si="26"/>
        <v>0</v>
      </c>
      <c r="Y143" s="2"/>
      <c r="Z143" s="6">
        <f t="shared" si="27"/>
        <v>0</v>
      </c>
    </row>
    <row r="144" spans="1:26" s="24" customFormat="1" hidden="1" outlineLevel="2" x14ac:dyDescent="0.25">
      <c r="A144" s="29"/>
      <c r="B144" s="11" t="str">
        <f>CONCATENATE("          ", "6004", " - ", "STAFF HOURLY")</f>
        <v xml:space="preserve">          6004 - STAFF HOURLY</v>
      </c>
      <c r="C144" s="11"/>
      <c r="D144" s="7">
        <v>2005.93</v>
      </c>
      <c r="E144" s="2"/>
      <c r="F144" s="6">
        <f t="shared" si="20"/>
        <v>4.8834204573086027E-3</v>
      </c>
      <c r="G144" s="2"/>
      <c r="H144" s="7">
        <v>28000.47954</v>
      </c>
      <c r="I144" s="2"/>
      <c r="J144" s="6">
        <f t="shared" si="21"/>
        <v>6.2713341651299326E-2</v>
      </c>
      <c r="K144" s="2"/>
      <c r="L144" s="7">
        <f t="shared" si="22"/>
        <v>-25994.54954</v>
      </c>
      <c r="M144" s="2"/>
      <c r="N144" s="6">
        <f t="shared" si="23"/>
        <v>-0.92836086977958954</v>
      </c>
      <c r="O144" s="11"/>
      <c r="P144" s="7">
        <v>2005.93</v>
      </c>
      <c r="Q144" s="2"/>
      <c r="R144" s="6">
        <f t="shared" si="24"/>
        <v>4.8834204573086027E-3</v>
      </c>
      <c r="S144" s="2"/>
      <c r="T144" s="7">
        <v>28000.47954</v>
      </c>
      <c r="U144" s="2"/>
      <c r="V144" s="6">
        <f t="shared" si="25"/>
        <v>6.2713341651299326E-2</v>
      </c>
      <c r="W144" s="2"/>
      <c r="X144" s="7">
        <f t="shared" si="26"/>
        <v>-25994.54954</v>
      </c>
      <c r="Y144" s="2"/>
      <c r="Z144" s="6">
        <f t="shared" si="27"/>
        <v>-0.92836086977958954</v>
      </c>
    </row>
    <row r="145" spans="1:26" s="24" customFormat="1" hidden="1" outlineLevel="2" x14ac:dyDescent="0.25">
      <c r="A145" s="29"/>
      <c r="B145" s="11" t="str">
        <f>CONCATENATE("          ", "6005", " - ", "TEMPORARY WAGES-HOURLY")</f>
        <v xml:space="preserve">          6005 - TEMPORARY WAGES-HOURLY</v>
      </c>
      <c r="C145" s="11"/>
      <c r="D145" s="7">
        <v>20836.05</v>
      </c>
      <c r="E145" s="2"/>
      <c r="F145" s="6">
        <f t="shared" si="20"/>
        <v>5.0725196203010532E-2</v>
      </c>
      <c r="G145" s="2"/>
      <c r="H145" s="7">
        <v>3434.16</v>
      </c>
      <c r="I145" s="2"/>
      <c r="J145" s="6">
        <f t="shared" si="21"/>
        <v>7.6915700339190013E-3</v>
      </c>
      <c r="K145" s="2"/>
      <c r="L145" s="7">
        <f t="shared" si="22"/>
        <v>17401.89</v>
      </c>
      <c r="M145" s="2"/>
      <c r="N145" s="6">
        <f t="shared" si="23"/>
        <v>5.0672915647494587</v>
      </c>
      <c r="O145" s="11"/>
      <c r="P145" s="7">
        <v>20836.05</v>
      </c>
      <c r="Q145" s="2"/>
      <c r="R145" s="6">
        <f t="shared" si="24"/>
        <v>5.0725196203010532E-2</v>
      </c>
      <c r="S145" s="2"/>
      <c r="T145" s="7">
        <v>3434.16</v>
      </c>
      <c r="U145" s="2"/>
      <c r="V145" s="6">
        <f t="shared" si="25"/>
        <v>7.6915700339190013E-3</v>
      </c>
      <c r="W145" s="2"/>
      <c r="X145" s="7">
        <f t="shared" si="26"/>
        <v>17401.89</v>
      </c>
      <c r="Y145" s="2"/>
      <c r="Z145" s="6">
        <f t="shared" si="27"/>
        <v>5.0672915647494587</v>
      </c>
    </row>
    <row r="146" spans="1:26" s="24" customFormat="1" hidden="1" outlineLevel="2" x14ac:dyDescent="0.25">
      <c r="A146" s="29"/>
      <c r="B146" s="11" t="str">
        <f>CONCATENATE("          ", "6006", " - ", "TEMPORARY PART TIME")</f>
        <v xml:space="preserve">          6006 - TEMPORARY PART TIME</v>
      </c>
      <c r="C146" s="11"/>
      <c r="D146" s="7">
        <v>3918.19</v>
      </c>
      <c r="E146" s="2"/>
      <c r="F146" s="6">
        <f t="shared" si="20"/>
        <v>9.5388020527246691E-3</v>
      </c>
      <c r="G146" s="2"/>
      <c r="H146" s="7">
        <v>0</v>
      </c>
      <c r="I146" s="2"/>
      <c r="J146" s="6">
        <f t="shared" si="21"/>
        <v>0</v>
      </c>
      <c r="K146" s="2"/>
      <c r="L146" s="7">
        <f t="shared" si="22"/>
        <v>3918.19</v>
      </c>
      <c r="M146" s="2"/>
      <c r="N146" s="6">
        <f t="shared" si="23"/>
        <v>0</v>
      </c>
      <c r="O146" s="11"/>
      <c r="P146" s="7">
        <v>3918.19</v>
      </c>
      <c r="Q146" s="2"/>
      <c r="R146" s="6">
        <f t="shared" si="24"/>
        <v>9.5388020527246691E-3</v>
      </c>
      <c r="S146" s="2"/>
      <c r="T146" s="7">
        <v>0</v>
      </c>
      <c r="U146" s="2"/>
      <c r="V146" s="6">
        <f t="shared" si="25"/>
        <v>0</v>
      </c>
      <c r="W146" s="2"/>
      <c r="X146" s="7">
        <f t="shared" si="26"/>
        <v>3918.19</v>
      </c>
      <c r="Y146" s="2"/>
      <c r="Z146" s="6">
        <f t="shared" si="27"/>
        <v>0</v>
      </c>
    </row>
    <row r="147" spans="1:26" s="24" customFormat="1" hidden="1" outlineLevel="2" x14ac:dyDescent="0.25">
      <c r="A147" s="29"/>
      <c r="B147" s="11" t="str">
        <f>CONCATENATE("          ", "6007", " - ", "STUDENT HOURLY")</f>
        <v xml:space="preserve">          6007 - STUDENT HOURLY</v>
      </c>
      <c r="C147" s="11"/>
      <c r="D147" s="7">
        <v>82926.62000000001</v>
      </c>
      <c r="E147" s="2"/>
      <c r="F147" s="6">
        <f t="shared" si="20"/>
        <v>0.20188418965938831</v>
      </c>
      <c r="G147" s="2"/>
      <c r="H147" s="7">
        <v>87924.323863199999</v>
      </c>
      <c r="I147" s="2"/>
      <c r="J147" s="6">
        <f t="shared" si="21"/>
        <v>0.19692620456786478</v>
      </c>
      <c r="K147" s="2"/>
      <c r="L147" s="7">
        <f t="shared" si="22"/>
        <v>-4997.7038631999894</v>
      </c>
      <c r="M147" s="2"/>
      <c r="N147" s="6">
        <f t="shared" si="23"/>
        <v>-5.6840970093507165E-2</v>
      </c>
      <c r="O147" s="11"/>
      <c r="P147" s="7">
        <v>82926.62000000001</v>
      </c>
      <c r="Q147" s="2"/>
      <c r="R147" s="6">
        <f t="shared" si="24"/>
        <v>0.20188418965938831</v>
      </c>
      <c r="S147" s="2"/>
      <c r="T147" s="7">
        <v>87924.323863199999</v>
      </c>
      <c r="U147" s="2"/>
      <c r="V147" s="6">
        <f t="shared" si="25"/>
        <v>0.19692620456786478</v>
      </c>
      <c r="W147" s="2"/>
      <c r="X147" s="7">
        <f t="shared" si="26"/>
        <v>-4997.7038631999894</v>
      </c>
      <c r="Y147" s="2"/>
      <c r="Z147" s="6">
        <f t="shared" si="27"/>
        <v>-5.6840970093507165E-2</v>
      </c>
    </row>
    <row r="148" spans="1:26" s="24" customFormat="1" hidden="1" outlineLevel="2" x14ac:dyDescent="0.25">
      <c r="A148" s="29"/>
      <c r="B148" s="11" t="str">
        <f>CONCATENATE("          ", "6008", " - ", "STUDENT HOURLY-FICA EXEMPT")</f>
        <v xml:space="preserve">          6008 - STUDENT HOURLY-FICA EXEMPT</v>
      </c>
      <c r="C148" s="11"/>
      <c r="D148" s="7">
        <v>2107.6</v>
      </c>
      <c r="E148" s="2"/>
      <c r="F148" s="6">
        <f t="shared" si="20"/>
        <v>5.1309352548810829E-3</v>
      </c>
      <c r="G148" s="2"/>
      <c r="H148" s="7">
        <v>1654.335</v>
      </c>
      <c r="I148" s="2"/>
      <c r="J148" s="6">
        <f t="shared" si="21"/>
        <v>3.705253544407771E-3</v>
      </c>
      <c r="K148" s="2"/>
      <c r="L148" s="7">
        <f t="shared" si="22"/>
        <v>453.26499999999987</v>
      </c>
      <c r="M148" s="2"/>
      <c r="N148" s="6">
        <f t="shared" si="23"/>
        <v>0.27398622407190798</v>
      </c>
      <c r="O148" s="11"/>
      <c r="P148" s="7">
        <v>2107.6</v>
      </c>
      <c r="Q148" s="2"/>
      <c r="R148" s="6">
        <f t="shared" si="24"/>
        <v>5.1309352548810829E-3</v>
      </c>
      <c r="S148" s="2"/>
      <c r="T148" s="7">
        <v>1654.335</v>
      </c>
      <c r="U148" s="2"/>
      <c r="V148" s="6">
        <f t="shared" si="25"/>
        <v>3.705253544407771E-3</v>
      </c>
      <c r="W148" s="2"/>
      <c r="X148" s="7">
        <f t="shared" si="26"/>
        <v>453.26499999999987</v>
      </c>
      <c r="Y148" s="2"/>
      <c r="Z148" s="6">
        <f t="shared" si="27"/>
        <v>0.27398622407190798</v>
      </c>
    </row>
    <row r="149" spans="1:26" s="24" customFormat="1" hidden="1" outlineLevel="2" x14ac:dyDescent="0.25">
      <c r="A149" s="29"/>
      <c r="B149" s="11" t="str">
        <f>CONCATENATE("          ", "6009", " - ", "TEMPORARY-SEASONAL")</f>
        <v xml:space="preserve">          6009 - TEMPORARY-SEASONAL</v>
      </c>
      <c r="C149" s="11"/>
      <c r="D149" s="7"/>
      <c r="E149" s="2"/>
      <c r="F149" s="6">
        <f t="shared" si="20"/>
        <v>0</v>
      </c>
      <c r="G149" s="2"/>
      <c r="H149" s="7">
        <v>0</v>
      </c>
      <c r="I149" s="2"/>
      <c r="J149" s="6">
        <f t="shared" si="21"/>
        <v>0</v>
      </c>
      <c r="K149" s="2"/>
      <c r="L149" s="7">
        <f t="shared" si="22"/>
        <v>0</v>
      </c>
      <c r="M149" s="2"/>
      <c r="N149" s="6">
        <f t="shared" si="23"/>
        <v>0</v>
      </c>
      <c r="O149" s="11"/>
      <c r="P149" s="7"/>
      <c r="Q149" s="2"/>
      <c r="R149" s="6">
        <f t="shared" si="24"/>
        <v>0</v>
      </c>
      <c r="S149" s="2"/>
      <c r="T149" s="7">
        <v>0</v>
      </c>
      <c r="U149" s="2"/>
      <c r="V149" s="6">
        <f t="shared" si="25"/>
        <v>0</v>
      </c>
      <c r="W149" s="2"/>
      <c r="X149" s="7">
        <f t="shared" si="26"/>
        <v>0</v>
      </c>
      <c r="Y149" s="2"/>
      <c r="Z149" s="6">
        <f t="shared" si="27"/>
        <v>0</v>
      </c>
    </row>
    <row r="150" spans="1:26" s="24" customFormat="1" hidden="1" outlineLevel="2" x14ac:dyDescent="0.25">
      <c r="A150" s="29"/>
      <c r="B150" s="11" t="str">
        <f>CONCATENATE("          ", "6010", " - ", "GRATUITY")</f>
        <v xml:space="preserve">          6010 - GRATUITY</v>
      </c>
      <c r="C150" s="11"/>
      <c r="D150" s="7"/>
      <c r="E150" s="2"/>
      <c r="F150" s="6">
        <f t="shared" si="20"/>
        <v>0</v>
      </c>
      <c r="G150" s="2"/>
      <c r="H150" s="7">
        <v>0</v>
      </c>
      <c r="I150" s="2"/>
      <c r="J150" s="6">
        <f t="shared" si="21"/>
        <v>0</v>
      </c>
      <c r="K150" s="2"/>
      <c r="L150" s="7">
        <f t="shared" si="22"/>
        <v>0</v>
      </c>
      <c r="M150" s="2"/>
      <c r="N150" s="6">
        <f t="shared" si="23"/>
        <v>0</v>
      </c>
      <c r="O150" s="11"/>
      <c r="P150" s="7"/>
      <c r="Q150" s="2"/>
      <c r="R150" s="6">
        <f t="shared" si="24"/>
        <v>0</v>
      </c>
      <c r="S150" s="2"/>
      <c r="T150" s="7">
        <v>0</v>
      </c>
      <c r="U150" s="2"/>
      <c r="V150" s="6">
        <f t="shared" si="25"/>
        <v>0</v>
      </c>
      <c r="W150" s="2"/>
      <c r="X150" s="7">
        <f t="shared" si="26"/>
        <v>0</v>
      </c>
      <c r="Y150" s="2"/>
      <c r="Z150" s="6">
        <f t="shared" si="27"/>
        <v>0</v>
      </c>
    </row>
    <row r="151" spans="1:26" s="27" customFormat="1" outlineLevel="1" collapsed="1" x14ac:dyDescent="0.25">
      <c r="A151" s="28"/>
      <c r="B151" s="14" t="str">
        <f>CONCATENATE("     ","Advertising/Promo                                 ")</f>
        <v xml:space="preserve">     Advertising/Promo                                 </v>
      </c>
      <c r="C151" s="14"/>
      <c r="D151" s="1">
        <f>SUM(OSRRefD22_2x_0)</f>
        <v>931.92</v>
      </c>
      <c r="E151" s="1"/>
      <c r="F151" s="5">
        <f t="shared" ref="F151:F155" si="28">IF(D$12=0,0,D151/D$12)</f>
        <v>2.268751747356604E-3</v>
      </c>
      <c r="G151" s="1"/>
      <c r="H151" s="1">
        <f>SUM(OSRRefH22_2x_0)</f>
        <v>4695</v>
      </c>
      <c r="I151" s="1"/>
      <c r="J151" s="5">
        <f t="shared" ref="J151:J155" si="29">IF(H$12=0,0,H151/H$12)</f>
        <v>1.0515503444583163E-2</v>
      </c>
      <c r="K151" s="1"/>
      <c r="L151" s="1">
        <f t="shared" ref="L151:L155" si="30">+D151-H151</f>
        <v>-3763.08</v>
      </c>
      <c r="M151" s="1"/>
      <c r="N151" s="5">
        <f t="shared" ref="N151:N155" si="31">IF(H151=0,0,L151/H151)</f>
        <v>-0.80150798722044725</v>
      </c>
      <c r="O151" s="14"/>
      <c r="P151" s="1">
        <f>SUM(OSRRefP22_2x_0)</f>
        <v>931.92</v>
      </c>
      <c r="Q151" s="1"/>
      <c r="R151" s="5">
        <f t="shared" ref="R151:R155" si="32">IF(P$12=0,0,P151/P$12)</f>
        <v>2.268751747356604E-3</v>
      </c>
      <c r="S151" s="1"/>
      <c r="T151" s="1">
        <f>SUM(OSRRefT22_2x_0)</f>
        <v>4695</v>
      </c>
      <c r="U151" s="1"/>
      <c r="V151" s="5">
        <f t="shared" ref="V151:V155" si="33">IF(T$12=0,0,T151/T$12)</f>
        <v>1.0515503444583163E-2</v>
      </c>
      <c r="W151" s="1"/>
      <c r="X151" s="1">
        <f t="shared" ref="X151:X155" si="34">+P151-T151</f>
        <v>-3763.08</v>
      </c>
      <c r="Y151" s="1"/>
      <c r="Z151" s="5">
        <f t="shared" ref="Z151:Z155" si="35">IF(T151=0,0,X151/T151)</f>
        <v>-0.80150798722044725</v>
      </c>
    </row>
    <row r="152" spans="1:26" s="24" customFormat="1" hidden="1" outlineLevel="2" x14ac:dyDescent="0.25">
      <c r="A152" s="29"/>
      <c r="B152" s="11" t="str">
        <f>CONCATENATE("          ", "6362", " - ", "ADVERTISING EXPENSE")</f>
        <v xml:space="preserve">          6362 - ADVERTISING EXPENSE</v>
      </c>
      <c r="C152" s="11"/>
      <c r="D152" s="7">
        <v>931.92</v>
      </c>
      <c r="E152" s="2"/>
      <c r="F152" s="6">
        <f t="shared" si="28"/>
        <v>2.268751747356604E-3</v>
      </c>
      <c r="G152" s="2"/>
      <c r="H152" s="7">
        <v>4695</v>
      </c>
      <c r="I152" s="2"/>
      <c r="J152" s="6">
        <f t="shared" si="29"/>
        <v>1.0515503444583163E-2</v>
      </c>
      <c r="K152" s="2"/>
      <c r="L152" s="7">
        <f t="shared" si="30"/>
        <v>-3763.08</v>
      </c>
      <c r="M152" s="2"/>
      <c r="N152" s="6">
        <f t="shared" si="31"/>
        <v>-0.80150798722044725</v>
      </c>
      <c r="O152" s="11"/>
      <c r="P152" s="7">
        <v>931.92</v>
      </c>
      <c r="Q152" s="2"/>
      <c r="R152" s="6">
        <f t="shared" si="32"/>
        <v>2.268751747356604E-3</v>
      </c>
      <c r="S152" s="2"/>
      <c r="T152" s="7">
        <v>4695</v>
      </c>
      <c r="U152" s="2"/>
      <c r="V152" s="6">
        <f t="shared" si="33"/>
        <v>1.0515503444583163E-2</v>
      </c>
      <c r="W152" s="2"/>
      <c r="X152" s="7">
        <f t="shared" si="34"/>
        <v>-3763.08</v>
      </c>
      <c r="Y152" s="2"/>
      <c r="Z152" s="6">
        <f t="shared" si="35"/>
        <v>-0.80150798722044725</v>
      </c>
    </row>
    <row r="153" spans="1:26" s="27" customFormat="1" outlineLevel="1" collapsed="1" x14ac:dyDescent="0.25">
      <c r="A153" s="28"/>
      <c r="B153" s="14" t="str">
        <f>CONCATENATE("     ","Bad Debts/Over/Short                              ")</f>
        <v xml:space="preserve">     Bad Debts/Over/Short                              </v>
      </c>
      <c r="C153" s="14"/>
      <c r="D153" s="1">
        <f>SUM(OSRRefD22_3x_0)</f>
        <v>-20.88</v>
      </c>
      <c r="E153" s="1"/>
      <c r="F153" s="5">
        <f t="shared" si="28"/>
        <v>-5.0832192124652217E-5</v>
      </c>
      <c r="G153" s="1"/>
      <c r="H153" s="1">
        <f>SUM(OSRRefH22_3x_0)</f>
        <v>145</v>
      </c>
      <c r="I153" s="1"/>
      <c r="J153" s="5">
        <f t="shared" si="29"/>
        <v>3.2475995728744591E-4</v>
      </c>
      <c r="K153" s="1"/>
      <c r="L153" s="1">
        <f t="shared" si="30"/>
        <v>-165.88</v>
      </c>
      <c r="M153" s="1"/>
      <c r="N153" s="5">
        <f t="shared" si="31"/>
        <v>-1.1439999999999999</v>
      </c>
      <c r="O153" s="14"/>
      <c r="P153" s="1">
        <f>SUM(OSRRefP22_3x_0)</f>
        <v>-20.88</v>
      </c>
      <c r="Q153" s="1"/>
      <c r="R153" s="5">
        <f t="shared" si="32"/>
        <v>-5.0832192124652217E-5</v>
      </c>
      <c r="S153" s="1"/>
      <c r="T153" s="1">
        <f>SUM(OSRRefT22_3x_0)</f>
        <v>145</v>
      </c>
      <c r="U153" s="1"/>
      <c r="V153" s="5">
        <f t="shared" si="33"/>
        <v>3.2475995728744591E-4</v>
      </c>
      <c r="W153" s="1"/>
      <c r="X153" s="1">
        <f t="shared" si="34"/>
        <v>-165.88</v>
      </c>
      <c r="Y153" s="1"/>
      <c r="Z153" s="5">
        <f t="shared" si="35"/>
        <v>-1.1439999999999999</v>
      </c>
    </row>
    <row r="154" spans="1:26" s="24" customFormat="1" hidden="1" outlineLevel="2" x14ac:dyDescent="0.25">
      <c r="A154" s="29"/>
      <c r="B154" s="11" t="str">
        <f>CONCATENATE("          ", "6272", " - ", "CASH (OVER/SHORT)")</f>
        <v xml:space="preserve">          6272 - CASH (OVER/SHORT)</v>
      </c>
      <c r="C154" s="11"/>
      <c r="D154" s="7">
        <v>-20.88</v>
      </c>
      <c r="E154" s="2"/>
      <c r="F154" s="6">
        <f t="shared" si="28"/>
        <v>-5.0832192124652217E-5</v>
      </c>
      <c r="G154" s="2"/>
      <c r="H154" s="7">
        <v>135</v>
      </c>
      <c r="I154" s="2"/>
      <c r="J154" s="6">
        <f t="shared" si="29"/>
        <v>3.0236271885382892E-4</v>
      </c>
      <c r="K154" s="2"/>
      <c r="L154" s="7">
        <f t="shared" si="30"/>
        <v>-155.88</v>
      </c>
      <c r="M154" s="2"/>
      <c r="N154" s="6">
        <f t="shared" si="31"/>
        <v>-1.1546666666666667</v>
      </c>
      <c r="O154" s="11"/>
      <c r="P154" s="7">
        <v>-20.88</v>
      </c>
      <c r="Q154" s="2"/>
      <c r="R154" s="6">
        <f t="shared" si="32"/>
        <v>-5.0832192124652217E-5</v>
      </c>
      <c r="S154" s="2"/>
      <c r="T154" s="7">
        <v>135</v>
      </c>
      <c r="U154" s="2"/>
      <c r="V154" s="6">
        <f t="shared" si="33"/>
        <v>3.0236271885382892E-4</v>
      </c>
      <c r="W154" s="2"/>
      <c r="X154" s="7">
        <f t="shared" si="34"/>
        <v>-155.88</v>
      </c>
      <c r="Y154" s="2"/>
      <c r="Z154" s="6">
        <f t="shared" si="35"/>
        <v>-1.1546666666666667</v>
      </c>
    </row>
    <row r="155" spans="1:26" s="24" customFormat="1" hidden="1" outlineLevel="2" x14ac:dyDescent="0.25">
      <c r="A155" s="29"/>
      <c r="B155" s="11" t="str">
        <f>CONCATENATE("          ", "6342", " - ", "BAD DEBT")</f>
        <v xml:space="preserve">          6342 - BAD DEBT</v>
      </c>
      <c r="C155" s="11"/>
      <c r="D155" s="7"/>
      <c r="E155" s="2"/>
      <c r="F155" s="6">
        <f t="shared" si="28"/>
        <v>0</v>
      </c>
      <c r="G155" s="2"/>
      <c r="H155" s="7">
        <v>10</v>
      </c>
      <c r="I155" s="2"/>
      <c r="J155" s="6">
        <f t="shared" si="29"/>
        <v>2.2397238433616959E-5</v>
      </c>
      <c r="K155" s="2"/>
      <c r="L155" s="7">
        <f t="shared" si="30"/>
        <v>-10</v>
      </c>
      <c r="M155" s="2"/>
      <c r="N155" s="6">
        <f t="shared" si="31"/>
        <v>-1</v>
      </c>
      <c r="O155" s="11"/>
      <c r="P155" s="7"/>
      <c r="Q155" s="2"/>
      <c r="R155" s="6">
        <f t="shared" si="32"/>
        <v>0</v>
      </c>
      <c r="S155" s="2"/>
      <c r="T155" s="7">
        <v>10</v>
      </c>
      <c r="U155" s="2"/>
      <c r="V155" s="6">
        <f t="shared" si="33"/>
        <v>2.2397238433616959E-5</v>
      </c>
      <c r="W155" s="2"/>
      <c r="X155" s="7">
        <f t="shared" si="34"/>
        <v>-10</v>
      </c>
      <c r="Y155" s="2"/>
      <c r="Z155" s="6">
        <f t="shared" si="35"/>
        <v>-1</v>
      </c>
    </row>
    <row r="156" spans="1:26" s="27" customFormat="1" outlineLevel="1" collapsed="1" x14ac:dyDescent="0.25">
      <c r="A156" s="28"/>
      <c r="B156" s="14" t="str">
        <f>CONCATENATE("     ","Bank/card Fees                                    ")</f>
        <v xml:space="preserve">     Bank/card Fees                                    </v>
      </c>
      <c r="C156" s="14"/>
      <c r="D156" s="1">
        <f>SUM(OSRRefD22_4x_0)</f>
        <v>7335.35</v>
      </c>
      <c r="E156" s="1"/>
      <c r="F156" s="5">
        <f t="shared" ref="F156:F161" si="36">IF(D$12=0,0,D156/D$12)</f>
        <v>1.7857850598734085E-2</v>
      </c>
      <c r="G156" s="1"/>
      <c r="H156" s="1">
        <f>SUM(OSRRefH22_4x_0)</f>
        <v>6741</v>
      </c>
      <c r="I156" s="1"/>
      <c r="J156" s="5">
        <f t="shared" ref="J156:J161" si="37">IF(H$12=0,0,H156/H$12)</f>
        <v>1.5097978428101191E-2</v>
      </c>
      <c r="K156" s="1"/>
      <c r="L156" s="1">
        <f t="shared" ref="L156:L161" si="38">+D156-H156</f>
        <v>594.35000000000036</v>
      </c>
      <c r="M156" s="1"/>
      <c r="N156" s="5">
        <f t="shared" ref="N156:N161" si="39">IF(H156=0,0,L156/H156)</f>
        <v>8.8169411066607375E-2</v>
      </c>
      <c r="O156" s="14"/>
      <c r="P156" s="1">
        <f>SUM(OSRRefP22_4x_0)</f>
        <v>7335.35</v>
      </c>
      <c r="Q156" s="1"/>
      <c r="R156" s="5">
        <f t="shared" ref="R156:R161" si="40">IF(P$12=0,0,P156/P$12)</f>
        <v>1.7857850598734085E-2</v>
      </c>
      <c r="S156" s="1"/>
      <c r="T156" s="1">
        <f>SUM(OSRRefT22_4x_0)</f>
        <v>6741</v>
      </c>
      <c r="U156" s="1"/>
      <c r="V156" s="5">
        <f t="shared" ref="V156:V161" si="41">IF(T$12=0,0,T156/T$12)</f>
        <v>1.5097978428101191E-2</v>
      </c>
      <c r="W156" s="1"/>
      <c r="X156" s="1">
        <f t="shared" ref="X156:X161" si="42">+P156-T156</f>
        <v>594.35000000000036</v>
      </c>
      <c r="Y156" s="1"/>
      <c r="Z156" s="5">
        <f t="shared" ref="Z156:Z161" si="43">IF(T156=0,0,X156/T156)</f>
        <v>8.8169411066607375E-2</v>
      </c>
    </row>
    <row r="157" spans="1:26" s="24" customFormat="1" hidden="1" outlineLevel="2" x14ac:dyDescent="0.25">
      <c r="A157" s="29"/>
      <c r="B157" s="11" t="str">
        <f>CONCATENATE("          ", "6381", " - ", "BANK/CREDIT CARD FEES")</f>
        <v xml:space="preserve">          6381 - BANK/CREDIT CARD FEES</v>
      </c>
      <c r="C157" s="11"/>
      <c r="D157" s="7">
        <v>7335.35</v>
      </c>
      <c r="E157" s="2"/>
      <c r="F157" s="6">
        <f t="shared" si="36"/>
        <v>1.7857850598734085E-2</v>
      </c>
      <c r="G157" s="2"/>
      <c r="H157" s="7">
        <v>6741</v>
      </c>
      <c r="I157" s="2"/>
      <c r="J157" s="6">
        <f t="shared" si="37"/>
        <v>1.5097978428101191E-2</v>
      </c>
      <c r="K157" s="2"/>
      <c r="L157" s="7">
        <f t="shared" si="38"/>
        <v>594.35000000000036</v>
      </c>
      <c r="M157" s="2"/>
      <c r="N157" s="6">
        <f t="shared" si="39"/>
        <v>8.8169411066607375E-2</v>
      </c>
      <c r="O157" s="11"/>
      <c r="P157" s="7">
        <v>7335.35</v>
      </c>
      <c r="Q157" s="2"/>
      <c r="R157" s="6">
        <f t="shared" si="40"/>
        <v>1.7857850598734085E-2</v>
      </c>
      <c r="S157" s="2"/>
      <c r="T157" s="7">
        <v>6741</v>
      </c>
      <c r="U157" s="2"/>
      <c r="V157" s="6">
        <f t="shared" si="41"/>
        <v>1.5097978428101191E-2</v>
      </c>
      <c r="W157" s="2"/>
      <c r="X157" s="7">
        <f t="shared" si="42"/>
        <v>594.35000000000036</v>
      </c>
      <c r="Y157" s="2"/>
      <c r="Z157" s="6">
        <f t="shared" si="43"/>
        <v>8.8169411066607375E-2</v>
      </c>
    </row>
    <row r="158" spans="1:26" s="27" customFormat="1" outlineLevel="1" collapsed="1" x14ac:dyDescent="0.25">
      <c r="A158" s="28"/>
      <c r="B158" s="14" t="str">
        <f>CONCATENATE("     ","Depreciation                                      ")</f>
        <v xml:space="preserve">     Depreciation                                      </v>
      </c>
      <c r="C158" s="14"/>
      <c r="D158" s="1">
        <f>SUM(OSRRefD22_5x_0)</f>
        <v>38010.910000000003</v>
      </c>
      <c r="E158" s="1"/>
      <c r="F158" s="5">
        <f t="shared" si="36"/>
        <v>9.2537254787014578E-2</v>
      </c>
      <c r="G158" s="1"/>
      <c r="H158" s="1">
        <f>SUM(OSRRefH22_5x_0)</f>
        <v>38458</v>
      </c>
      <c r="I158" s="1"/>
      <c r="J158" s="5">
        <f t="shared" si="37"/>
        <v>8.6135299568004101E-2</v>
      </c>
      <c r="K158" s="1"/>
      <c r="L158" s="1">
        <f t="shared" si="38"/>
        <v>-447.08999999999651</v>
      </c>
      <c r="M158" s="1"/>
      <c r="N158" s="5">
        <f t="shared" si="39"/>
        <v>-1.1625409537677376E-2</v>
      </c>
      <c r="O158" s="14"/>
      <c r="P158" s="1">
        <f>SUM(OSRRefP22_5x_0)</f>
        <v>38010.910000000003</v>
      </c>
      <c r="Q158" s="1"/>
      <c r="R158" s="5">
        <f t="shared" si="40"/>
        <v>9.2537254787014578E-2</v>
      </c>
      <c r="S158" s="1"/>
      <c r="T158" s="1">
        <f>SUM(OSRRefT22_5x_0)</f>
        <v>38458</v>
      </c>
      <c r="U158" s="1"/>
      <c r="V158" s="5">
        <f t="shared" si="41"/>
        <v>8.6135299568004101E-2</v>
      </c>
      <c r="W158" s="1"/>
      <c r="X158" s="1">
        <f t="shared" si="42"/>
        <v>-447.08999999999651</v>
      </c>
      <c r="Y158" s="1"/>
      <c r="Z158" s="5">
        <f t="shared" si="43"/>
        <v>-1.1625409537677376E-2</v>
      </c>
    </row>
    <row r="159" spans="1:26" s="24" customFormat="1" hidden="1" outlineLevel="2" x14ac:dyDescent="0.25">
      <c r="A159" s="29"/>
      <c r="B159" s="11" t="str">
        <f>CONCATENATE("          ", "6321", " - ", "BUILDING DEPRECIATION")</f>
        <v xml:space="preserve">          6321 - BUILDING DEPRECIATION</v>
      </c>
      <c r="C159" s="11"/>
      <c r="D159" s="7">
        <v>21477.030000000002</v>
      </c>
      <c r="E159" s="2"/>
      <c r="F159" s="6">
        <f t="shared" si="36"/>
        <v>5.2285656859526804E-2</v>
      </c>
      <c r="G159" s="2"/>
      <c r="H159" s="7">
        <v>21534</v>
      </c>
      <c r="I159" s="2"/>
      <c r="J159" s="6">
        <f t="shared" si="37"/>
        <v>4.8230213242950758E-2</v>
      </c>
      <c r="K159" s="2"/>
      <c r="L159" s="7">
        <f t="shared" si="38"/>
        <v>-56.969999999997526</v>
      </c>
      <c r="M159" s="2"/>
      <c r="N159" s="6">
        <f t="shared" si="39"/>
        <v>-2.6455837280578401E-3</v>
      </c>
      <c r="O159" s="11"/>
      <c r="P159" s="7">
        <v>21477.030000000002</v>
      </c>
      <c r="Q159" s="2"/>
      <c r="R159" s="6">
        <f t="shared" si="40"/>
        <v>5.2285656859526804E-2</v>
      </c>
      <c r="S159" s="2"/>
      <c r="T159" s="7">
        <v>21534</v>
      </c>
      <c r="U159" s="2"/>
      <c r="V159" s="6">
        <f t="shared" si="41"/>
        <v>4.8230213242950758E-2</v>
      </c>
      <c r="W159" s="2"/>
      <c r="X159" s="7">
        <f t="shared" si="42"/>
        <v>-56.969999999997526</v>
      </c>
      <c r="Y159" s="2"/>
      <c r="Z159" s="6">
        <f t="shared" si="43"/>
        <v>-2.6455837280578401E-3</v>
      </c>
    </row>
    <row r="160" spans="1:26" s="24" customFormat="1" hidden="1" outlineLevel="2" x14ac:dyDescent="0.25">
      <c r="A160" s="29"/>
      <c r="B160" s="11" t="str">
        <f>CONCATENATE("          ", "6322", " - ", "EQUIPMENT DEPRECIATION EXPENSE")</f>
        <v xml:space="preserve">          6322 - EQUIPMENT DEPRECIATION EXPENSE</v>
      </c>
      <c r="C160" s="11"/>
      <c r="D160" s="7">
        <v>16533.88</v>
      </c>
      <c r="E160" s="2"/>
      <c r="F160" s="6">
        <f t="shared" si="36"/>
        <v>4.0251597927487781E-2</v>
      </c>
      <c r="G160" s="2"/>
      <c r="H160" s="7">
        <v>16224</v>
      </c>
      <c r="I160" s="2"/>
      <c r="J160" s="6">
        <f t="shared" si="37"/>
        <v>3.6337279634700154E-2</v>
      </c>
      <c r="K160" s="2"/>
      <c r="L160" s="7">
        <f t="shared" si="38"/>
        <v>309.88000000000102</v>
      </c>
      <c r="M160" s="2"/>
      <c r="N160" s="6">
        <f t="shared" si="39"/>
        <v>1.9100098619329452E-2</v>
      </c>
      <c r="O160" s="11"/>
      <c r="P160" s="7">
        <v>16533.88</v>
      </c>
      <c r="Q160" s="2"/>
      <c r="R160" s="6">
        <f t="shared" si="40"/>
        <v>4.0251597927487781E-2</v>
      </c>
      <c r="S160" s="2"/>
      <c r="T160" s="7">
        <v>16224</v>
      </c>
      <c r="U160" s="2"/>
      <c r="V160" s="6">
        <f t="shared" si="41"/>
        <v>3.6337279634700154E-2</v>
      </c>
      <c r="W160" s="2"/>
      <c r="X160" s="7">
        <f t="shared" si="42"/>
        <v>309.88000000000102</v>
      </c>
      <c r="Y160" s="2"/>
      <c r="Z160" s="6">
        <f t="shared" si="43"/>
        <v>1.9100098619329452E-2</v>
      </c>
    </row>
    <row r="161" spans="1:26" s="24" customFormat="1" hidden="1" outlineLevel="2" x14ac:dyDescent="0.25">
      <c r="A161" s="29"/>
      <c r="B161" s="11" t="str">
        <f>CONCATENATE("          ", "6324", " - ", "FURNITURE + FIXT DEPRECIATION")</f>
        <v xml:space="preserve">          6324 - FURNITURE + FIXT DEPRECIATION</v>
      </c>
      <c r="C161" s="11"/>
      <c r="D161" s="7"/>
      <c r="E161" s="2"/>
      <c r="F161" s="6">
        <f t="shared" si="36"/>
        <v>0</v>
      </c>
      <c r="G161" s="2"/>
      <c r="H161" s="7">
        <v>700</v>
      </c>
      <c r="I161" s="2"/>
      <c r="J161" s="6">
        <f t="shared" si="37"/>
        <v>1.5678066903531871E-3</v>
      </c>
      <c r="K161" s="2"/>
      <c r="L161" s="7">
        <f t="shared" si="38"/>
        <v>-700</v>
      </c>
      <c r="M161" s="2"/>
      <c r="N161" s="6">
        <f t="shared" si="39"/>
        <v>-1</v>
      </c>
      <c r="O161" s="11"/>
      <c r="P161" s="7"/>
      <c r="Q161" s="2"/>
      <c r="R161" s="6">
        <f t="shared" si="40"/>
        <v>0</v>
      </c>
      <c r="S161" s="2"/>
      <c r="T161" s="7">
        <v>700</v>
      </c>
      <c r="U161" s="2"/>
      <c r="V161" s="6">
        <f t="shared" si="41"/>
        <v>1.5678066903531871E-3</v>
      </c>
      <c r="W161" s="2"/>
      <c r="X161" s="7">
        <f t="shared" si="42"/>
        <v>-700</v>
      </c>
      <c r="Y161" s="2"/>
      <c r="Z161" s="6">
        <f t="shared" si="43"/>
        <v>-1</v>
      </c>
    </row>
    <row r="162" spans="1:26" s="27" customFormat="1" outlineLevel="1" collapsed="1" x14ac:dyDescent="0.25">
      <c r="A162" s="28"/>
      <c r="B162" s="14" t="str">
        <f>CONCATENATE("     ","Discounts and Markdowns                           ")</f>
        <v xml:space="preserve">     Discounts and Markdowns                           </v>
      </c>
      <c r="C162" s="14"/>
      <c r="D162" s="1">
        <f>SUM(OSRRefD22_6x_0)</f>
        <v>24502.960000000003</v>
      </c>
      <c r="E162" s="1"/>
      <c r="F162" s="5">
        <f t="shared" ref="F162:F164" si="44">IF(D$12=0,0,D162/D$12)</f>
        <v>5.9652259116028186E-2</v>
      </c>
      <c r="G162" s="1"/>
      <c r="H162" s="1">
        <f>SUM(OSRRefH22_6x_0)</f>
        <v>20725</v>
      </c>
      <c r="I162" s="1"/>
      <c r="J162" s="5">
        <f t="shared" ref="J162:J164" si="45">IF(H$12=0,0,H162/H$12)</f>
        <v>4.6418276653671146E-2</v>
      </c>
      <c r="K162" s="1"/>
      <c r="L162" s="1">
        <f t="shared" ref="L162:L164" si="46">+D162-H162</f>
        <v>3777.9600000000028</v>
      </c>
      <c r="M162" s="1"/>
      <c r="N162" s="5">
        <f t="shared" ref="N162:N164" si="47">IF(H162=0,0,L162/H162)</f>
        <v>0.18228998793727397</v>
      </c>
      <c r="O162" s="14"/>
      <c r="P162" s="1">
        <f>SUM(OSRRefP22_6x_0)</f>
        <v>24502.960000000003</v>
      </c>
      <c r="Q162" s="1"/>
      <c r="R162" s="5">
        <f t="shared" ref="R162:R164" si="48">IF(P$12=0,0,P162/P$12)</f>
        <v>5.9652259116028186E-2</v>
      </c>
      <c r="S162" s="1"/>
      <c r="T162" s="1">
        <f>SUM(OSRRefT22_6x_0)</f>
        <v>20725</v>
      </c>
      <c r="U162" s="1"/>
      <c r="V162" s="5">
        <f t="shared" ref="V162:V164" si="49">IF(T$12=0,0,T162/T$12)</f>
        <v>4.6418276653671146E-2</v>
      </c>
      <c r="W162" s="1"/>
      <c r="X162" s="1">
        <f t="shared" ref="X162:X164" si="50">+P162-T162</f>
        <v>3777.9600000000028</v>
      </c>
      <c r="Y162" s="1"/>
      <c r="Z162" s="5">
        <f t="shared" ref="Z162:Z164" si="51">IF(T162=0,0,X162/T162)</f>
        <v>0.18228998793727397</v>
      </c>
    </row>
    <row r="163" spans="1:26" s="24" customFormat="1" hidden="1" outlineLevel="2" x14ac:dyDescent="0.25">
      <c r="A163" s="29"/>
      <c r="B163" s="11" t="str">
        <f>CONCATENATE("          ", "6382", " - ", "DISCOUNTS/MARK DOWNS")</f>
        <v xml:space="preserve">          6382 - DISCOUNTS/MARK DOWNS</v>
      </c>
      <c r="C163" s="11"/>
      <c r="D163" s="7">
        <v>24946.670000000002</v>
      </c>
      <c r="E163" s="2"/>
      <c r="F163" s="6">
        <f t="shared" si="44"/>
        <v>6.0732467543596645E-2</v>
      </c>
      <c r="G163" s="2"/>
      <c r="H163" s="7">
        <v>20725</v>
      </c>
      <c r="I163" s="2"/>
      <c r="J163" s="6">
        <f t="shared" si="45"/>
        <v>4.6418276653671146E-2</v>
      </c>
      <c r="K163" s="2"/>
      <c r="L163" s="7">
        <f t="shared" si="46"/>
        <v>4221.6700000000019</v>
      </c>
      <c r="M163" s="2"/>
      <c r="N163" s="6">
        <f t="shared" si="47"/>
        <v>0.20369939686369129</v>
      </c>
      <c r="O163" s="11"/>
      <c r="P163" s="7">
        <v>24946.670000000002</v>
      </c>
      <c r="Q163" s="2"/>
      <c r="R163" s="6">
        <f t="shared" si="48"/>
        <v>6.0732467543596645E-2</v>
      </c>
      <c r="S163" s="2"/>
      <c r="T163" s="7">
        <v>20725</v>
      </c>
      <c r="U163" s="2"/>
      <c r="V163" s="6">
        <f t="shared" si="49"/>
        <v>4.6418276653671146E-2</v>
      </c>
      <c r="W163" s="2"/>
      <c r="X163" s="7">
        <f t="shared" si="50"/>
        <v>4221.6700000000019</v>
      </c>
      <c r="Y163" s="2"/>
      <c r="Z163" s="6">
        <f t="shared" si="51"/>
        <v>0.20369939686369129</v>
      </c>
    </row>
    <row r="164" spans="1:26" s="24" customFormat="1" hidden="1" outlineLevel="2" x14ac:dyDescent="0.25">
      <c r="A164" s="29"/>
      <c r="B164" s="11" t="str">
        <f>CONCATENATE("          ", "9175", " - ", "EARNED DISCOUNTS")</f>
        <v xml:space="preserve">          9175 - EARNED DISCOUNTS</v>
      </c>
      <c r="C164" s="11"/>
      <c r="D164" s="7">
        <v>-443.71</v>
      </c>
      <c r="E164" s="2"/>
      <c r="F164" s="6">
        <f t="shared" si="44"/>
        <v>-1.0802084275684596E-3</v>
      </c>
      <c r="G164" s="2"/>
      <c r="H164" s="7"/>
      <c r="I164" s="2"/>
      <c r="J164" s="6">
        <f t="shared" si="45"/>
        <v>0</v>
      </c>
      <c r="K164" s="2"/>
      <c r="L164" s="7">
        <f t="shared" si="46"/>
        <v>-443.71</v>
      </c>
      <c r="M164" s="2"/>
      <c r="N164" s="6">
        <f t="shared" si="47"/>
        <v>0</v>
      </c>
      <c r="O164" s="11"/>
      <c r="P164" s="7">
        <v>-443.71</v>
      </c>
      <c r="Q164" s="2"/>
      <c r="R164" s="6">
        <f t="shared" si="48"/>
        <v>-1.0802084275684596E-3</v>
      </c>
      <c r="S164" s="2"/>
      <c r="T164" s="7"/>
      <c r="U164" s="2"/>
      <c r="V164" s="6">
        <f t="shared" si="49"/>
        <v>0</v>
      </c>
      <c r="W164" s="2"/>
      <c r="X164" s="7">
        <f t="shared" si="50"/>
        <v>-443.71</v>
      </c>
      <c r="Y164" s="2"/>
      <c r="Z164" s="6">
        <f t="shared" si="51"/>
        <v>0</v>
      </c>
    </row>
    <row r="165" spans="1:26" s="27" customFormat="1" outlineLevel="1" collapsed="1" x14ac:dyDescent="0.25">
      <c r="A165" s="28"/>
      <c r="B165" s="14" t="str">
        <f>CONCATENATE("     ","Donations                                         ")</f>
        <v xml:space="preserve">     Donations                                         </v>
      </c>
      <c r="C165" s="14"/>
      <c r="D165" s="1">
        <f>SUM(OSRRefD22_7x_0)</f>
        <v>925.42</v>
      </c>
      <c r="E165" s="1"/>
      <c r="F165" s="5">
        <f t="shared" ref="F165:F167" si="52">IF(D$12=0,0,D165/D$12)</f>
        <v>2.25292754961665E-3</v>
      </c>
      <c r="G165" s="1"/>
      <c r="H165" s="1">
        <f>SUM(OSRRefH22_7x_0)</f>
        <v>1100</v>
      </c>
      <c r="I165" s="1"/>
      <c r="J165" s="5">
        <f t="shared" ref="J165:J167" si="53">IF(H$12=0,0,H165/H$12)</f>
        <v>2.4636962276978654E-3</v>
      </c>
      <c r="K165" s="1"/>
      <c r="L165" s="1">
        <f t="shared" ref="L165:L167" si="54">+D165-H165</f>
        <v>-174.58000000000004</v>
      </c>
      <c r="M165" s="1"/>
      <c r="N165" s="5">
        <f t="shared" ref="N165:N167" si="55">IF(H165=0,0,L165/H165)</f>
        <v>-0.15870909090909094</v>
      </c>
      <c r="O165" s="14"/>
      <c r="P165" s="1">
        <f>SUM(OSRRefP22_7x_0)</f>
        <v>925.42</v>
      </c>
      <c r="Q165" s="1"/>
      <c r="R165" s="5">
        <f t="shared" ref="R165:R167" si="56">IF(P$12=0,0,P165/P$12)</f>
        <v>2.25292754961665E-3</v>
      </c>
      <c r="S165" s="1"/>
      <c r="T165" s="1">
        <f>SUM(OSRRefT22_7x_0)</f>
        <v>1100</v>
      </c>
      <c r="U165" s="1"/>
      <c r="V165" s="5">
        <f t="shared" ref="V165:V167" si="57">IF(T$12=0,0,T165/T$12)</f>
        <v>2.4636962276978654E-3</v>
      </c>
      <c r="W165" s="1"/>
      <c r="X165" s="1">
        <f t="shared" ref="X165:X167" si="58">+P165-T165</f>
        <v>-174.58000000000004</v>
      </c>
      <c r="Y165" s="1"/>
      <c r="Z165" s="5">
        <f t="shared" ref="Z165:Z167" si="59">IF(T165=0,0,X165/T165)</f>
        <v>-0.15870909090909094</v>
      </c>
    </row>
    <row r="166" spans="1:26" s="24" customFormat="1" hidden="1" outlineLevel="2" x14ac:dyDescent="0.25">
      <c r="A166" s="29"/>
      <c r="B166" s="11" t="str">
        <f>CONCATENATE("          ", "6395", " - ", "DONATION-OFF CAMPUS")</f>
        <v xml:space="preserve">          6395 - DONATION-OFF CAMPUS</v>
      </c>
      <c r="C166" s="11"/>
      <c r="D166" s="7"/>
      <c r="E166" s="2"/>
      <c r="F166" s="6">
        <f t="shared" si="52"/>
        <v>0</v>
      </c>
      <c r="G166" s="2"/>
      <c r="H166" s="7">
        <v>1100</v>
      </c>
      <c r="I166" s="2"/>
      <c r="J166" s="6">
        <f t="shared" si="53"/>
        <v>2.4636962276978654E-3</v>
      </c>
      <c r="K166" s="2"/>
      <c r="L166" s="7">
        <f t="shared" si="54"/>
        <v>-1100</v>
      </c>
      <c r="M166" s="2"/>
      <c r="N166" s="6">
        <f t="shared" si="55"/>
        <v>-1</v>
      </c>
      <c r="O166" s="11"/>
      <c r="P166" s="7"/>
      <c r="Q166" s="2"/>
      <c r="R166" s="6">
        <f t="shared" si="56"/>
        <v>0</v>
      </c>
      <c r="S166" s="2"/>
      <c r="T166" s="7">
        <v>1100</v>
      </c>
      <c r="U166" s="2"/>
      <c r="V166" s="6">
        <f t="shared" si="57"/>
        <v>2.4636962276978654E-3</v>
      </c>
      <c r="W166" s="2"/>
      <c r="X166" s="7">
        <f t="shared" si="58"/>
        <v>-1100</v>
      </c>
      <c r="Y166" s="2"/>
      <c r="Z166" s="6">
        <f t="shared" si="59"/>
        <v>-1</v>
      </c>
    </row>
    <row r="167" spans="1:26" s="24" customFormat="1" hidden="1" outlineLevel="2" x14ac:dyDescent="0.25">
      <c r="A167" s="29"/>
      <c r="B167" s="11" t="str">
        <f>CONCATENATE("          ", "6399", " - ", "DONATION-ON CAMPUS")</f>
        <v xml:space="preserve">          6399 - DONATION-ON CAMPUS</v>
      </c>
      <c r="C167" s="11"/>
      <c r="D167" s="7">
        <v>925.42</v>
      </c>
      <c r="E167" s="2"/>
      <c r="F167" s="6">
        <f t="shared" si="52"/>
        <v>2.25292754961665E-3</v>
      </c>
      <c r="G167" s="2"/>
      <c r="H167" s="7"/>
      <c r="I167" s="2"/>
      <c r="J167" s="6">
        <f t="shared" si="53"/>
        <v>0</v>
      </c>
      <c r="K167" s="2"/>
      <c r="L167" s="7">
        <f t="shared" si="54"/>
        <v>925.42</v>
      </c>
      <c r="M167" s="2"/>
      <c r="N167" s="6">
        <f t="shared" si="55"/>
        <v>0</v>
      </c>
      <c r="O167" s="11"/>
      <c r="P167" s="7">
        <v>925.42</v>
      </c>
      <c r="Q167" s="2"/>
      <c r="R167" s="6">
        <f t="shared" si="56"/>
        <v>2.25292754961665E-3</v>
      </c>
      <c r="S167" s="2"/>
      <c r="T167" s="7"/>
      <c r="U167" s="2"/>
      <c r="V167" s="6">
        <f t="shared" si="57"/>
        <v>0</v>
      </c>
      <c r="W167" s="2"/>
      <c r="X167" s="7">
        <f t="shared" si="58"/>
        <v>925.42</v>
      </c>
      <c r="Y167" s="2"/>
      <c r="Z167" s="6">
        <f t="shared" si="59"/>
        <v>0</v>
      </c>
    </row>
    <row r="168" spans="1:26" s="27" customFormat="1" outlineLevel="1" collapsed="1" x14ac:dyDescent="0.25">
      <c r="A168" s="28"/>
      <c r="B168" s="14" t="str">
        <f>CONCATENATE("     ","Employees' Appreciation                           ")</f>
        <v xml:space="preserve">     Employees' Appreciation                           </v>
      </c>
      <c r="C168" s="14"/>
      <c r="D168" s="1">
        <f>SUM(OSRRefD22_8x_0)</f>
        <v>393.54</v>
      </c>
      <c r="E168" s="1"/>
      <c r="F168" s="5">
        <f t="shared" ref="F168:F174" si="60">IF(D$12=0,0,D168/D$12)</f>
        <v>9.5806996593561478E-4</v>
      </c>
      <c r="G168" s="1"/>
      <c r="H168" s="1">
        <f>SUM(OSRRefH22_8x_0)</f>
        <v>750</v>
      </c>
      <c r="I168" s="1"/>
      <c r="J168" s="5">
        <f t="shared" ref="J168:J174" si="61">IF(H$12=0,0,H168/H$12)</f>
        <v>1.6797928825212718E-3</v>
      </c>
      <c r="K168" s="1"/>
      <c r="L168" s="1">
        <f t="shared" ref="L168:L174" si="62">+D168-H168</f>
        <v>-356.46</v>
      </c>
      <c r="M168" s="1"/>
      <c r="N168" s="5">
        <f t="shared" ref="N168:N174" si="63">IF(H168=0,0,L168/H168)</f>
        <v>-0.47527999999999998</v>
      </c>
      <c r="O168" s="14"/>
      <c r="P168" s="1">
        <f>SUM(OSRRefP22_8x_0)</f>
        <v>393.54</v>
      </c>
      <c r="Q168" s="1"/>
      <c r="R168" s="5">
        <f t="shared" ref="R168:R174" si="64">IF(P$12=0,0,P168/P$12)</f>
        <v>9.5806996593561478E-4</v>
      </c>
      <c r="S168" s="1"/>
      <c r="T168" s="1">
        <f>SUM(OSRRefT22_8x_0)</f>
        <v>750</v>
      </c>
      <c r="U168" s="1"/>
      <c r="V168" s="5">
        <f t="shared" ref="V168:V174" si="65">IF(T$12=0,0,T168/T$12)</f>
        <v>1.6797928825212718E-3</v>
      </c>
      <c r="W168" s="1"/>
      <c r="X168" s="1">
        <f t="shared" ref="X168:X174" si="66">+P168-T168</f>
        <v>-356.46</v>
      </c>
      <c r="Y168" s="1"/>
      <c r="Z168" s="5">
        <f t="shared" ref="Z168:Z174" si="67">IF(T168=0,0,X168/T168)</f>
        <v>-0.47527999999999998</v>
      </c>
    </row>
    <row r="169" spans="1:26" s="24" customFormat="1" hidden="1" outlineLevel="2" x14ac:dyDescent="0.25">
      <c r="A169" s="29"/>
      <c r="B169" s="11" t="str">
        <f>CONCATENATE("          ", "6277", " - ", "EMPLOYEE APPRECIATION")</f>
        <v xml:space="preserve">          6277 - EMPLOYEE APPRECIATION</v>
      </c>
      <c r="C169" s="11"/>
      <c r="D169" s="7">
        <v>393.54</v>
      </c>
      <c r="E169" s="2"/>
      <c r="F169" s="6">
        <f t="shared" si="60"/>
        <v>9.5806996593561478E-4</v>
      </c>
      <c r="G169" s="2"/>
      <c r="H169" s="7">
        <v>750</v>
      </c>
      <c r="I169" s="2"/>
      <c r="J169" s="6">
        <f t="shared" si="61"/>
        <v>1.6797928825212718E-3</v>
      </c>
      <c r="K169" s="2"/>
      <c r="L169" s="7">
        <f t="shared" si="62"/>
        <v>-356.46</v>
      </c>
      <c r="M169" s="2"/>
      <c r="N169" s="6">
        <f t="shared" si="63"/>
        <v>-0.47527999999999998</v>
      </c>
      <c r="O169" s="11"/>
      <c r="P169" s="7">
        <v>393.54</v>
      </c>
      <c r="Q169" s="2"/>
      <c r="R169" s="6">
        <f t="shared" si="64"/>
        <v>9.5806996593561478E-4</v>
      </c>
      <c r="S169" s="2"/>
      <c r="T169" s="7">
        <v>750</v>
      </c>
      <c r="U169" s="2"/>
      <c r="V169" s="6">
        <f t="shared" si="65"/>
        <v>1.6797928825212718E-3</v>
      </c>
      <c r="W169" s="2"/>
      <c r="X169" s="7">
        <f t="shared" si="66"/>
        <v>-356.46</v>
      </c>
      <c r="Y169" s="2"/>
      <c r="Z169" s="6">
        <f t="shared" si="67"/>
        <v>-0.47527999999999998</v>
      </c>
    </row>
    <row r="170" spans="1:26" s="27" customFormat="1" outlineLevel="1" collapsed="1" x14ac:dyDescent="0.25">
      <c r="A170" s="28"/>
      <c r="B170" s="14" t="str">
        <f>CONCATENATE("     ","Equipment Rental                                  ")</f>
        <v xml:space="preserve">     Equipment Rental                                  </v>
      </c>
      <c r="C170" s="14"/>
      <c r="D170" s="1">
        <f>SUM(OSRRefD22_9x_0)</f>
        <v>1443.37</v>
      </c>
      <c r="E170" s="1"/>
      <c r="F170" s="5">
        <f t="shared" si="60"/>
        <v>3.513872660294984E-3</v>
      </c>
      <c r="G170" s="1"/>
      <c r="H170" s="1">
        <f>SUM(OSRRefH22_9x_0)</f>
        <v>3305</v>
      </c>
      <c r="I170" s="1"/>
      <c r="J170" s="5">
        <f t="shared" si="61"/>
        <v>7.4022873023104046E-3</v>
      </c>
      <c r="K170" s="1"/>
      <c r="L170" s="1">
        <f t="shared" si="62"/>
        <v>-1861.63</v>
      </c>
      <c r="M170" s="1"/>
      <c r="N170" s="5">
        <f t="shared" si="63"/>
        <v>-0.56327685325264754</v>
      </c>
      <c r="O170" s="14"/>
      <c r="P170" s="1">
        <f>SUM(OSRRefP22_9x_0)</f>
        <v>1443.37</v>
      </c>
      <c r="Q170" s="1"/>
      <c r="R170" s="5">
        <f t="shared" si="64"/>
        <v>3.513872660294984E-3</v>
      </c>
      <c r="S170" s="1"/>
      <c r="T170" s="1">
        <f>SUM(OSRRefT22_9x_0)</f>
        <v>3305</v>
      </c>
      <c r="U170" s="1"/>
      <c r="V170" s="5">
        <f t="shared" si="65"/>
        <v>7.4022873023104046E-3</v>
      </c>
      <c r="W170" s="1"/>
      <c r="X170" s="1">
        <f t="shared" si="66"/>
        <v>-1861.63</v>
      </c>
      <c r="Y170" s="1"/>
      <c r="Z170" s="5">
        <f t="shared" si="67"/>
        <v>-0.56327685325264754</v>
      </c>
    </row>
    <row r="171" spans="1:26" s="24" customFormat="1" hidden="1" outlineLevel="2" x14ac:dyDescent="0.25">
      <c r="A171" s="29"/>
      <c r="B171" s="11" t="str">
        <f>CONCATENATE("          ", "6351", " - ", "EQUIPMENT RENTAL")</f>
        <v xml:space="preserve">          6351 - EQUIPMENT RENTAL</v>
      </c>
      <c r="C171" s="11"/>
      <c r="D171" s="7">
        <v>1443.37</v>
      </c>
      <c r="E171" s="2"/>
      <c r="F171" s="6">
        <f t="shared" si="60"/>
        <v>3.513872660294984E-3</v>
      </c>
      <c r="G171" s="2"/>
      <c r="H171" s="7">
        <v>3305</v>
      </c>
      <c r="I171" s="2"/>
      <c r="J171" s="6">
        <f t="shared" si="61"/>
        <v>7.4022873023104046E-3</v>
      </c>
      <c r="K171" s="2"/>
      <c r="L171" s="7">
        <f t="shared" si="62"/>
        <v>-1861.63</v>
      </c>
      <c r="M171" s="2"/>
      <c r="N171" s="6">
        <f t="shared" si="63"/>
        <v>-0.56327685325264754</v>
      </c>
      <c r="O171" s="11"/>
      <c r="P171" s="7">
        <v>1443.37</v>
      </c>
      <c r="Q171" s="2"/>
      <c r="R171" s="6">
        <f t="shared" si="64"/>
        <v>3.513872660294984E-3</v>
      </c>
      <c r="S171" s="2"/>
      <c r="T171" s="7">
        <v>3305</v>
      </c>
      <c r="U171" s="2"/>
      <c r="V171" s="6">
        <f t="shared" si="65"/>
        <v>7.4022873023104046E-3</v>
      </c>
      <c r="W171" s="2"/>
      <c r="X171" s="7">
        <f t="shared" si="66"/>
        <v>-1861.63</v>
      </c>
      <c r="Y171" s="2"/>
      <c r="Z171" s="6">
        <f t="shared" si="67"/>
        <v>-0.56327685325264754</v>
      </c>
    </row>
    <row r="172" spans="1:26" s="27" customFormat="1" outlineLevel="1" collapsed="1" x14ac:dyDescent="0.25">
      <c r="A172" s="28"/>
      <c r="B172" s="14" t="str">
        <f>CONCATENATE("     ","Freight out/Postage                               ")</f>
        <v xml:space="preserve">     Freight out/Postage                               </v>
      </c>
      <c r="C172" s="14"/>
      <c r="D172" s="1">
        <f>SUM(OSRRefD22_10x_0)</f>
        <v>-2160.1400000000003</v>
      </c>
      <c r="E172" s="1"/>
      <c r="F172" s="5">
        <f t="shared" si="60"/>
        <v>-5.2588434624591118E-3</v>
      </c>
      <c r="G172" s="1"/>
      <c r="H172" s="1">
        <f>SUM(OSRRefH22_10x_0)</f>
        <v>-710</v>
      </c>
      <c r="I172" s="1"/>
      <c r="J172" s="5">
        <f t="shared" si="61"/>
        <v>-1.5902039287868041E-3</v>
      </c>
      <c r="K172" s="1"/>
      <c r="L172" s="1">
        <f t="shared" si="62"/>
        <v>-1450.1400000000003</v>
      </c>
      <c r="M172" s="1"/>
      <c r="N172" s="5">
        <f t="shared" si="63"/>
        <v>2.0424507042253524</v>
      </c>
      <c r="O172" s="14"/>
      <c r="P172" s="1">
        <f>SUM(OSRRefP22_10x_0)</f>
        <v>-2160.1400000000003</v>
      </c>
      <c r="Q172" s="1"/>
      <c r="R172" s="5">
        <f t="shared" si="64"/>
        <v>-5.2588434624591118E-3</v>
      </c>
      <c r="S172" s="1"/>
      <c r="T172" s="1">
        <f>SUM(OSRRefT22_10x_0)</f>
        <v>-710</v>
      </c>
      <c r="U172" s="1"/>
      <c r="V172" s="5">
        <f t="shared" si="65"/>
        <v>-1.5902039287868041E-3</v>
      </c>
      <c r="W172" s="1"/>
      <c r="X172" s="1">
        <f t="shared" si="66"/>
        <v>-1450.1400000000003</v>
      </c>
      <c r="Y172" s="1"/>
      <c r="Z172" s="5">
        <f t="shared" si="67"/>
        <v>2.0424507042253524</v>
      </c>
    </row>
    <row r="173" spans="1:26" s="24" customFormat="1" hidden="1" outlineLevel="2" x14ac:dyDescent="0.25">
      <c r="A173" s="29"/>
      <c r="B173" s="11" t="str">
        <f>CONCATENATE("          ", "6305", " - ", "FREIGHT OUT")</f>
        <v xml:space="preserve">          6305 - FREIGHT OUT</v>
      </c>
      <c r="C173" s="11"/>
      <c r="D173" s="7">
        <v>1489.41</v>
      </c>
      <c r="E173" s="2"/>
      <c r="F173" s="6">
        <f t="shared" si="60"/>
        <v>3.6259566701330589E-3</v>
      </c>
      <c r="G173" s="2"/>
      <c r="H173" s="7">
        <v>-750</v>
      </c>
      <c r="I173" s="2"/>
      <c r="J173" s="6">
        <f t="shared" si="61"/>
        <v>-1.6797928825212718E-3</v>
      </c>
      <c r="K173" s="2"/>
      <c r="L173" s="7">
        <f t="shared" si="62"/>
        <v>2239.41</v>
      </c>
      <c r="M173" s="2"/>
      <c r="N173" s="6">
        <f t="shared" si="63"/>
        <v>-2.9858799999999999</v>
      </c>
      <c r="O173" s="11"/>
      <c r="P173" s="7">
        <v>1489.41</v>
      </c>
      <c r="Q173" s="2"/>
      <c r="R173" s="6">
        <f t="shared" si="64"/>
        <v>3.6259566701330589E-3</v>
      </c>
      <c r="S173" s="2"/>
      <c r="T173" s="7">
        <v>-750</v>
      </c>
      <c r="U173" s="2"/>
      <c r="V173" s="6">
        <f t="shared" si="65"/>
        <v>-1.6797928825212718E-3</v>
      </c>
      <c r="W173" s="2"/>
      <c r="X173" s="7">
        <f t="shared" si="66"/>
        <v>2239.41</v>
      </c>
      <c r="Y173" s="2"/>
      <c r="Z173" s="6">
        <f t="shared" si="67"/>
        <v>-2.9858799999999999</v>
      </c>
    </row>
    <row r="174" spans="1:26" s="24" customFormat="1" hidden="1" outlineLevel="2" x14ac:dyDescent="0.25">
      <c r="A174" s="29"/>
      <c r="B174" s="11" t="str">
        <f>CONCATENATE("          ", "6307", " - ", "POSTAGE")</f>
        <v xml:space="preserve">          6307 - POSTAGE</v>
      </c>
      <c r="C174" s="11"/>
      <c r="D174" s="7">
        <v>-3649.55</v>
      </c>
      <c r="E174" s="2"/>
      <c r="F174" s="6">
        <f t="shared" si="60"/>
        <v>-8.8848001325921699E-3</v>
      </c>
      <c r="G174" s="2"/>
      <c r="H174" s="7">
        <v>40</v>
      </c>
      <c r="I174" s="2"/>
      <c r="J174" s="6">
        <f t="shared" si="61"/>
        <v>8.9588953734467836E-5</v>
      </c>
      <c r="K174" s="2"/>
      <c r="L174" s="7">
        <f t="shared" si="62"/>
        <v>-3689.55</v>
      </c>
      <c r="M174" s="2"/>
      <c r="N174" s="6">
        <f t="shared" si="63"/>
        <v>-92.23875000000001</v>
      </c>
      <c r="O174" s="11"/>
      <c r="P174" s="7">
        <v>-3649.55</v>
      </c>
      <c r="Q174" s="2"/>
      <c r="R174" s="6">
        <f t="shared" si="64"/>
        <v>-8.8848001325921699E-3</v>
      </c>
      <c r="S174" s="2"/>
      <c r="T174" s="7">
        <v>40</v>
      </c>
      <c r="U174" s="2"/>
      <c r="V174" s="6">
        <f t="shared" si="65"/>
        <v>8.9588953734467836E-5</v>
      </c>
      <c r="W174" s="2"/>
      <c r="X174" s="7">
        <f t="shared" si="66"/>
        <v>-3689.55</v>
      </c>
      <c r="Y174" s="2"/>
      <c r="Z174" s="6">
        <f t="shared" si="67"/>
        <v>-92.23875000000001</v>
      </c>
    </row>
    <row r="175" spans="1:26" s="27" customFormat="1" outlineLevel="1" collapsed="1" x14ac:dyDescent="0.25">
      <c r="A175" s="28"/>
      <c r="B175" s="14" t="str">
        <f>CONCATENATE("     ","General                                           ")</f>
        <v xml:space="preserve">     General                                           </v>
      </c>
      <c r="C175" s="14"/>
      <c r="D175" s="1">
        <f>SUM(OSRRefD22_11x_0)</f>
        <v>5204.9799999999996</v>
      </c>
      <c r="E175" s="1"/>
      <c r="F175" s="5">
        <f t="shared" ref="F175:F192" si="68">IF(D$12=0,0,D175/D$12)</f>
        <v>1.2671481961923961E-2</v>
      </c>
      <c r="G175" s="1"/>
      <c r="H175" s="1">
        <f>SUM(OSRRefH22_11x_0)</f>
        <v>1095</v>
      </c>
      <c r="I175" s="1"/>
      <c r="J175" s="5">
        <f t="shared" ref="J175:J192" si="69">IF(H$12=0,0,H175/H$12)</f>
        <v>2.4524976084810569E-3</v>
      </c>
      <c r="K175" s="1"/>
      <c r="L175" s="1">
        <f t="shared" ref="L175:L192" si="70">+D175-H175</f>
        <v>4109.9799999999996</v>
      </c>
      <c r="M175" s="1"/>
      <c r="N175" s="5">
        <f t="shared" ref="N175:N192" si="71">IF(H175=0,0,L175/H175)</f>
        <v>3.7534063926940635</v>
      </c>
      <c r="O175" s="14"/>
      <c r="P175" s="1">
        <f>SUM(OSRRefP22_11x_0)</f>
        <v>5204.9799999999996</v>
      </c>
      <c r="Q175" s="1"/>
      <c r="R175" s="5">
        <f t="shared" ref="R175:R192" si="72">IF(P$12=0,0,P175/P$12)</f>
        <v>1.2671481961923961E-2</v>
      </c>
      <c r="S175" s="1"/>
      <c r="T175" s="1">
        <f>SUM(OSRRefT22_11x_0)</f>
        <v>1095</v>
      </c>
      <c r="U175" s="1"/>
      <c r="V175" s="5">
        <f t="shared" ref="V175:V192" si="73">IF(T$12=0,0,T175/T$12)</f>
        <v>2.4524976084810569E-3</v>
      </c>
      <c r="W175" s="1"/>
      <c r="X175" s="1">
        <f t="shared" ref="X175:X192" si="74">+P175-T175</f>
        <v>4109.9799999999996</v>
      </c>
      <c r="Y175" s="1"/>
      <c r="Z175" s="5">
        <f t="shared" ref="Z175:Z192" si="75">IF(T175=0,0,X175/T175)</f>
        <v>3.7534063926940635</v>
      </c>
    </row>
    <row r="176" spans="1:26" s="24" customFormat="1" hidden="1" outlineLevel="2" x14ac:dyDescent="0.25">
      <c r="A176" s="29"/>
      <c r="B176" s="11" t="str">
        <f>CONCATENATE("          ", "6279", " - ", "GENERAL EXPENSE")</f>
        <v xml:space="preserve">          6279 - GENERAL EXPENSE</v>
      </c>
      <c r="C176" s="11"/>
      <c r="D176" s="7">
        <v>5204.9799999999996</v>
      </c>
      <c r="E176" s="2"/>
      <c r="F176" s="6">
        <f t="shared" si="68"/>
        <v>1.2671481961923961E-2</v>
      </c>
      <c r="G176" s="2"/>
      <c r="H176" s="7">
        <v>1095</v>
      </c>
      <c r="I176" s="2"/>
      <c r="J176" s="6">
        <f t="shared" si="69"/>
        <v>2.4524976084810569E-3</v>
      </c>
      <c r="K176" s="2"/>
      <c r="L176" s="7">
        <f t="shared" si="70"/>
        <v>4109.9799999999996</v>
      </c>
      <c r="M176" s="2"/>
      <c r="N176" s="6">
        <f t="shared" si="71"/>
        <v>3.7534063926940635</v>
      </c>
      <c r="O176" s="11"/>
      <c r="P176" s="7">
        <v>5204.9799999999996</v>
      </c>
      <c r="Q176" s="2"/>
      <c r="R176" s="6">
        <f t="shared" si="72"/>
        <v>1.2671481961923961E-2</v>
      </c>
      <c r="S176" s="2"/>
      <c r="T176" s="7">
        <v>1095</v>
      </c>
      <c r="U176" s="2"/>
      <c r="V176" s="6">
        <f t="shared" si="73"/>
        <v>2.4524976084810569E-3</v>
      </c>
      <c r="W176" s="2"/>
      <c r="X176" s="7">
        <f t="shared" si="74"/>
        <v>4109.9799999999996</v>
      </c>
      <c r="Y176" s="2"/>
      <c r="Z176" s="6">
        <f t="shared" si="75"/>
        <v>3.7534063926940635</v>
      </c>
    </row>
    <row r="177" spans="1:26" s="27" customFormat="1" outlineLevel="1" collapsed="1" x14ac:dyDescent="0.25">
      <c r="A177" s="28"/>
      <c r="B177" s="14" t="str">
        <f>CONCATENATE("     ","Insurance                                         ")</f>
        <v xml:space="preserve">     Insurance                                         </v>
      </c>
      <c r="C177" s="14"/>
      <c r="D177" s="1">
        <f>SUM(OSRRefD22_12x_0)</f>
        <v>4288.28</v>
      </c>
      <c r="E177" s="1"/>
      <c r="F177" s="5">
        <f t="shared" si="68"/>
        <v>1.0439783182198448E-2</v>
      </c>
      <c r="G177" s="1"/>
      <c r="H177" s="1">
        <f>SUM(OSRRefH22_12x_0)</f>
        <v>4045</v>
      </c>
      <c r="I177" s="1"/>
      <c r="J177" s="5">
        <f t="shared" si="69"/>
        <v>9.0596829463980601E-3</v>
      </c>
      <c r="K177" s="1"/>
      <c r="L177" s="1">
        <f t="shared" si="70"/>
        <v>243.27999999999975</v>
      </c>
      <c r="M177" s="1"/>
      <c r="N177" s="5">
        <f t="shared" si="71"/>
        <v>6.0143386897404137E-2</v>
      </c>
      <c r="O177" s="14"/>
      <c r="P177" s="1">
        <f>SUM(OSRRefP22_12x_0)</f>
        <v>4288.28</v>
      </c>
      <c r="Q177" s="1"/>
      <c r="R177" s="5">
        <f t="shared" si="72"/>
        <v>1.0439783182198448E-2</v>
      </c>
      <c r="S177" s="1"/>
      <c r="T177" s="1">
        <f>SUM(OSRRefT22_12x_0)</f>
        <v>4045</v>
      </c>
      <c r="U177" s="1"/>
      <c r="V177" s="5">
        <f t="shared" si="73"/>
        <v>9.0596829463980601E-3</v>
      </c>
      <c r="W177" s="1"/>
      <c r="X177" s="1">
        <f t="shared" si="74"/>
        <v>243.27999999999975</v>
      </c>
      <c r="Y177" s="1"/>
      <c r="Z177" s="5">
        <f t="shared" si="75"/>
        <v>6.0143386897404137E-2</v>
      </c>
    </row>
    <row r="178" spans="1:26" s="24" customFormat="1" hidden="1" outlineLevel="2" x14ac:dyDescent="0.25">
      <c r="A178" s="29"/>
      <c r="B178" s="11" t="str">
        <f>CONCATENATE("          ", "6314", " - ", "LIABILITY INSURANCE")</f>
        <v xml:space="preserve">          6314 - LIABILITY INSURANCE</v>
      </c>
      <c r="C178" s="11"/>
      <c r="D178" s="7">
        <v>4288.28</v>
      </c>
      <c r="E178" s="2"/>
      <c r="F178" s="6">
        <f t="shared" si="68"/>
        <v>1.0439783182198448E-2</v>
      </c>
      <c r="G178" s="2"/>
      <c r="H178" s="7">
        <v>4045</v>
      </c>
      <c r="I178" s="2"/>
      <c r="J178" s="6">
        <f t="shared" si="69"/>
        <v>9.0596829463980601E-3</v>
      </c>
      <c r="K178" s="2"/>
      <c r="L178" s="7">
        <f t="shared" si="70"/>
        <v>243.27999999999975</v>
      </c>
      <c r="M178" s="2"/>
      <c r="N178" s="6">
        <f t="shared" si="71"/>
        <v>6.0143386897404137E-2</v>
      </c>
      <c r="O178" s="11"/>
      <c r="P178" s="7">
        <v>4288.28</v>
      </c>
      <c r="Q178" s="2"/>
      <c r="R178" s="6">
        <f t="shared" si="72"/>
        <v>1.0439783182198448E-2</v>
      </c>
      <c r="S178" s="2"/>
      <c r="T178" s="7">
        <v>4045</v>
      </c>
      <c r="U178" s="2"/>
      <c r="V178" s="6">
        <f t="shared" si="73"/>
        <v>9.0596829463980601E-3</v>
      </c>
      <c r="W178" s="2"/>
      <c r="X178" s="7">
        <f t="shared" si="74"/>
        <v>243.27999999999975</v>
      </c>
      <c r="Y178" s="2"/>
      <c r="Z178" s="6">
        <f t="shared" si="75"/>
        <v>6.0143386897404137E-2</v>
      </c>
    </row>
    <row r="179" spans="1:26" s="27" customFormat="1" outlineLevel="1" collapsed="1" x14ac:dyDescent="0.25">
      <c r="A179" s="28"/>
      <c r="B179" s="14" t="str">
        <f>CONCATENATE("     ","Interest                                          ")</f>
        <v xml:space="preserve">     Interest                                          </v>
      </c>
      <c r="C179" s="14"/>
      <c r="D179" s="1">
        <f>SUM(OSRRefD22_13x_0)</f>
        <v>4110</v>
      </c>
      <c r="E179" s="1"/>
      <c r="F179" s="5">
        <f t="shared" si="68"/>
        <v>1.0005761955570911E-2</v>
      </c>
      <c r="G179" s="1"/>
      <c r="H179" s="1">
        <f>SUM(OSRRefH22_13x_0)</f>
        <v>4175</v>
      </c>
      <c r="I179" s="1"/>
      <c r="J179" s="5">
        <f t="shared" si="69"/>
        <v>9.3508470460350809E-3</v>
      </c>
      <c r="K179" s="1"/>
      <c r="L179" s="1">
        <f t="shared" si="70"/>
        <v>-65</v>
      </c>
      <c r="M179" s="1"/>
      <c r="N179" s="5">
        <f t="shared" si="71"/>
        <v>-1.5568862275449102E-2</v>
      </c>
      <c r="O179" s="14"/>
      <c r="P179" s="1">
        <f>SUM(OSRRefP22_13x_0)</f>
        <v>4110</v>
      </c>
      <c r="Q179" s="1"/>
      <c r="R179" s="5">
        <f t="shared" si="72"/>
        <v>1.0005761955570911E-2</v>
      </c>
      <c r="S179" s="1"/>
      <c r="T179" s="1">
        <f>SUM(OSRRefT22_13x_0)</f>
        <v>4175</v>
      </c>
      <c r="U179" s="1"/>
      <c r="V179" s="5">
        <f t="shared" si="73"/>
        <v>9.3508470460350809E-3</v>
      </c>
      <c r="W179" s="1"/>
      <c r="X179" s="1">
        <f t="shared" si="74"/>
        <v>-65</v>
      </c>
      <c r="Y179" s="1"/>
      <c r="Z179" s="5">
        <f t="shared" si="75"/>
        <v>-1.5568862275449102E-2</v>
      </c>
    </row>
    <row r="180" spans="1:26" s="24" customFormat="1" hidden="1" outlineLevel="2" x14ac:dyDescent="0.25">
      <c r="A180" s="29"/>
      <c r="B180" s="11" t="str">
        <f>CONCATENATE("          ", "6401", " - ", "INTEREST EXPENSE")</f>
        <v xml:space="preserve">          6401 - INTEREST EXPENSE</v>
      </c>
      <c r="C180" s="11"/>
      <c r="D180" s="7">
        <v>4110</v>
      </c>
      <c r="E180" s="2"/>
      <c r="F180" s="6">
        <f t="shared" si="68"/>
        <v>1.0005761955570911E-2</v>
      </c>
      <c r="G180" s="2"/>
      <c r="H180" s="7">
        <v>4175</v>
      </c>
      <c r="I180" s="2"/>
      <c r="J180" s="6">
        <f t="shared" si="69"/>
        <v>9.3508470460350809E-3</v>
      </c>
      <c r="K180" s="2"/>
      <c r="L180" s="7">
        <f t="shared" si="70"/>
        <v>-65</v>
      </c>
      <c r="M180" s="2"/>
      <c r="N180" s="6">
        <f t="shared" si="71"/>
        <v>-1.5568862275449102E-2</v>
      </c>
      <c r="O180" s="11"/>
      <c r="P180" s="7">
        <v>4110</v>
      </c>
      <c r="Q180" s="2"/>
      <c r="R180" s="6">
        <f t="shared" si="72"/>
        <v>1.0005761955570911E-2</v>
      </c>
      <c r="S180" s="2"/>
      <c r="T180" s="7">
        <v>4175</v>
      </c>
      <c r="U180" s="2"/>
      <c r="V180" s="6">
        <f t="shared" si="73"/>
        <v>9.3508470460350809E-3</v>
      </c>
      <c r="W180" s="2"/>
      <c r="X180" s="7">
        <f t="shared" si="74"/>
        <v>-65</v>
      </c>
      <c r="Y180" s="2"/>
      <c r="Z180" s="6">
        <f t="shared" si="75"/>
        <v>-1.5568862275449102E-2</v>
      </c>
    </row>
    <row r="181" spans="1:26" s="27" customFormat="1" outlineLevel="1" collapsed="1" x14ac:dyDescent="0.25">
      <c r="A181" s="28"/>
      <c r="B181" s="14" t="str">
        <f>CONCATENATE("     ","Inventory Adjustment                              ")</f>
        <v xml:space="preserve">     Inventory Adjustment                              </v>
      </c>
      <c r="C181" s="14"/>
      <c r="D181" s="1">
        <f>SUM(OSRRefD22_14x_0)</f>
        <v>4150</v>
      </c>
      <c r="E181" s="1"/>
      <c r="F181" s="5">
        <f t="shared" si="68"/>
        <v>1.0103141633970627E-2</v>
      </c>
      <c r="G181" s="1"/>
      <c r="H181" s="1">
        <f>SUM(OSRRefH22_14x_0)</f>
        <v>4150</v>
      </c>
      <c r="I181" s="1"/>
      <c r="J181" s="5">
        <f t="shared" si="69"/>
        <v>9.2948539499510385E-3</v>
      </c>
      <c r="K181" s="1"/>
      <c r="L181" s="1">
        <f t="shared" si="70"/>
        <v>0</v>
      </c>
      <c r="M181" s="1"/>
      <c r="N181" s="5">
        <f t="shared" si="71"/>
        <v>0</v>
      </c>
      <c r="O181" s="14"/>
      <c r="P181" s="1">
        <f>SUM(OSRRefP22_14x_0)</f>
        <v>4150</v>
      </c>
      <c r="Q181" s="1"/>
      <c r="R181" s="5">
        <f t="shared" si="72"/>
        <v>1.0103141633970627E-2</v>
      </c>
      <c r="S181" s="1"/>
      <c r="T181" s="1">
        <f>SUM(OSRRefT22_14x_0)</f>
        <v>4150</v>
      </c>
      <c r="U181" s="1"/>
      <c r="V181" s="5">
        <f t="shared" si="73"/>
        <v>9.2948539499510385E-3</v>
      </c>
      <c r="W181" s="1"/>
      <c r="X181" s="1">
        <f t="shared" si="74"/>
        <v>0</v>
      </c>
      <c r="Y181" s="1"/>
      <c r="Z181" s="5">
        <f t="shared" si="75"/>
        <v>0</v>
      </c>
    </row>
    <row r="182" spans="1:26" s="24" customFormat="1" hidden="1" outlineLevel="2" x14ac:dyDescent="0.25">
      <c r="A182" s="29"/>
      <c r="B182" s="11" t="str">
        <f>CONCATENATE("          ", "6408", " - ", "INVENTORY ADJUSTMENT")</f>
        <v xml:space="preserve">          6408 - INVENTORY ADJUSTMENT</v>
      </c>
      <c r="C182" s="11"/>
      <c r="D182" s="7">
        <v>4150</v>
      </c>
      <c r="E182" s="2"/>
      <c r="F182" s="6">
        <f t="shared" si="68"/>
        <v>1.0103141633970627E-2</v>
      </c>
      <c r="G182" s="2"/>
      <c r="H182" s="7">
        <v>4150</v>
      </c>
      <c r="I182" s="2"/>
      <c r="J182" s="6">
        <f t="shared" si="69"/>
        <v>9.2948539499510385E-3</v>
      </c>
      <c r="K182" s="2"/>
      <c r="L182" s="7">
        <f t="shared" si="70"/>
        <v>0</v>
      </c>
      <c r="M182" s="2"/>
      <c r="N182" s="6">
        <f t="shared" si="71"/>
        <v>0</v>
      </c>
      <c r="O182" s="11"/>
      <c r="P182" s="7">
        <v>4150</v>
      </c>
      <c r="Q182" s="2"/>
      <c r="R182" s="6">
        <f t="shared" si="72"/>
        <v>1.0103141633970627E-2</v>
      </c>
      <c r="S182" s="2"/>
      <c r="T182" s="7">
        <v>4150</v>
      </c>
      <c r="U182" s="2"/>
      <c r="V182" s="6">
        <f t="shared" si="73"/>
        <v>9.2948539499510385E-3</v>
      </c>
      <c r="W182" s="2"/>
      <c r="X182" s="7">
        <f t="shared" si="74"/>
        <v>0</v>
      </c>
      <c r="Y182" s="2"/>
      <c r="Z182" s="6">
        <f t="shared" si="75"/>
        <v>0</v>
      </c>
    </row>
    <row r="183" spans="1:26" s="27" customFormat="1" outlineLevel="1" collapsed="1" x14ac:dyDescent="0.25">
      <c r="A183" s="28"/>
      <c r="B183" s="14" t="str">
        <f>CONCATENATE("     ","Professional Services                             ")</f>
        <v xml:space="preserve">     Professional Services                             </v>
      </c>
      <c r="C183" s="14"/>
      <c r="D183" s="1">
        <f>SUM(OSRRefD22_15x_0)</f>
        <v>6158.41</v>
      </c>
      <c r="E183" s="1"/>
      <c r="F183" s="5">
        <f t="shared" si="68"/>
        <v>1.4992599631340012E-2</v>
      </c>
      <c r="G183" s="1"/>
      <c r="H183" s="1">
        <f>SUM(OSRRefH22_15x_0)</f>
        <v>3415</v>
      </c>
      <c r="I183" s="1"/>
      <c r="J183" s="5">
        <f t="shared" si="69"/>
        <v>7.6486569250801915E-3</v>
      </c>
      <c r="K183" s="1"/>
      <c r="L183" s="1">
        <f t="shared" si="70"/>
        <v>2743.41</v>
      </c>
      <c r="M183" s="1"/>
      <c r="N183" s="5">
        <f t="shared" si="71"/>
        <v>0.80334114202049778</v>
      </c>
      <c r="O183" s="14"/>
      <c r="P183" s="1">
        <f>SUM(OSRRefP22_15x_0)</f>
        <v>6158.41</v>
      </c>
      <c r="Q183" s="1"/>
      <c r="R183" s="5">
        <f t="shared" si="72"/>
        <v>1.4992599631340012E-2</v>
      </c>
      <c r="S183" s="1"/>
      <c r="T183" s="1">
        <f>SUM(OSRRefT22_15x_0)</f>
        <v>3415</v>
      </c>
      <c r="U183" s="1"/>
      <c r="V183" s="5">
        <f t="shared" si="73"/>
        <v>7.6486569250801915E-3</v>
      </c>
      <c r="W183" s="1"/>
      <c r="X183" s="1">
        <f t="shared" si="74"/>
        <v>2743.41</v>
      </c>
      <c r="Y183" s="1"/>
      <c r="Z183" s="5">
        <f t="shared" si="75"/>
        <v>0.80334114202049778</v>
      </c>
    </row>
    <row r="184" spans="1:26" s="24" customFormat="1" hidden="1" outlineLevel="2" x14ac:dyDescent="0.25">
      <c r="A184" s="29"/>
      <c r="B184" s="11" t="str">
        <f>CONCATENATE("          ", "6336", " - ", "PROFESSIONAL SERVICES")</f>
        <v xml:space="preserve">          6336 - PROFESSIONAL SERVICES</v>
      </c>
      <c r="C184" s="11"/>
      <c r="D184" s="7">
        <v>6158.41</v>
      </c>
      <c r="E184" s="2"/>
      <c r="F184" s="6">
        <f t="shared" si="68"/>
        <v>1.4992599631340012E-2</v>
      </c>
      <c r="G184" s="2"/>
      <c r="H184" s="7">
        <v>3415</v>
      </c>
      <c r="I184" s="2"/>
      <c r="J184" s="6">
        <f t="shared" si="69"/>
        <v>7.6486569250801915E-3</v>
      </c>
      <c r="K184" s="2"/>
      <c r="L184" s="7">
        <f t="shared" si="70"/>
        <v>2743.41</v>
      </c>
      <c r="M184" s="2"/>
      <c r="N184" s="6">
        <f t="shared" si="71"/>
        <v>0.80334114202049778</v>
      </c>
      <c r="O184" s="11"/>
      <c r="P184" s="7">
        <v>6158.41</v>
      </c>
      <c r="Q184" s="2"/>
      <c r="R184" s="6">
        <f t="shared" si="72"/>
        <v>1.4992599631340012E-2</v>
      </c>
      <c r="S184" s="2"/>
      <c r="T184" s="7">
        <v>3415</v>
      </c>
      <c r="U184" s="2"/>
      <c r="V184" s="6">
        <f t="shared" si="73"/>
        <v>7.6486569250801915E-3</v>
      </c>
      <c r="W184" s="2"/>
      <c r="X184" s="7">
        <f t="shared" si="74"/>
        <v>2743.41</v>
      </c>
      <c r="Y184" s="2"/>
      <c r="Z184" s="6">
        <f t="shared" si="75"/>
        <v>0.80334114202049778</v>
      </c>
    </row>
    <row r="185" spans="1:26" s="27" customFormat="1" outlineLevel="1" collapsed="1" x14ac:dyDescent="0.25">
      <c r="A185" s="28"/>
      <c r="B185" s="14" t="str">
        <f>CONCATENATE("     ","R/H Commissions                                   ")</f>
        <v xml:space="preserve">     R/H Commissions                                   </v>
      </c>
      <c r="C185" s="14"/>
      <c r="D185" s="1">
        <f>SUM(OSRRefD22_16x_0)</f>
        <v>0</v>
      </c>
      <c r="E185" s="1"/>
      <c r="F185" s="5">
        <f t="shared" si="68"/>
        <v>0</v>
      </c>
      <c r="G185" s="1"/>
      <c r="H185" s="1">
        <f>SUM(OSRRefH22_16x_0)</f>
        <v>0</v>
      </c>
      <c r="I185" s="1"/>
      <c r="J185" s="5">
        <f t="shared" si="69"/>
        <v>0</v>
      </c>
      <c r="K185" s="1"/>
      <c r="L185" s="1">
        <f t="shared" si="70"/>
        <v>0</v>
      </c>
      <c r="M185" s="1"/>
      <c r="N185" s="5">
        <f t="shared" si="71"/>
        <v>0</v>
      </c>
      <c r="O185" s="14"/>
      <c r="P185" s="1">
        <f>SUM(OSRRefP22_16x_0)</f>
        <v>0</v>
      </c>
      <c r="Q185" s="1"/>
      <c r="R185" s="5">
        <f t="shared" si="72"/>
        <v>0</v>
      </c>
      <c r="S185" s="1"/>
      <c r="T185" s="1">
        <f>SUM(OSRRefT22_16x_0)</f>
        <v>0</v>
      </c>
      <c r="U185" s="1"/>
      <c r="V185" s="5">
        <f t="shared" si="73"/>
        <v>0</v>
      </c>
      <c r="W185" s="1"/>
      <c r="X185" s="1">
        <f t="shared" si="74"/>
        <v>0</v>
      </c>
      <c r="Y185" s="1"/>
      <c r="Z185" s="5">
        <f t="shared" si="75"/>
        <v>0</v>
      </c>
    </row>
    <row r="186" spans="1:26" s="24" customFormat="1" hidden="1" outlineLevel="2" x14ac:dyDescent="0.25">
      <c r="A186" s="29"/>
      <c r="B186" s="11" t="str">
        <f>CONCATENATE("          ", "6387", " - ", "COMMISSION DUE HOUSING")</f>
        <v xml:space="preserve">          6387 - COMMISSION DUE HOUSING</v>
      </c>
      <c r="C186" s="11"/>
      <c r="D186" s="7"/>
      <c r="E186" s="2"/>
      <c r="F186" s="6">
        <f t="shared" si="68"/>
        <v>0</v>
      </c>
      <c r="G186" s="2"/>
      <c r="H186" s="7">
        <v>0</v>
      </c>
      <c r="I186" s="2"/>
      <c r="J186" s="6">
        <f t="shared" si="69"/>
        <v>0</v>
      </c>
      <c r="K186" s="2"/>
      <c r="L186" s="7">
        <f t="shared" si="70"/>
        <v>0</v>
      </c>
      <c r="M186" s="2"/>
      <c r="N186" s="6">
        <f t="shared" si="71"/>
        <v>0</v>
      </c>
      <c r="O186" s="11"/>
      <c r="P186" s="7"/>
      <c r="Q186" s="2"/>
      <c r="R186" s="6">
        <f t="shared" si="72"/>
        <v>0</v>
      </c>
      <c r="S186" s="2"/>
      <c r="T186" s="7">
        <v>0</v>
      </c>
      <c r="U186" s="2"/>
      <c r="V186" s="6">
        <f t="shared" si="73"/>
        <v>0</v>
      </c>
      <c r="W186" s="2"/>
      <c r="X186" s="7">
        <f t="shared" si="74"/>
        <v>0</v>
      </c>
      <c r="Y186" s="2"/>
      <c r="Z186" s="6">
        <f t="shared" si="75"/>
        <v>0</v>
      </c>
    </row>
    <row r="187" spans="1:26" s="27" customFormat="1" outlineLevel="1" collapsed="1" x14ac:dyDescent="0.25">
      <c r="A187" s="28"/>
      <c r="B187" s="14" t="str">
        <f>CONCATENATE("     ","Rent                                              ")</f>
        <v xml:space="preserve">     Rent                                              </v>
      </c>
      <c r="C187" s="14"/>
      <c r="D187" s="1">
        <f>SUM(OSRRefD22_17x_0)</f>
        <v>7250</v>
      </c>
      <c r="E187" s="1"/>
      <c r="F187" s="5">
        <f t="shared" si="68"/>
        <v>1.7650066709948689E-2</v>
      </c>
      <c r="G187" s="1"/>
      <c r="H187" s="1">
        <f>SUM(OSRRefH22_17x_0)</f>
        <v>7550</v>
      </c>
      <c r="I187" s="1"/>
      <c r="J187" s="5">
        <f t="shared" si="69"/>
        <v>1.6909915017380803E-2</v>
      </c>
      <c r="K187" s="1"/>
      <c r="L187" s="1">
        <f t="shared" si="70"/>
        <v>-300</v>
      </c>
      <c r="M187" s="1"/>
      <c r="N187" s="5">
        <f t="shared" si="71"/>
        <v>-3.9735099337748346E-2</v>
      </c>
      <c r="O187" s="14"/>
      <c r="P187" s="1">
        <f>SUM(OSRRefP22_17x_0)</f>
        <v>7250</v>
      </c>
      <c r="Q187" s="1"/>
      <c r="R187" s="5">
        <f t="shared" si="72"/>
        <v>1.7650066709948689E-2</v>
      </c>
      <c r="S187" s="1"/>
      <c r="T187" s="1">
        <f>SUM(OSRRefT22_17x_0)</f>
        <v>7550</v>
      </c>
      <c r="U187" s="1"/>
      <c r="V187" s="5">
        <f t="shared" si="73"/>
        <v>1.6909915017380803E-2</v>
      </c>
      <c r="W187" s="1"/>
      <c r="X187" s="1">
        <f t="shared" si="74"/>
        <v>-300</v>
      </c>
      <c r="Y187" s="1"/>
      <c r="Z187" s="5">
        <f t="shared" si="75"/>
        <v>-3.9735099337748346E-2</v>
      </c>
    </row>
    <row r="188" spans="1:26" s="24" customFormat="1" hidden="1" outlineLevel="2" x14ac:dyDescent="0.25">
      <c r="A188" s="29"/>
      <c r="B188" s="11" t="str">
        <f>CONCATENATE("          ", "6273", " - ", "RENT")</f>
        <v xml:space="preserve">          6273 - RENT</v>
      </c>
      <c r="C188" s="11"/>
      <c r="D188" s="7">
        <v>7250</v>
      </c>
      <c r="E188" s="2"/>
      <c r="F188" s="6">
        <f t="shared" si="68"/>
        <v>1.7650066709948689E-2</v>
      </c>
      <c r="G188" s="2"/>
      <c r="H188" s="7">
        <v>7550</v>
      </c>
      <c r="I188" s="2"/>
      <c r="J188" s="6">
        <f t="shared" si="69"/>
        <v>1.6909915017380803E-2</v>
      </c>
      <c r="K188" s="2"/>
      <c r="L188" s="7">
        <f t="shared" si="70"/>
        <v>-300</v>
      </c>
      <c r="M188" s="2"/>
      <c r="N188" s="6">
        <f t="shared" si="71"/>
        <v>-3.9735099337748346E-2</v>
      </c>
      <c r="O188" s="11"/>
      <c r="P188" s="7">
        <v>7250</v>
      </c>
      <c r="Q188" s="2"/>
      <c r="R188" s="6">
        <f t="shared" si="72"/>
        <v>1.7650066709948689E-2</v>
      </c>
      <c r="S188" s="2"/>
      <c r="T188" s="7">
        <v>7550</v>
      </c>
      <c r="U188" s="2"/>
      <c r="V188" s="6">
        <f t="shared" si="73"/>
        <v>1.6909915017380803E-2</v>
      </c>
      <c r="W188" s="2"/>
      <c r="X188" s="7">
        <f t="shared" si="74"/>
        <v>-300</v>
      </c>
      <c r="Y188" s="2"/>
      <c r="Z188" s="6">
        <f t="shared" si="75"/>
        <v>-3.9735099337748346E-2</v>
      </c>
    </row>
    <row r="189" spans="1:26" s="27" customFormat="1" outlineLevel="1" collapsed="1" x14ac:dyDescent="0.25">
      <c r="A189" s="28"/>
      <c r="B189" s="14" t="str">
        <f>CONCATENATE("     ","Repair and Maintenance                            ")</f>
        <v xml:space="preserve">     Repair and Maintenance                            </v>
      </c>
      <c r="C189" s="14"/>
      <c r="D189" s="1">
        <f>SUM(OSRRefD22_18x_0)</f>
        <v>24508.100000000002</v>
      </c>
      <c r="E189" s="1"/>
      <c r="F189" s="5">
        <f t="shared" si="68"/>
        <v>5.9664772404702547E-2</v>
      </c>
      <c r="G189" s="1"/>
      <c r="H189" s="1">
        <f>SUM(OSRRefH22_18x_0)</f>
        <v>59980</v>
      </c>
      <c r="I189" s="1"/>
      <c r="J189" s="5">
        <f t="shared" si="69"/>
        <v>0.13433863612483452</v>
      </c>
      <c r="K189" s="1"/>
      <c r="L189" s="1">
        <f t="shared" si="70"/>
        <v>-35471.899999999994</v>
      </c>
      <c r="M189" s="1"/>
      <c r="N189" s="5">
        <f t="shared" si="71"/>
        <v>-0.59139546515505159</v>
      </c>
      <c r="O189" s="14"/>
      <c r="P189" s="1">
        <f>SUM(OSRRefP22_18x_0)</f>
        <v>24508.100000000002</v>
      </c>
      <c r="Q189" s="1"/>
      <c r="R189" s="5">
        <f t="shared" si="72"/>
        <v>5.9664772404702547E-2</v>
      </c>
      <c r="S189" s="1"/>
      <c r="T189" s="1">
        <f>SUM(OSRRefT22_18x_0)</f>
        <v>59980</v>
      </c>
      <c r="U189" s="1"/>
      <c r="V189" s="5">
        <f t="shared" si="73"/>
        <v>0.13433863612483452</v>
      </c>
      <c r="W189" s="1"/>
      <c r="X189" s="1">
        <f t="shared" si="74"/>
        <v>-35471.899999999994</v>
      </c>
      <c r="Y189" s="1"/>
      <c r="Z189" s="5">
        <f t="shared" si="75"/>
        <v>-0.59139546515505159</v>
      </c>
    </row>
    <row r="190" spans="1:26" s="24" customFormat="1" hidden="1" outlineLevel="2" x14ac:dyDescent="0.25">
      <c r="A190" s="29"/>
      <c r="B190" s="11" t="str">
        <f>CONCATENATE("          ", "6371", " - ", "COMPUTER SOFTWARE MAINTENANCE")</f>
        <v xml:space="preserve">          6371 - COMPUTER SOFTWARE MAINTENANCE</v>
      </c>
      <c r="C190" s="11"/>
      <c r="D190" s="7">
        <v>601</v>
      </c>
      <c r="E190" s="2"/>
      <c r="F190" s="6">
        <f t="shared" si="68"/>
        <v>1.4631296679557463E-3</v>
      </c>
      <c r="G190" s="2"/>
      <c r="H190" s="7">
        <v>48535</v>
      </c>
      <c r="I190" s="2"/>
      <c r="J190" s="6">
        <f t="shared" si="69"/>
        <v>0.10870499673755991</v>
      </c>
      <c r="K190" s="2"/>
      <c r="L190" s="7">
        <f t="shared" si="70"/>
        <v>-47934</v>
      </c>
      <c r="M190" s="2"/>
      <c r="N190" s="6">
        <f t="shared" si="71"/>
        <v>-0.98761718347584215</v>
      </c>
      <c r="O190" s="11"/>
      <c r="P190" s="7">
        <v>601</v>
      </c>
      <c r="Q190" s="2"/>
      <c r="R190" s="6">
        <f t="shared" si="72"/>
        <v>1.4631296679557463E-3</v>
      </c>
      <c r="S190" s="2"/>
      <c r="T190" s="7">
        <v>48535</v>
      </c>
      <c r="U190" s="2"/>
      <c r="V190" s="6">
        <f t="shared" si="73"/>
        <v>0.10870499673755991</v>
      </c>
      <c r="W190" s="2"/>
      <c r="X190" s="7">
        <f t="shared" si="74"/>
        <v>-47934</v>
      </c>
      <c r="Y190" s="2"/>
      <c r="Z190" s="6">
        <f t="shared" si="75"/>
        <v>-0.98761718347584215</v>
      </c>
    </row>
    <row r="191" spans="1:26" s="24" customFormat="1" hidden="1" outlineLevel="2" x14ac:dyDescent="0.25">
      <c r="A191" s="29"/>
      <c r="B191" s="11" t="str">
        <f>CONCATENATE("          ", "6373", " - ", "MAINTENANCE CONTRACTS")</f>
        <v xml:space="preserve">          6373 - MAINTENANCE CONTRACTS</v>
      </c>
      <c r="C191" s="11"/>
      <c r="D191" s="7">
        <v>6478.86</v>
      </c>
      <c r="E191" s="2"/>
      <c r="F191" s="6">
        <f t="shared" si="68"/>
        <v>1.5772732579919745E-2</v>
      </c>
      <c r="G191" s="2"/>
      <c r="H191" s="7">
        <v>7040</v>
      </c>
      <c r="I191" s="2"/>
      <c r="J191" s="6">
        <f t="shared" si="69"/>
        <v>1.576765585726634E-2</v>
      </c>
      <c r="K191" s="2"/>
      <c r="L191" s="7">
        <f t="shared" si="70"/>
        <v>-561.14000000000033</v>
      </c>
      <c r="M191" s="2"/>
      <c r="N191" s="6">
        <f t="shared" si="71"/>
        <v>-7.9707386363636404E-2</v>
      </c>
      <c r="O191" s="11"/>
      <c r="P191" s="7">
        <v>6478.86</v>
      </c>
      <c r="Q191" s="2"/>
      <c r="R191" s="6">
        <f t="shared" si="72"/>
        <v>1.5772732579919745E-2</v>
      </c>
      <c r="S191" s="2"/>
      <c r="T191" s="7">
        <v>7040</v>
      </c>
      <c r="U191" s="2"/>
      <c r="V191" s="6">
        <f t="shared" si="73"/>
        <v>1.576765585726634E-2</v>
      </c>
      <c r="W191" s="2"/>
      <c r="X191" s="7">
        <f t="shared" si="74"/>
        <v>-561.14000000000033</v>
      </c>
      <c r="Y191" s="2"/>
      <c r="Z191" s="6">
        <f t="shared" si="75"/>
        <v>-7.9707386363636404E-2</v>
      </c>
    </row>
    <row r="192" spans="1:26" s="24" customFormat="1" hidden="1" outlineLevel="2" x14ac:dyDescent="0.25">
      <c r="A192" s="29"/>
      <c r="B192" s="11" t="str">
        <f>CONCATENATE("          ", "6375", " - ", "OUTSIDE REPAIRS &amp; MAINTENANCE")</f>
        <v xml:space="preserve">          6375 - OUTSIDE REPAIRS &amp; MAINTENANCE</v>
      </c>
      <c r="C192" s="11"/>
      <c r="D192" s="7">
        <v>17428.240000000002</v>
      </c>
      <c r="E192" s="2"/>
      <c r="F192" s="6">
        <f t="shared" si="68"/>
        <v>4.2428910156827052E-2</v>
      </c>
      <c r="G192" s="2"/>
      <c r="H192" s="7">
        <v>4405</v>
      </c>
      <c r="I192" s="2"/>
      <c r="J192" s="6">
        <f t="shared" si="69"/>
        <v>9.86598353000827E-3</v>
      </c>
      <c r="K192" s="2"/>
      <c r="L192" s="7">
        <f t="shared" si="70"/>
        <v>13023.240000000002</v>
      </c>
      <c r="M192" s="2"/>
      <c r="N192" s="6">
        <f t="shared" si="71"/>
        <v>2.956467650397276</v>
      </c>
      <c r="O192" s="11"/>
      <c r="P192" s="7">
        <v>17428.240000000002</v>
      </c>
      <c r="Q192" s="2"/>
      <c r="R192" s="6">
        <f t="shared" si="72"/>
        <v>4.2428910156827052E-2</v>
      </c>
      <c r="S192" s="2"/>
      <c r="T192" s="7">
        <v>4405</v>
      </c>
      <c r="U192" s="2"/>
      <c r="V192" s="6">
        <f t="shared" si="73"/>
        <v>9.86598353000827E-3</v>
      </c>
      <c r="W192" s="2"/>
      <c r="X192" s="7">
        <f t="shared" si="74"/>
        <v>13023.240000000002</v>
      </c>
      <c r="Y192" s="2"/>
      <c r="Z192" s="6">
        <f t="shared" si="75"/>
        <v>2.956467650397276</v>
      </c>
    </row>
    <row r="193" spans="1:26" s="27" customFormat="1" outlineLevel="1" collapsed="1" x14ac:dyDescent="0.25">
      <c r="A193" s="28"/>
      <c r="B193" s="14" t="str">
        <f>CONCATENATE("     ","Royalty &amp; Commissions                             ")</f>
        <v xml:space="preserve">     Royalty &amp; Commissions                             </v>
      </c>
      <c r="C193" s="14"/>
      <c r="D193" s="1">
        <f>SUM(OSRRefD22_19x_0)</f>
        <v>5086.05</v>
      </c>
      <c r="E193" s="1"/>
      <c r="F193" s="5">
        <f t="shared" ref="F193:F197" si="76">IF(D$12=0,0,D193/D$12)</f>
        <v>1.2381947833122003E-2</v>
      </c>
      <c r="G193" s="1"/>
      <c r="H193" s="1">
        <f>SUM(OSRRefH22_19x_0)</f>
        <v>17018</v>
      </c>
      <c r="I193" s="1"/>
      <c r="J193" s="5">
        <f t="shared" ref="J193:J197" si="77">IF(H$12=0,0,H193/H$12)</f>
        <v>3.8115620366329338E-2</v>
      </c>
      <c r="K193" s="1"/>
      <c r="L193" s="1">
        <f t="shared" ref="L193:L197" si="78">+D193-H193</f>
        <v>-11931.95</v>
      </c>
      <c r="M193" s="1"/>
      <c r="N193" s="5">
        <f t="shared" ref="N193:N197" si="79">IF(H193=0,0,L193/H193)</f>
        <v>-0.70113703137854044</v>
      </c>
      <c r="O193" s="14"/>
      <c r="P193" s="1">
        <f>SUM(OSRRefP22_19x_0)</f>
        <v>5086.05</v>
      </c>
      <c r="Q193" s="1"/>
      <c r="R193" s="5">
        <f t="shared" ref="R193:R197" si="80">IF(P$12=0,0,P193/P$12)</f>
        <v>1.2381947833122003E-2</v>
      </c>
      <c r="S193" s="1"/>
      <c r="T193" s="1">
        <f>SUM(OSRRefT22_19x_0)</f>
        <v>17018</v>
      </c>
      <c r="U193" s="1"/>
      <c r="V193" s="5">
        <f t="shared" ref="V193:V197" si="81">IF(T$12=0,0,T193/T$12)</f>
        <v>3.8115620366329338E-2</v>
      </c>
      <c r="W193" s="1"/>
      <c r="X193" s="1">
        <f t="shared" ref="X193:X197" si="82">+P193-T193</f>
        <v>-11931.95</v>
      </c>
      <c r="Y193" s="1"/>
      <c r="Z193" s="5">
        <f t="shared" ref="Z193:Z197" si="83">IF(T193=0,0,X193/T193)</f>
        <v>-0.70113703137854044</v>
      </c>
    </row>
    <row r="194" spans="1:26" s="24" customFormat="1" hidden="1" outlineLevel="2" x14ac:dyDescent="0.25">
      <c r="A194" s="29"/>
      <c r="B194" s="11" t="str">
        <f>CONCATENATE("          ", "6252", " - ", "ROYALTY DUE CSTV")</f>
        <v xml:space="preserve">          6252 - ROYALTY DUE CSTV</v>
      </c>
      <c r="C194" s="11"/>
      <c r="D194" s="7"/>
      <c r="E194" s="2"/>
      <c r="F194" s="6">
        <f t="shared" si="76"/>
        <v>0</v>
      </c>
      <c r="G194" s="2"/>
      <c r="H194" s="7">
        <v>1085</v>
      </c>
      <c r="I194" s="2"/>
      <c r="J194" s="6">
        <f t="shared" si="77"/>
        <v>2.4301003700474399E-3</v>
      </c>
      <c r="K194" s="2"/>
      <c r="L194" s="7">
        <f t="shared" si="78"/>
        <v>-1085</v>
      </c>
      <c r="M194" s="2"/>
      <c r="N194" s="6">
        <f t="shared" si="79"/>
        <v>-1</v>
      </c>
      <c r="O194" s="11"/>
      <c r="P194" s="7"/>
      <c r="Q194" s="2"/>
      <c r="R194" s="6">
        <f t="shared" si="80"/>
        <v>0</v>
      </c>
      <c r="S194" s="2"/>
      <c r="T194" s="7">
        <v>1085</v>
      </c>
      <c r="U194" s="2"/>
      <c r="V194" s="6">
        <f t="shared" si="81"/>
        <v>2.4301003700474399E-3</v>
      </c>
      <c r="W194" s="2"/>
      <c r="X194" s="7">
        <f t="shared" si="82"/>
        <v>-1085</v>
      </c>
      <c r="Y194" s="2"/>
      <c r="Z194" s="6">
        <f t="shared" si="83"/>
        <v>-1</v>
      </c>
    </row>
    <row r="195" spans="1:26" s="24" customFormat="1" hidden="1" outlineLevel="2" x14ac:dyDescent="0.25">
      <c r="A195" s="29"/>
      <c r="B195" s="11" t="str">
        <f>CONCATENATE("          ", "6253", " - ", "ROYALTY DUE ATHLETICS-LRG")</f>
        <v xml:space="preserve">          6253 - ROYALTY DUE ATHLETICS-LRG</v>
      </c>
      <c r="C195" s="11"/>
      <c r="D195" s="7">
        <v>4366.95</v>
      </c>
      <c r="E195" s="2"/>
      <c r="F195" s="6">
        <f t="shared" si="76"/>
        <v>1.0631304664691092E-2</v>
      </c>
      <c r="G195" s="2"/>
      <c r="H195" s="7">
        <v>3700</v>
      </c>
      <c r="I195" s="2"/>
      <c r="J195" s="6">
        <f t="shared" si="77"/>
        <v>8.2869782204382739E-3</v>
      </c>
      <c r="K195" s="2"/>
      <c r="L195" s="7">
        <f t="shared" si="78"/>
        <v>666.94999999999982</v>
      </c>
      <c r="M195" s="2"/>
      <c r="N195" s="6">
        <f t="shared" si="79"/>
        <v>0.1802567567567567</v>
      </c>
      <c r="O195" s="11"/>
      <c r="P195" s="7">
        <v>4366.95</v>
      </c>
      <c r="Q195" s="2"/>
      <c r="R195" s="6">
        <f t="shared" si="80"/>
        <v>1.0631304664691092E-2</v>
      </c>
      <c r="S195" s="2"/>
      <c r="T195" s="7">
        <v>3700</v>
      </c>
      <c r="U195" s="2"/>
      <c r="V195" s="6">
        <f t="shared" si="81"/>
        <v>8.2869782204382739E-3</v>
      </c>
      <c r="W195" s="2"/>
      <c r="X195" s="7">
        <f t="shared" si="82"/>
        <v>666.94999999999982</v>
      </c>
      <c r="Y195" s="2"/>
      <c r="Z195" s="6">
        <f t="shared" si="83"/>
        <v>0.1802567567567567</v>
      </c>
    </row>
    <row r="196" spans="1:26" s="24" customFormat="1" hidden="1" outlineLevel="2" x14ac:dyDescent="0.25">
      <c r="A196" s="29"/>
      <c r="B196" s="11" t="str">
        <f>CONCATENATE("          ", "6254", " - ", "ROYALTY &amp; COMMISSIONS")</f>
        <v xml:space="preserve">          6254 - ROYALTY &amp; COMMISSIONS</v>
      </c>
      <c r="C196" s="11"/>
      <c r="D196" s="7">
        <v>114.09</v>
      </c>
      <c r="E196" s="2"/>
      <c r="F196" s="6">
        <f t="shared" si="76"/>
        <v>2.7775118771559255E-4</v>
      </c>
      <c r="G196" s="2"/>
      <c r="H196" s="7">
        <v>11700</v>
      </c>
      <c r="I196" s="2"/>
      <c r="J196" s="6">
        <f t="shared" si="77"/>
        <v>2.6204768967331843E-2</v>
      </c>
      <c r="K196" s="2"/>
      <c r="L196" s="7">
        <f t="shared" si="78"/>
        <v>-11585.91</v>
      </c>
      <c r="M196" s="2"/>
      <c r="N196" s="6">
        <f t="shared" si="79"/>
        <v>-0.99024871794871794</v>
      </c>
      <c r="O196" s="11"/>
      <c r="P196" s="7">
        <v>114.09</v>
      </c>
      <c r="Q196" s="2"/>
      <c r="R196" s="6">
        <f t="shared" si="80"/>
        <v>2.7775118771559255E-4</v>
      </c>
      <c r="S196" s="2"/>
      <c r="T196" s="7">
        <v>11700</v>
      </c>
      <c r="U196" s="2"/>
      <c r="V196" s="6">
        <f t="shared" si="81"/>
        <v>2.6204768967331843E-2</v>
      </c>
      <c r="W196" s="2"/>
      <c r="X196" s="7">
        <f t="shared" si="82"/>
        <v>-11585.91</v>
      </c>
      <c r="Y196" s="2"/>
      <c r="Z196" s="6">
        <f t="shared" si="83"/>
        <v>-0.99024871794871794</v>
      </c>
    </row>
    <row r="197" spans="1:26" s="24" customFormat="1" hidden="1" outlineLevel="2" x14ac:dyDescent="0.25">
      <c r="A197" s="29"/>
      <c r="B197" s="11" t="str">
        <f>CONCATENATE("          ", "6259", " - ", "ROYALTY &amp; COMMISSIONS")</f>
        <v xml:space="preserve">          6259 - ROYALTY &amp; COMMISSIONS</v>
      </c>
      <c r="C197" s="11"/>
      <c r="D197" s="7">
        <v>605.01</v>
      </c>
      <c r="E197" s="2"/>
      <c r="F197" s="6">
        <f t="shared" si="76"/>
        <v>1.472891980715318E-3</v>
      </c>
      <c r="G197" s="2"/>
      <c r="H197" s="7">
        <v>533</v>
      </c>
      <c r="I197" s="2"/>
      <c r="J197" s="6">
        <f t="shared" si="77"/>
        <v>1.1937728085117838E-3</v>
      </c>
      <c r="K197" s="2"/>
      <c r="L197" s="7">
        <f t="shared" si="78"/>
        <v>72.009999999999991</v>
      </c>
      <c r="M197" s="2"/>
      <c r="N197" s="6">
        <f t="shared" si="79"/>
        <v>0.13510318949343339</v>
      </c>
      <c r="O197" s="11"/>
      <c r="P197" s="7">
        <v>605.01</v>
      </c>
      <c r="Q197" s="2"/>
      <c r="R197" s="6">
        <f t="shared" si="80"/>
        <v>1.472891980715318E-3</v>
      </c>
      <c r="S197" s="2"/>
      <c r="T197" s="7">
        <v>533</v>
      </c>
      <c r="U197" s="2"/>
      <c r="V197" s="6">
        <f t="shared" si="81"/>
        <v>1.1937728085117838E-3</v>
      </c>
      <c r="W197" s="2"/>
      <c r="X197" s="7">
        <f t="shared" si="82"/>
        <v>72.009999999999991</v>
      </c>
      <c r="Y197" s="2"/>
      <c r="Z197" s="6">
        <f t="shared" si="83"/>
        <v>0.13510318949343339</v>
      </c>
    </row>
    <row r="198" spans="1:26" s="27" customFormat="1" outlineLevel="1" collapsed="1" x14ac:dyDescent="0.25">
      <c r="A198" s="28"/>
      <c r="B198" s="14" t="str">
        <f>CONCATENATE("     ","Services                                          ")</f>
        <v xml:space="preserve">     Services                                          </v>
      </c>
      <c r="C198" s="14"/>
      <c r="D198" s="1">
        <f>SUM(OSRRefD22_20x_0)</f>
        <v>6081.52</v>
      </c>
      <c r="E198" s="1"/>
      <c r="F198" s="5">
        <f t="shared" ref="F198:F204" si="84">IF(D$12=0,0,D198/D$12)</f>
        <v>1.4805411544536158E-2</v>
      </c>
      <c r="G198" s="1"/>
      <c r="H198" s="1">
        <f>SUM(OSRRefH22_20x_0)</f>
        <v>4868.5</v>
      </c>
      <c r="I198" s="1"/>
      <c r="J198" s="5">
        <f t="shared" ref="J198:J204" si="85">IF(H$12=0,0,H198/H$12)</f>
        <v>1.0904095531406416E-2</v>
      </c>
      <c r="K198" s="1"/>
      <c r="L198" s="1">
        <f t="shared" ref="L198:L204" si="86">+D198-H198</f>
        <v>1213.0200000000004</v>
      </c>
      <c r="M198" s="1"/>
      <c r="N198" s="5">
        <f t="shared" ref="N198:N204" si="87">IF(H198=0,0,L198/H198)</f>
        <v>0.24915682448392737</v>
      </c>
      <c r="O198" s="14"/>
      <c r="P198" s="1">
        <f>SUM(OSRRefP22_20x_0)</f>
        <v>6081.52</v>
      </c>
      <c r="Q198" s="1"/>
      <c r="R198" s="5">
        <f t="shared" ref="R198:R204" si="88">IF(P$12=0,0,P198/P$12)</f>
        <v>1.4805411544536158E-2</v>
      </c>
      <c r="S198" s="1"/>
      <c r="T198" s="1">
        <f>SUM(OSRRefT22_20x_0)</f>
        <v>4868.5</v>
      </c>
      <c r="U198" s="1"/>
      <c r="V198" s="5">
        <f t="shared" ref="V198:V204" si="89">IF(T$12=0,0,T198/T$12)</f>
        <v>1.0904095531406416E-2</v>
      </c>
      <c r="W198" s="1"/>
      <c r="X198" s="1">
        <f t="shared" ref="X198:X204" si="90">+P198-T198</f>
        <v>1213.0200000000004</v>
      </c>
      <c r="Y198" s="1"/>
      <c r="Z198" s="5">
        <f t="shared" ref="Z198:Z204" si="91">IF(T198=0,0,X198/T198)</f>
        <v>0.24915682448392737</v>
      </c>
    </row>
    <row r="199" spans="1:26" s="24" customFormat="1" hidden="1" outlineLevel="2" x14ac:dyDescent="0.25">
      <c r="A199" s="29"/>
      <c r="B199" s="11" t="str">
        <f>CONCATENATE("          ", "6281", " - ", "STORAGE FEE")</f>
        <v xml:space="preserve">          6281 - STORAGE FEE</v>
      </c>
      <c r="C199" s="11"/>
      <c r="D199" s="7"/>
      <c r="E199" s="2"/>
      <c r="F199" s="6">
        <f t="shared" si="84"/>
        <v>0</v>
      </c>
      <c r="G199" s="2"/>
      <c r="H199" s="7">
        <v>0</v>
      </c>
      <c r="I199" s="2"/>
      <c r="J199" s="6">
        <f t="shared" si="85"/>
        <v>0</v>
      </c>
      <c r="K199" s="2"/>
      <c r="L199" s="7">
        <f t="shared" si="86"/>
        <v>0</v>
      </c>
      <c r="M199" s="2"/>
      <c r="N199" s="6">
        <f t="shared" si="87"/>
        <v>0</v>
      </c>
      <c r="O199" s="11"/>
      <c r="P199" s="7"/>
      <c r="Q199" s="2"/>
      <c r="R199" s="6">
        <f t="shared" si="88"/>
        <v>0</v>
      </c>
      <c r="S199" s="2"/>
      <c r="T199" s="7">
        <v>0</v>
      </c>
      <c r="U199" s="2"/>
      <c r="V199" s="6">
        <f t="shared" si="89"/>
        <v>0</v>
      </c>
      <c r="W199" s="2"/>
      <c r="X199" s="7">
        <f t="shared" si="90"/>
        <v>0</v>
      </c>
      <c r="Y199" s="2"/>
      <c r="Z199" s="6">
        <f t="shared" si="91"/>
        <v>0</v>
      </c>
    </row>
    <row r="200" spans="1:26" s="24" customFormat="1" hidden="1" outlineLevel="2" x14ac:dyDescent="0.25">
      <c r="A200" s="29"/>
      <c r="B200" s="11" t="str">
        <f>CONCATENATE("          ", "6282", " - ", "JANITORIAL/EXTERMINATOR EXPENS")</f>
        <v xml:space="preserve">          6282 - JANITORIAL/EXTERMINATOR EXPENS</v>
      </c>
      <c r="C200" s="11"/>
      <c r="D200" s="7">
        <v>868.59</v>
      </c>
      <c r="E200" s="2"/>
      <c r="F200" s="6">
        <f t="shared" si="84"/>
        <v>2.1145753715302524E-3</v>
      </c>
      <c r="G200" s="2"/>
      <c r="H200" s="7">
        <v>255</v>
      </c>
      <c r="I200" s="2"/>
      <c r="J200" s="6">
        <f t="shared" si="85"/>
        <v>5.7112958005723247E-4</v>
      </c>
      <c r="K200" s="2"/>
      <c r="L200" s="7">
        <f t="shared" si="86"/>
        <v>613.59</v>
      </c>
      <c r="M200" s="2"/>
      <c r="N200" s="6">
        <f t="shared" si="87"/>
        <v>2.4062352941176472</v>
      </c>
      <c r="O200" s="11"/>
      <c r="P200" s="7">
        <v>868.59</v>
      </c>
      <c r="Q200" s="2"/>
      <c r="R200" s="6">
        <f t="shared" si="88"/>
        <v>2.1145753715302524E-3</v>
      </c>
      <c r="S200" s="2"/>
      <c r="T200" s="7">
        <v>255</v>
      </c>
      <c r="U200" s="2"/>
      <c r="V200" s="6">
        <f t="shared" si="89"/>
        <v>5.7112958005723247E-4</v>
      </c>
      <c r="W200" s="2"/>
      <c r="X200" s="7">
        <f t="shared" si="90"/>
        <v>613.59</v>
      </c>
      <c r="Y200" s="2"/>
      <c r="Z200" s="6">
        <f t="shared" si="91"/>
        <v>2.4062352941176472</v>
      </c>
    </row>
    <row r="201" spans="1:26" s="24" customFormat="1" hidden="1" outlineLevel="2" x14ac:dyDescent="0.25">
      <c r="A201" s="29"/>
      <c r="B201" s="11" t="str">
        <f>CONCATENATE("          ", "6283", " - ", "PLANT SERVICE")</f>
        <v xml:space="preserve">          6283 - PLANT SERVICE</v>
      </c>
      <c r="C201" s="11"/>
      <c r="D201" s="7">
        <v>180.66</v>
      </c>
      <c r="E201" s="2"/>
      <c r="F201" s="6">
        <f t="shared" si="84"/>
        <v>4.3981531749232136E-4</v>
      </c>
      <c r="G201" s="2"/>
      <c r="H201" s="7">
        <v>60</v>
      </c>
      <c r="I201" s="2"/>
      <c r="J201" s="6">
        <f t="shared" si="85"/>
        <v>1.3438343060170175E-4</v>
      </c>
      <c r="K201" s="2"/>
      <c r="L201" s="7">
        <f t="shared" si="86"/>
        <v>120.66</v>
      </c>
      <c r="M201" s="2"/>
      <c r="N201" s="6">
        <f t="shared" si="87"/>
        <v>2.0110000000000001</v>
      </c>
      <c r="O201" s="11"/>
      <c r="P201" s="7">
        <v>180.66</v>
      </c>
      <c r="Q201" s="2"/>
      <c r="R201" s="6">
        <f t="shared" si="88"/>
        <v>4.3981531749232136E-4</v>
      </c>
      <c r="S201" s="2"/>
      <c r="T201" s="7">
        <v>60</v>
      </c>
      <c r="U201" s="2"/>
      <c r="V201" s="6">
        <f t="shared" si="89"/>
        <v>1.3438343060170175E-4</v>
      </c>
      <c r="W201" s="2"/>
      <c r="X201" s="7">
        <f t="shared" si="90"/>
        <v>120.66</v>
      </c>
      <c r="Y201" s="2"/>
      <c r="Z201" s="6">
        <f t="shared" si="91"/>
        <v>2.0110000000000001</v>
      </c>
    </row>
    <row r="202" spans="1:26" s="24" customFormat="1" hidden="1" outlineLevel="2" x14ac:dyDescent="0.25">
      <c r="A202" s="29"/>
      <c r="B202" s="11" t="str">
        <f>CONCATENATE("          ", "6284", " - ", "TRASH REMOVAL EXPENSE")</f>
        <v xml:space="preserve">          6284 - TRASH REMOVAL EXPENSE</v>
      </c>
      <c r="C202" s="11"/>
      <c r="D202" s="7">
        <v>371.82</v>
      </c>
      <c r="E202" s="2"/>
      <c r="F202" s="6">
        <f t="shared" si="84"/>
        <v>9.0519280056456839E-4</v>
      </c>
      <c r="G202" s="2"/>
      <c r="H202" s="7">
        <v>212.5</v>
      </c>
      <c r="I202" s="2"/>
      <c r="J202" s="6">
        <f t="shared" si="85"/>
        <v>4.7594131671436037E-4</v>
      </c>
      <c r="K202" s="2"/>
      <c r="L202" s="7">
        <f t="shared" si="86"/>
        <v>159.32</v>
      </c>
      <c r="M202" s="2"/>
      <c r="N202" s="6">
        <f t="shared" si="87"/>
        <v>0.74974117647058824</v>
      </c>
      <c r="O202" s="11"/>
      <c r="P202" s="7">
        <v>371.82</v>
      </c>
      <c r="Q202" s="2"/>
      <c r="R202" s="6">
        <f t="shared" si="88"/>
        <v>9.0519280056456839E-4</v>
      </c>
      <c r="S202" s="2"/>
      <c r="T202" s="7">
        <v>212.5</v>
      </c>
      <c r="U202" s="2"/>
      <c r="V202" s="6">
        <f t="shared" si="89"/>
        <v>4.7594131671436037E-4</v>
      </c>
      <c r="W202" s="2"/>
      <c r="X202" s="7">
        <f t="shared" si="90"/>
        <v>159.32</v>
      </c>
      <c r="Y202" s="2"/>
      <c r="Z202" s="6">
        <f t="shared" si="91"/>
        <v>0.74974117647058824</v>
      </c>
    </row>
    <row r="203" spans="1:26" s="24" customFormat="1" hidden="1" outlineLevel="2" x14ac:dyDescent="0.25">
      <c r="A203" s="29"/>
      <c r="B203" s="11" t="str">
        <f>CONCATENATE("          ", "6285", " - ", "JANITORIAL SERVICES")</f>
        <v xml:space="preserve">          6285 - JANITORIAL SERVICES</v>
      </c>
      <c r="C203" s="11"/>
      <c r="D203" s="7">
        <v>4069.72</v>
      </c>
      <c r="E203" s="2"/>
      <c r="F203" s="6">
        <f t="shared" si="84"/>
        <v>9.9077006194223955E-3</v>
      </c>
      <c r="G203" s="2"/>
      <c r="H203" s="7">
        <v>4296</v>
      </c>
      <c r="I203" s="2"/>
      <c r="J203" s="6">
        <f t="shared" si="85"/>
        <v>9.6218536310818462E-3</v>
      </c>
      <c r="K203" s="2"/>
      <c r="L203" s="7">
        <f t="shared" si="86"/>
        <v>-226.2800000000002</v>
      </c>
      <c r="M203" s="2"/>
      <c r="N203" s="6">
        <f t="shared" si="87"/>
        <v>-5.2672253258845482E-2</v>
      </c>
      <c r="O203" s="11"/>
      <c r="P203" s="7">
        <v>4069.72</v>
      </c>
      <c r="Q203" s="2"/>
      <c r="R203" s="6">
        <f t="shared" si="88"/>
        <v>9.9077006194223955E-3</v>
      </c>
      <c r="S203" s="2"/>
      <c r="T203" s="7">
        <v>4296</v>
      </c>
      <c r="U203" s="2"/>
      <c r="V203" s="6">
        <f t="shared" si="89"/>
        <v>9.6218536310818462E-3</v>
      </c>
      <c r="W203" s="2"/>
      <c r="X203" s="7">
        <f t="shared" si="90"/>
        <v>-226.2800000000002</v>
      </c>
      <c r="Y203" s="2"/>
      <c r="Z203" s="6">
        <f t="shared" si="91"/>
        <v>-5.2672253258845482E-2</v>
      </c>
    </row>
    <row r="204" spans="1:26" s="24" customFormat="1" hidden="1" outlineLevel="2" x14ac:dyDescent="0.25">
      <c r="A204" s="29"/>
      <c r="B204" s="11" t="str">
        <f>CONCATENATE("          ", "6286", " - ", "LAUNDRY EXPENSE")</f>
        <v xml:space="preserve">          6286 - LAUNDRY EXPENSE</v>
      </c>
      <c r="C204" s="11"/>
      <c r="D204" s="7">
        <v>590.73</v>
      </c>
      <c r="E204" s="2"/>
      <c r="F204" s="6">
        <f t="shared" si="84"/>
        <v>1.4381274355266191E-3</v>
      </c>
      <c r="G204" s="2"/>
      <c r="H204" s="7">
        <v>45</v>
      </c>
      <c r="I204" s="2"/>
      <c r="J204" s="6">
        <f t="shared" si="85"/>
        <v>1.0078757295127632E-4</v>
      </c>
      <c r="K204" s="2"/>
      <c r="L204" s="7">
        <f t="shared" si="86"/>
        <v>545.73</v>
      </c>
      <c r="M204" s="2"/>
      <c r="N204" s="6">
        <f t="shared" si="87"/>
        <v>12.127333333333334</v>
      </c>
      <c r="O204" s="11"/>
      <c r="P204" s="7">
        <v>590.73</v>
      </c>
      <c r="Q204" s="2"/>
      <c r="R204" s="6">
        <f t="shared" si="88"/>
        <v>1.4381274355266191E-3</v>
      </c>
      <c r="S204" s="2"/>
      <c r="T204" s="7">
        <v>45</v>
      </c>
      <c r="U204" s="2"/>
      <c r="V204" s="6">
        <f t="shared" si="89"/>
        <v>1.0078757295127632E-4</v>
      </c>
      <c r="W204" s="2"/>
      <c r="X204" s="7">
        <f t="shared" si="90"/>
        <v>545.73</v>
      </c>
      <c r="Y204" s="2"/>
      <c r="Z204" s="6">
        <f t="shared" si="91"/>
        <v>12.127333333333334</v>
      </c>
    </row>
    <row r="205" spans="1:26" s="27" customFormat="1" outlineLevel="1" collapsed="1" x14ac:dyDescent="0.25">
      <c r="A205" s="28"/>
      <c r="B205" s="14" t="str">
        <f>CONCATENATE("     ","Subscriptions &amp; Dues                              ")</f>
        <v xml:space="preserve">     Subscriptions &amp; Dues                              </v>
      </c>
      <c r="C205" s="14"/>
      <c r="D205" s="1">
        <f>SUM(OSRRefD22_21x_0)</f>
        <v>638.65000000000009</v>
      </c>
      <c r="E205" s="1"/>
      <c r="F205" s="5">
        <f t="shared" ref="F205:F207" si="92">IF(D$12=0,0,D205/D$12)</f>
        <v>1.5547882902494801E-3</v>
      </c>
      <c r="G205" s="1"/>
      <c r="H205" s="1">
        <f>SUM(OSRRefH22_21x_0)</f>
        <v>2865</v>
      </c>
      <c r="I205" s="1"/>
      <c r="J205" s="5">
        <f t="shared" ref="J205:J207" si="93">IF(H$12=0,0,H205/H$12)</f>
        <v>6.4168088112312588E-3</v>
      </c>
      <c r="K205" s="1"/>
      <c r="L205" s="1">
        <f t="shared" ref="L205:L207" si="94">+D205-H205</f>
        <v>-2226.35</v>
      </c>
      <c r="M205" s="1"/>
      <c r="N205" s="5">
        <f t="shared" ref="N205:N207" si="95">IF(H205=0,0,L205/H205)</f>
        <v>-0.77708551483420585</v>
      </c>
      <c r="O205" s="14"/>
      <c r="P205" s="1">
        <f>SUM(OSRRefP22_21x_0)</f>
        <v>638.65000000000009</v>
      </c>
      <c r="Q205" s="1"/>
      <c r="R205" s="5">
        <f t="shared" ref="R205:R207" si="96">IF(P$12=0,0,P205/P$12)</f>
        <v>1.5547882902494801E-3</v>
      </c>
      <c r="S205" s="1"/>
      <c r="T205" s="1">
        <f>SUM(OSRRefT22_21x_0)</f>
        <v>2865</v>
      </c>
      <c r="U205" s="1"/>
      <c r="V205" s="5">
        <f t="shared" ref="V205:V207" si="97">IF(T$12=0,0,T205/T$12)</f>
        <v>6.4168088112312588E-3</v>
      </c>
      <c r="W205" s="1"/>
      <c r="X205" s="1">
        <f t="shared" ref="X205:X207" si="98">+P205-T205</f>
        <v>-2226.35</v>
      </c>
      <c r="Y205" s="1"/>
      <c r="Z205" s="5">
        <f t="shared" ref="Z205:Z207" si="99">IF(T205=0,0,X205/T205)</f>
        <v>-0.77708551483420585</v>
      </c>
    </row>
    <row r="206" spans="1:26" s="24" customFormat="1" hidden="1" outlineLevel="2" x14ac:dyDescent="0.25">
      <c r="A206" s="29"/>
      <c r="B206" s="11" t="str">
        <f>CONCATENATE("          ", "6258", " - ", "MEMBERSHIP DUES")</f>
        <v xml:space="preserve">          6258 - MEMBERSHIP DUES</v>
      </c>
      <c r="C206" s="11"/>
      <c r="D206" s="7">
        <v>288.85000000000002</v>
      </c>
      <c r="E206" s="2"/>
      <c r="F206" s="6">
        <f t="shared" si="92"/>
        <v>7.032030026439557E-4</v>
      </c>
      <c r="G206" s="2"/>
      <c r="H206" s="7">
        <v>1895</v>
      </c>
      <c r="I206" s="2"/>
      <c r="J206" s="6">
        <f t="shared" si="93"/>
        <v>4.2442766831704134E-3</v>
      </c>
      <c r="K206" s="2"/>
      <c r="L206" s="7">
        <f t="shared" si="94"/>
        <v>-1606.15</v>
      </c>
      <c r="M206" s="2"/>
      <c r="N206" s="6">
        <f t="shared" si="95"/>
        <v>-0.84757255936675469</v>
      </c>
      <c r="O206" s="11"/>
      <c r="P206" s="7">
        <v>288.85000000000002</v>
      </c>
      <c r="Q206" s="2"/>
      <c r="R206" s="6">
        <f t="shared" si="96"/>
        <v>7.032030026439557E-4</v>
      </c>
      <c r="S206" s="2"/>
      <c r="T206" s="7">
        <v>1895</v>
      </c>
      <c r="U206" s="2"/>
      <c r="V206" s="6">
        <f t="shared" si="97"/>
        <v>4.2442766831704134E-3</v>
      </c>
      <c r="W206" s="2"/>
      <c r="X206" s="7">
        <f t="shared" si="98"/>
        <v>-1606.15</v>
      </c>
      <c r="Y206" s="2"/>
      <c r="Z206" s="6">
        <f t="shared" si="99"/>
        <v>-0.84757255936675469</v>
      </c>
    </row>
    <row r="207" spans="1:26" s="24" customFormat="1" hidden="1" outlineLevel="2" x14ac:dyDescent="0.25">
      <c r="A207" s="29"/>
      <c r="B207" s="11" t="str">
        <f>CONCATENATE("          ", "6275", " - ", "SUBSCRIPTIONS")</f>
        <v xml:space="preserve">          6275 - SUBSCRIPTIONS</v>
      </c>
      <c r="C207" s="11"/>
      <c r="D207" s="7">
        <v>349.8</v>
      </c>
      <c r="E207" s="2"/>
      <c r="F207" s="6">
        <f t="shared" si="92"/>
        <v>8.5158528760552433E-4</v>
      </c>
      <c r="G207" s="2"/>
      <c r="H207" s="7">
        <v>970</v>
      </c>
      <c r="I207" s="2"/>
      <c r="J207" s="6">
        <f t="shared" si="93"/>
        <v>2.1725321280608449E-3</v>
      </c>
      <c r="K207" s="2"/>
      <c r="L207" s="7">
        <f t="shared" si="94"/>
        <v>-620.20000000000005</v>
      </c>
      <c r="M207" s="2"/>
      <c r="N207" s="6">
        <f t="shared" si="95"/>
        <v>-0.63938144329896907</v>
      </c>
      <c r="O207" s="11"/>
      <c r="P207" s="7">
        <v>349.8</v>
      </c>
      <c r="Q207" s="2"/>
      <c r="R207" s="6">
        <f t="shared" si="96"/>
        <v>8.5158528760552433E-4</v>
      </c>
      <c r="S207" s="2"/>
      <c r="T207" s="7">
        <v>970</v>
      </c>
      <c r="U207" s="2"/>
      <c r="V207" s="6">
        <f t="shared" si="97"/>
        <v>2.1725321280608449E-3</v>
      </c>
      <c r="W207" s="2"/>
      <c r="X207" s="7">
        <f t="shared" si="98"/>
        <v>-620.20000000000005</v>
      </c>
      <c r="Y207" s="2"/>
      <c r="Z207" s="6">
        <f t="shared" si="99"/>
        <v>-0.63938144329896907</v>
      </c>
    </row>
    <row r="208" spans="1:26" s="27" customFormat="1" outlineLevel="1" collapsed="1" x14ac:dyDescent="0.25">
      <c r="A208" s="28"/>
      <c r="B208" s="14" t="str">
        <f>CONCATENATE("     ","Supplies                                          ")</f>
        <v xml:space="preserve">     Supplies                                          </v>
      </c>
      <c r="C208" s="14"/>
      <c r="D208" s="1">
        <f>SUM(OSRRefD22_22x_0)</f>
        <v>14347.68</v>
      </c>
      <c r="E208" s="1"/>
      <c r="F208" s="5">
        <f t="shared" ref="F208:F216" si="100">IF(D$12=0,0,D208/D$12)</f>
        <v>3.4929311604551254E-2</v>
      </c>
      <c r="G208" s="1"/>
      <c r="H208" s="1">
        <f>SUM(OSRRefH22_22x_0)</f>
        <v>15970</v>
      </c>
      <c r="I208" s="1"/>
      <c r="J208" s="5">
        <f t="shared" ref="J208:J216" si="101">IF(H$12=0,0,H208/H$12)</f>
        <v>3.576838977848628E-2</v>
      </c>
      <c r="K208" s="1"/>
      <c r="L208" s="1">
        <f t="shared" ref="L208:L216" si="102">+D208-H208</f>
        <v>-1622.3199999999997</v>
      </c>
      <c r="M208" s="1"/>
      <c r="N208" s="5">
        <f t="shared" ref="N208:N216" si="103">IF(H208=0,0,L208/H208)</f>
        <v>-0.10158547276142765</v>
      </c>
      <c r="O208" s="14"/>
      <c r="P208" s="1">
        <f>SUM(OSRRefP22_22x_0)</f>
        <v>14347.68</v>
      </c>
      <c r="Q208" s="1"/>
      <c r="R208" s="5">
        <f t="shared" ref="R208:R216" si="104">IF(P$12=0,0,P208/P$12)</f>
        <v>3.4929311604551254E-2</v>
      </c>
      <c r="S208" s="1"/>
      <c r="T208" s="1">
        <f>SUM(OSRRefT22_22x_0)</f>
        <v>15970</v>
      </c>
      <c r="U208" s="1"/>
      <c r="V208" s="5">
        <f t="shared" ref="V208:V216" si="105">IF(T$12=0,0,T208/T$12)</f>
        <v>3.576838977848628E-2</v>
      </c>
      <c r="W208" s="1"/>
      <c r="X208" s="1">
        <f t="shared" ref="X208:X216" si="106">+P208-T208</f>
        <v>-1622.3199999999997</v>
      </c>
      <c r="Y208" s="1"/>
      <c r="Z208" s="5">
        <f t="shared" ref="Z208:Z216" si="107">IF(T208=0,0,X208/T208)</f>
        <v>-0.10158547276142765</v>
      </c>
    </row>
    <row r="209" spans="1:26" s="24" customFormat="1" hidden="1" outlineLevel="2" x14ac:dyDescent="0.25">
      <c r="A209" s="29"/>
      <c r="B209" s="11" t="str">
        <f>CONCATENATE("          ", "6234", " - ", "EXPENDABLE SUPPLIES &amp; EQUIPMEN")</f>
        <v xml:space="preserve">          6234 - EXPENDABLE SUPPLIES &amp; EQUIPMEN</v>
      </c>
      <c r="C209" s="11"/>
      <c r="D209" s="7">
        <v>702.08</v>
      </c>
      <c r="E209" s="2"/>
      <c r="F209" s="6">
        <f t="shared" si="100"/>
        <v>1.709208115271831E-3</v>
      </c>
      <c r="G209" s="2"/>
      <c r="H209" s="7">
        <v>4300</v>
      </c>
      <c r="I209" s="2"/>
      <c r="J209" s="6">
        <f t="shared" si="101"/>
        <v>9.6308125264552916E-3</v>
      </c>
      <c r="K209" s="2"/>
      <c r="L209" s="7">
        <f t="shared" si="102"/>
        <v>-3597.92</v>
      </c>
      <c r="M209" s="2"/>
      <c r="N209" s="6">
        <f t="shared" si="103"/>
        <v>-0.83672558139534881</v>
      </c>
      <c r="O209" s="11"/>
      <c r="P209" s="7">
        <v>702.08</v>
      </c>
      <c r="Q209" s="2"/>
      <c r="R209" s="6">
        <f t="shared" si="104"/>
        <v>1.709208115271831E-3</v>
      </c>
      <c r="S209" s="2"/>
      <c r="T209" s="7">
        <v>4300</v>
      </c>
      <c r="U209" s="2"/>
      <c r="V209" s="6">
        <f t="shared" si="105"/>
        <v>9.6308125264552916E-3</v>
      </c>
      <c r="W209" s="2"/>
      <c r="X209" s="7">
        <f t="shared" si="106"/>
        <v>-3597.92</v>
      </c>
      <c r="Y209" s="2"/>
      <c r="Z209" s="6">
        <f t="shared" si="107"/>
        <v>-0.83672558139534881</v>
      </c>
    </row>
    <row r="210" spans="1:26" s="24" customFormat="1" hidden="1" outlineLevel="2" x14ac:dyDescent="0.25">
      <c r="A210" s="29"/>
      <c r="B210" s="11" t="str">
        <f>CONCATENATE("          ", "6237", " - ", "JANITORIAL SUPPLIES")</f>
        <v xml:space="preserve">          6237 - JANITORIAL SUPPLIES</v>
      </c>
      <c r="C210" s="11"/>
      <c r="D210" s="7">
        <v>826.15</v>
      </c>
      <c r="E210" s="2"/>
      <c r="F210" s="6">
        <f t="shared" si="100"/>
        <v>2.0112555327481529E-3</v>
      </c>
      <c r="G210" s="2"/>
      <c r="H210" s="7">
        <v>335</v>
      </c>
      <c r="I210" s="2"/>
      <c r="J210" s="6">
        <f t="shared" si="101"/>
        <v>7.5030748752616806E-4</v>
      </c>
      <c r="K210" s="2"/>
      <c r="L210" s="7">
        <f t="shared" si="102"/>
        <v>491.15</v>
      </c>
      <c r="M210" s="2"/>
      <c r="N210" s="6">
        <f t="shared" si="103"/>
        <v>1.4661194029850746</v>
      </c>
      <c r="O210" s="11"/>
      <c r="P210" s="7">
        <v>826.15</v>
      </c>
      <c r="Q210" s="2"/>
      <c r="R210" s="6">
        <f t="shared" si="104"/>
        <v>2.0112555327481529E-3</v>
      </c>
      <c r="S210" s="2"/>
      <c r="T210" s="7">
        <v>335</v>
      </c>
      <c r="U210" s="2"/>
      <c r="V210" s="6">
        <f t="shared" si="105"/>
        <v>7.5030748752616806E-4</v>
      </c>
      <c r="W210" s="2"/>
      <c r="X210" s="7">
        <f t="shared" si="106"/>
        <v>491.15</v>
      </c>
      <c r="Y210" s="2"/>
      <c r="Z210" s="6">
        <f t="shared" si="107"/>
        <v>1.4661194029850746</v>
      </c>
    </row>
    <row r="211" spans="1:26" s="24" customFormat="1" hidden="1" outlineLevel="2" x14ac:dyDescent="0.25">
      <c r="A211" s="29"/>
      <c r="B211" s="11" t="str">
        <f>CONCATENATE("          ", "6241", " - ", "OFFICE EXPENSE")</f>
        <v xml:space="preserve">          6241 - OFFICE EXPENSE</v>
      </c>
      <c r="C211" s="11"/>
      <c r="D211" s="7">
        <v>2671.41</v>
      </c>
      <c r="E211" s="2"/>
      <c r="F211" s="6">
        <f t="shared" si="100"/>
        <v>6.5035261668446925E-3</v>
      </c>
      <c r="G211" s="2"/>
      <c r="H211" s="7">
        <v>1225</v>
      </c>
      <c r="I211" s="2"/>
      <c r="J211" s="6">
        <f t="shared" si="101"/>
        <v>2.7436617081180773E-3</v>
      </c>
      <c r="K211" s="2"/>
      <c r="L211" s="7">
        <f t="shared" si="102"/>
        <v>1446.4099999999999</v>
      </c>
      <c r="M211" s="2"/>
      <c r="N211" s="6">
        <f t="shared" si="103"/>
        <v>1.1807428571428571</v>
      </c>
      <c r="O211" s="11"/>
      <c r="P211" s="7">
        <v>2671.41</v>
      </c>
      <c r="Q211" s="2"/>
      <c r="R211" s="6">
        <f t="shared" si="104"/>
        <v>6.5035261668446925E-3</v>
      </c>
      <c r="S211" s="2"/>
      <c r="T211" s="7">
        <v>1225</v>
      </c>
      <c r="U211" s="2"/>
      <c r="V211" s="6">
        <f t="shared" si="105"/>
        <v>2.7436617081180773E-3</v>
      </c>
      <c r="W211" s="2"/>
      <c r="X211" s="7">
        <f t="shared" si="106"/>
        <v>1446.4099999999999</v>
      </c>
      <c r="Y211" s="2"/>
      <c r="Z211" s="6">
        <f t="shared" si="107"/>
        <v>1.1807428571428571</v>
      </c>
    </row>
    <row r="212" spans="1:26" s="24" customFormat="1" hidden="1" outlineLevel="2" x14ac:dyDescent="0.25">
      <c r="A212" s="29"/>
      <c r="B212" s="11" t="str">
        <f>CONCATENATE("          ", "6243", " - ", "PAPER SUPPLIES")</f>
        <v xml:space="preserve">          6243 - PAPER SUPPLIES</v>
      </c>
      <c r="C212" s="11"/>
      <c r="D212" s="7">
        <v>1161.3399999999999</v>
      </c>
      <c r="E212" s="2"/>
      <c r="F212" s="6">
        <f t="shared" si="100"/>
        <v>2.8272728928181801E-3</v>
      </c>
      <c r="G212" s="2"/>
      <c r="H212" s="7">
        <v>250</v>
      </c>
      <c r="I212" s="2"/>
      <c r="J212" s="6">
        <f t="shared" si="101"/>
        <v>5.5993096084042398E-4</v>
      </c>
      <c r="K212" s="2"/>
      <c r="L212" s="7">
        <f t="shared" si="102"/>
        <v>911.33999999999992</v>
      </c>
      <c r="M212" s="2"/>
      <c r="N212" s="6">
        <f t="shared" si="103"/>
        <v>3.6453599999999997</v>
      </c>
      <c r="O212" s="11"/>
      <c r="P212" s="7">
        <v>1161.3399999999999</v>
      </c>
      <c r="Q212" s="2"/>
      <c r="R212" s="6">
        <f t="shared" si="104"/>
        <v>2.8272728928181801E-3</v>
      </c>
      <c r="S212" s="2"/>
      <c r="T212" s="7">
        <v>250</v>
      </c>
      <c r="U212" s="2"/>
      <c r="V212" s="6">
        <f t="shared" si="105"/>
        <v>5.5993096084042398E-4</v>
      </c>
      <c r="W212" s="2"/>
      <c r="X212" s="7">
        <f t="shared" si="106"/>
        <v>911.33999999999992</v>
      </c>
      <c r="Y212" s="2"/>
      <c r="Z212" s="6">
        <f t="shared" si="107"/>
        <v>3.6453599999999997</v>
      </c>
    </row>
    <row r="213" spans="1:26" s="24" customFormat="1" hidden="1" outlineLevel="2" x14ac:dyDescent="0.25">
      <c r="A213" s="29"/>
      <c r="B213" s="11" t="str">
        <f>CONCATENATE("          ", "6244", " - ", "SAFETY SUPPLY EXPENSE")</f>
        <v xml:space="preserve">          6244 - SAFETY SUPPLY EXPENSE</v>
      </c>
      <c r="C213" s="11"/>
      <c r="D213" s="7"/>
      <c r="E213" s="2"/>
      <c r="F213" s="6">
        <f t="shared" si="100"/>
        <v>0</v>
      </c>
      <c r="G213" s="2"/>
      <c r="H213" s="7">
        <v>30</v>
      </c>
      <c r="I213" s="2"/>
      <c r="J213" s="6">
        <f t="shared" si="101"/>
        <v>6.7191715300850873E-5</v>
      </c>
      <c r="K213" s="2"/>
      <c r="L213" s="7">
        <f t="shared" si="102"/>
        <v>-30</v>
      </c>
      <c r="M213" s="2"/>
      <c r="N213" s="6">
        <f t="shared" si="103"/>
        <v>-1</v>
      </c>
      <c r="O213" s="11"/>
      <c r="P213" s="7"/>
      <c r="Q213" s="2"/>
      <c r="R213" s="6">
        <f t="shared" si="104"/>
        <v>0</v>
      </c>
      <c r="S213" s="2"/>
      <c r="T213" s="7">
        <v>30</v>
      </c>
      <c r="U213" s="2"/>
      <c r="V213" s="6">
        <f t="shared" si="105"/>
        <v>6.7191715300850873E-5</v>
      </c>
      <c r="W213" s="2"/>
      <c r="X213" s="7">
        <f t="shared" si="106"/>
        <v>-30</v>
      </c>
      <c r="Y213" s="2"/>
      <c r="Z213" s="6">
        <f t="shared" si="107"/>
        <v>-1</v>
      </c>
    </row>
    <row r="214" spans="1:26" s="24" customFormat="1" hidden="1" outlineLevel="2" x14ac:dyDescent="0.25">
      <c r="A214" s="29"/>
      <c r="B214" s="11" t="str">
        <f>CONCATENATE("          ", "6245", " - ", "PRINTING")</f>
        <v xml:space="preserve">          6245 - PRINTING</v>
      </c>
      <c r="C214" s="11"/>
      <c r="D214" s="7"/>
      <c r="E214" s="2"/>
      <c r="F214" s="6">
        <f t="shared" si="100"/>
        <v>0</v>
      </c>
      <c r="G214" s="2"/>
      <c r="H214" s="7">
        <v>100</v>
      </c>
      <c r="I214" s="2"/>
      <c r="J214" s="6">
        <f t="shared" si="101"/>
        <v>2.239723843361696E-4</v>
      </c>
      <c r="K214" s="2"/>
      <c r="L214" s="7">
        <f t="shared" si="102"/>
        <v>-100</v>
      </c>
      <c r="M214" s="2"/>
      <c r="N214" s="6">
        <f t="shared" si="103"/>
        <v>-1</v>
      </c>
      <c r="O214" s="11"/>
      <c r="P214" s="7"/>
      <c r="Q214" s="2"/>
      <c r="R214" s="6">
        <f t="shared" si="104"/>
        <v>0</v>
      </c>
      <c r="S214" s="2"/>
      <c r="T214" s="7">
        <v>100</v>
      </c>
      <c r="U214" s="2"/>
      <c r="V214" s="6">
        <f t="shared" si="105"/>
        <v>2.239723843361696E-4</v>
      </c>
      <c r="W214" s="2"/>
      <c r="X214" s="7">
        <f t="shared" si="106"/>
        <v>-100</v>
      </c>
      <c r="Y214" s="2"/>
      <c r="Z214" s="6">
        <f t="shared" si="107"/>
        <v>-1</v>
      </c>
    </row>
    <row r="215" spans="1:26" s="24" customFormat="1" hidden="1" outlineLevel="2" x14ac:dyDescent="0.25">
      <c r="A215" s="29"/>
      <c r="B215" s="11" t="str">
        <f>CONCATENATE("          ", "6247", " - ", "STORE SUPPLIES")</f>
        <v xml:space="preserve">          6247 - STORE SUPPLIES</v>
      </c>
      <c r="C215" s="11"/>
      <c r="D215" s="7">
        <v>8986.7000000000007</v>
      </c>
      <c r="E215" s="2"/>
      <c r="F215" s="6">
        <f t="shared" si="100"/>
        <v>2.1878048896868396E-2</v>
      </c>
      <c r="G215" s="2"/>
      <c r="H215" s="7">
        <v>8430</v>
      </c>
      <c r="I215" s="2"/>
      <c r="J215" s="6">
        <f t="shared" si="101"/>
        <v>1.8880871999539094E-2</v>
      </c>
      <c r="K215" s="2"/>
      <c r="L215" s="7">
        <f t="shared" si="102"/>
        <v>556.70000000000073</v>
      </c>
      <c r="M215" s="2"/>
      <c r="N215" s="6">
        <f t="shared" si="103"/>
        <v>6.6037959667852988E-2</v>
      </c>
      <c r="O215" s="11"/>
      <c r="P215" s="7">
        <v>8986.7000000000007</v>
      </c>
      <c r="Q215" s="2"/>
      <c r="R215" s="6">
        <f t="shared" si="104"/>
        <v>2.1878048896868396E-2</v>
      </c>
      <c r="S215" s="2"/>
      <c r="T215" s="7">
        <v>8430</v>
      </c>
      <c r="U215" s="2"/>
      <c r="V215" s="6">
        <f t="shared" si="105"/>
        <v>1.8880871999539094E-2</v>
      </c>
      <c r="W215" s="2"/>
      <c r="X215" s="7">
        <f t="shared" si="106"/>
        <v>556.70000000000073</v>
      </c>
      <c r="Y215" s="2"/>
      <c r="Z215" s="6">
        <f t="shared" si="107"/>
        <v>6.6037959667852988E-2</v>
      </c>
    </row>
    <row r="216" spans="1:26" s="24" customFormat="1" hidden="1" outlineLevel="2" x14ac:dyDescent="0.25">
      <c r="A216" s="29"/>
      <c r="B216" s="11" t="str">
        <f>CONCATENATE("          ", "6248", " - ", "UNIFORMS")</f>
        <v xml:space="preserve">          6248 - UNIFORMS</v>
      </c>
      <c r="C216" s="11"/>
      <c r="D216" s="7"/>
      <c r="E216" s="2"/>
      <c r="F216" s="6">
        <f t="shared" si="100"/>
        <v>0</v>
      </c>
      <c r="G216" s="2"/>
      <c r="H216" s="7">
        <v>1300</v>
      </c>
      <c r="I216" s="2"/>
      <c r="J216" s="6">
        <f t="shared" si="101"/>
        <v>2.9116409963702047E-3</v>
      </c>
      <c r="K216" s="2"/>
      <c r="L216" s="7">
        <f t="shared" si="102"/>
        <v>-1300</v>
      </c>
      <c r="M216" s="2"/>
      <c r="N216" s="6">
        <f t="shared" si="103"/>
        <v>-1</v>
      </c>
      <c r="O216" s="11"/>
      <c r="P216" s="7"/>
      <c r="Q216" s="2"/>
      <c r="R216" s="6">
        <f t="shared" si="104"/>
        <v>0</v>
      </c>
      <c r="S216" s="2"/>
      <c r="T216" s="7">
        <v>1300</v>
      </c>
      <c r="U216" s="2"/>
      <c r="V216" s="6">
        <f t="shared" si="105"/>
        <v>2.9116409963702047E-3</v>
      </c>
      <c r="W216" s="2"/>
      <c r="X216" s="7">
        <f t="shared" si="106"/>
        <v>-1300</v>
      </c>
      <c r="Y216" s="2"/>
      <c r="Z216" s="6">
        <f t="shared" si="107"/>
        <v>-1</v>
      </c>
    </row>
    <row r="217" spans="1:26" s="27" customFormat="1" outlineLevel="1" collapsed="1" x14ac:dyDescent="0.25">
      <c r="A217" s="28"/>
      <c r="B217" s="14" t="str">
        <f>CONCATENATE("     ","Telephone/Data Lines                              ")</f>
        <v xml:space="preserve">     Telephone/Data Lines                              </v>
      </c>
      <c r="C217" s="14"/>
      <c r="D217" s="1">
        <f>SUM(OSRRefD22_23x_0)</f>
        <v>2026.08</v>
      </c>
      <c r="E217" s="1"/>
      <c r="F217" s="5">
        <f t="shared" ref="F217:F219" si="108">IF(D$12=0,0,D217/D$12)</f>
        <v>4.9324754703024597E-3</v>
      </c>
      <c r="G217" s="1"/>
      <c r="H217" s="1">
        <f>SUM(OSRRefH22_23x_0)</f>
        <v>2705</v>
      </c>
      <c r="I217" s="1"/>
      <c r="J217" s="5">
        <f t="shared" ref="J217:J219" si="109">IF(H$12=0,0,H217/H$12)</f>
        <v>6.058452996293387E-3</v>
      </c>
      <c r="K217" s="1"/>
      <c r="L217" s="1">
        <f t="shared" ref="L217:L219" si="110">+D217-H217</f>
        <v>-678.92000000000007</v>
      </c>
      <c r="M217" s="1"/>
      <c r="N217" s="5">
        <f t="shared" ref="N217:N219" si="111">IF(H217=0,0,L217/H217)</f>
        <v>-0.2509870609981516</v>
      </c>
      <c r="O217" s="14"/>
      <c r="P217" s="1">
        <f>SUM(OSRRefP22_23x_0)</f>
        <v>2026.08</v>
      </c>
      <c r="Q217" s="1"/>
      <c r="R217" s="5">
        <f t="shared" ref="R217:R219" si="112">IF(P$12=0,0,P217/P$12)</f>
        <v>4.9324754703024597E-3</v>
      </c>
      <c r="S217" s="1"/>
      <c r="T217" s="1">
        <f>SUM(OSRRefT22_23x_0)</f>
        <v>2705</v>
      </c>
      <c r="U217" s="1"/>
      <c r="V217" s="5">
        <f t="shared" ref="V217:V219" si="113">IF(T$12=0,0,T217/T$12)</f>
        <v>6.058452996293387E-3</v>
      </c>
      <c r="W217" s="1"/>
      <c r="X217" s="1">
        <f t="shared" ref="X217:X219" si="114">+P217-T217</f>
        <v>-678.92000000000007</v>
      </c>
      <c r="Y217" s="1"/>
      <c r="Z217" s="5">
        <f t="shared" ref="Z217:Z219" si="115">IF(T217=0,0,X217/T217)</f>
        <v>-0.2509870609981516</v>
      </c>
    </row>
    <row r="218" spans="1:26" s="24" customFormat="1" hidden="1" outlineLevel="2" x14ac:dyDescent="0.25">
      <c r="A218" s="29"/>
      <c r="B218" s="11" t="str">
        <f>CONCATENATE("          ", "6303", " - ", "DATA PHONE LINES")</f>
        <v xml:space="preserve">          6303 - DATA PHONE LINES</v>
      </c>
      <c r="C218" s="11"/>
      <c r="D218" s="7">
        <v>295</v>
      </c>
      <c r="E218" s="2"/>
      <c r="F218" s="6">
        <f t="shared" si="108"/>
        <v>7.1817512819791207E-4</v>
      </c>
      <c r="G218" s="2"/>
      <c r="H218" s="7">
        <v>850</v>
      </c>
      <c r="I218" s="2"/>
      <c r="J218" s="6">
        <f t="shared" si="109"/>
        <v>1.9037652668574415E-3</v>
      </c>
      <c r="K218" s="2"/>
      <c r="L218" s="7">
        <f t="shared" si="110"/>
        <v>-555</v>
      </c>
      <c r="M218" s="2"/>
      <c r="N218" s="6">
        <f t="shared" si="111"/>
        <v>-0.65294117647058825</v>
      </c>
      <c r="O218" s="11"/>
      <c r="P218" s="7">
        <v>295</v>
      </c>
      <c r="Q218" s="2"/>
      <c r="R218" s="6">
        <f t="shared" si="112"/>
        <v>7.1817512819791207E-4</v>
      </c>
      <c r="S218" s="2"/>
      <c r="T218" s="7">
        <v>850</v>
      </c>
      <c r="U218" s="2"/>
      <c r="V218" s="6">
        <f t="shared" si="113"/>
        <v>1.9037652668574415E-3</v>
      </c>
      <c r="W218" s="2"/>
      <c r="X218" s="7">
        <f t="shared" si="114"/>
        <v>-555</v>
      </c>
      <c r="Y218" s="2"/>
      <c r="Z218" s="6">
        <f t="shared" si="115"/>
        <v>-0.65294117647058825</v>
      </c>
    </row>
    <row r="219" spans="1:26" s="24" customFormat="1" hidden="1" outlineLevel="2" x14ac:dyDescent="0.25">
      <c r="A219" s="29"/>
      <c r="B219" s="11" t="str">
        <f>CONCATENATE("          ", "6309", " - ", "TELEPHONE")</f>
        <v xml:space="preserve">          6309 - TELEPHONE</v>
      </c>
      <c r="C219" s="11"/>
      <c r="D219" s="7">
        <v>1731.08</v>
      </c>
      <c r="E219" s="2"/>
      <c r="F219" s="6">
        <f t="shared" si="108"/>
        <v>4.2143003421045476E-3</v>
      </c>
      <c r="G219" s="2"/>
      <c r="H219" s="7">
        <v>1855</v>
      </c>
      <c r="I219" s="2"/>
      <c r="J219" s="6">
        <f t="shared" si="109"/>
        <v>4.1546877294359455E-3</v>
      </c>
      <c r="K219" s="2"/>
      <c r="L219" s="7">
        <f t="shared" si="110"/>
        <v>-123.92000000000007</v>
      </c>
      <c r="M219" s="2"/>
      <c r="N219" s="6">
        <f t="shared" si="111"/>
        <v>-6.6803234501347744E-2</v>
      </c>
      <c r="O219" s="11"/>
      <c r="P219" s="7">
        <v>1731.08</v>
      </c>
      <c r="Q219" s="2"/>
      <c r="R219" s="6">
        <f t="shared" si="112"/>
        <v>4.2143003421045476E-3</v>
      </c>
      <c r="S219" s="2"/>
      <c r="T219" s="7">
        <v>1855</v>
      </c>
      <c r="U219" s="2"/>
      <c r="V219" s="6">
        <f t="shared" si="113"/>
        <v>4.1546877294359455E-3</v>
      </c>
      <c r="W219" s="2"/>
      <c r="X219" s="7">
        <f t="shared" si="114"/>
        <v>-123.92000000000007</v>
      </c>
      <c r="Y219" s="2"/>
      <c r="Z219" s="6">
        <f t="shared" si="115"/>
        <v>-6.6803234501347744E-2</v>
      </c>
    </row>
    <row r="220" spans="1:26" s="27" customFormat="1" outlineLevel="1" collapsed="1" x14ac:dyDescent="0.25">
      <c r="A220" s="28"/>
      <c r="B220" s="14" t="str">
        <f>CONCATENATE("     ","Training                                          ")</f>
        <v xml:space="preserve">     Training                                          </v>
      </c>
      <c r="C220" s="14"/>
      <c r="D220" s="1">
        <f>SUM(OSRRefD22_24x_0)</f>
        <v>791.67</v>
      </c>
      <c r="E220" s="1"/>
      <c r="F220" s="5">
        <f t="shared" ref="F220:F225" si="116">IF(D$12=0,0,D220/D$12)</f>
        <v>1.9273142499675968E-3</v>
      </c>
      <c r="G220" s="1"/>
      <c r="H220" s="1">
        <f>SUM(OSRRefH22_24x_0)</f>
        <v>1700</v>
      </c>
      <c r="I220" s="1"/>
      <c r="J220" s="5">
        <f t="shared" ref="J220:J225" si="117">IF(H$12=0,0,H220/H$12)</f>
        <v>3.807530533714883E-3</v>
      </c>
      <c r="K220" s="1"/>
      <c r="L220" s="1">
        <f t="shared" ref="L220:L225" si="118">+D220-H220</f>
        <v>-908.33</v>
      </c>
      <c r="M220" s="1"/>
      <c r="N220" s="5">
        <f t="shared" ref="N220:N225" si="119">IF(H220=0,0,L220/H220)</f>
        <v>-0.53431176470588237</v>
      </c>
      <c r="O220" s="14"/>
      <c r="P220" s="1">
        <f>SUM(OSRRefP22_24x_0)</f>
        <v>791.67</v>
      </c>
      <c r="Q220" s="1"/>
      <c r="R220" s="5">
        <f t="shared" ref="R220:R225" si="120">IF(P$12=0,0,P220/P$12)</f>
        <v>1.9273142499675968E-3</v>
      </c>
      <c r="S220" s="1"/>
      <c r="T220" s="1">
        <f>SUM(OSRRefT22_24x_0)</f>
        <v>1700</v>
      </c>
      <c r="U220" s="1"/>
      <c r="V220" s="5">
        <f t="shared" ref="V220:V225" si="121">IF(T$12=0,0,T220/T$12)</f>
        <v>3.807530533714883E-3</v>
      </c>
      <c r="W220" s="1"/>
      <c r="X220" s="1">
        <f t="shared" ref="X220:X225" si="122">+P220-T220</f>
        <v>-908.33</v>
      </c>
      <c r="Y220" s="1"/>
      <c r="Z220" s="5">
        <f t="shared" ref="Z220:Z225" si="123">IF(T220=0,0,X220/T220)</f>
        <v>-0.53431176470588237</v>
      </c>
    </row>
    <row r="221" spans="1:26" s="24" customFormat="1" hidden="1" outlineLevel="2" x14ac:dyDescent="0.25">
      <c r="A221" s="29"/>
      <c r="B221" s="11" t="str">
        <f>CONCATENATE("          ", "6376", " - ", "TRAINING")</f>
        <v xml:space="preserve">          6376 - TRAINING</v>
      </c>
      <c r="C221" s="11"/>
      <c r="D221" s="7">
        <v>791.67</v>
      </c>
      <c r="E221" s="2"/>
      <c r="F221" s="6">
        <f t="shared" si="116"/>
        <v>1.9273142499675968E-3</v>
      </c>
      <c r="G221" s="2"/>
      <c r="H221" s="7">
        <v>1700</v>
      </c>
      <c r="I221" s="2"/>
      <c r="J221" s="6">
        <f t="shared" si="117"/>
        <v>3.807530533714883E-3</v>
      </c>
      <c r="K221" s="2"/>
      <c r="L221" s="7">
        <f t="shared" si="118"/>
        <v>-908.33</v>
      </c>
      <c r="M221" s="2"/>
      <c r="N221" s="6">
        <f t="shared" si="119"/>
        <v>-0.53431176470588237</v>
      </c>
      <c r="O221" s="11"/>
      <c r="P221" s="7">
        <v>791.67</v>
      </c>
      <c r="Q221" s="2"/>
      <c r="R221" s="6">
        <f t="shared" si="120"/>
        <v>1.9273142499675968E-3</v>
      </c>
      <c r="S221" s="2"/>
      <c r="T221" s="7">
        <v>1700</v>
      </c>
      <c r="U221" s="2"/>
      <c r="V221" s="6">
        <f t="shared" si="121"/>
        <v>3.807530533714883E-3</v>
      </c>
      <c r="W221" s="2"/>
      <c r="X221" s="7">
        <f t="shared" si="122"/>
        <v>-908.33</v>
      </c>
      <c r="Y221" s="2"/>
      <c r="Z221" s="6">
        <f t="shared" si="123"/>
        <v>-0.53431176470588237</v>
      </c>
    </row>
    <row r="222" spans="1:26" s="27" customFormat="1" outlineLevel="1" collapsed="1" x14ac:dyDescent="0.25">
      <c r="A222" s="28"/>
      <c r="B222" s="14" t="str">
        <f>CONCATENATE("     ","Travel                                            ")</f>
        <v xml:space="preserve">     Travel                                            </v>
      </c>
      <c r="C222" s="14"/>
      <c r="D222" s="1">
        <f>SUM(OSRRefD22_25x_0)</f>
        <v>221.68</v>
      </c>
      <c r="E222" s="1"/>
      <c r="F222" s="5">
        <f t="shared" si="116"/>
        <v>5.3967817769123101E-4</v>
      </c>
      <c r="G222" s="1"/>
      <c r="H222" s="1">
        <f>SUM(OSRRefH22_25x_0)</f>
        <v>560</v>
      </c>
      <c r="I222" s="1"/>
      <c r="J222" s="5">
        <f t="shared" si="117"/>
        <v>1.2542453522825497E-3</v>
      </c>
      <c r="K222" s="1"/>
      <c r="L222" s="1">
        <f t="shared" si="118"/>
        <v>-338.32</v>
      </c>
      <c r="M222" s="1"/>
      <c r="N222" s="5">
        <f t="shared" si="119"/>
        <v>-0.60414285714285709</v>
      </c>
      <c r="O222" s="14"/>
      <c r="P222" s="1">
        <f>SUM(OSRRefP22_25x_0)</f>
        <v>221.68</v>
      </c>
      <c r="Q222" s="1"/>
      <c r="R222" s="5">
        <f t="shared" si="120"/>
        <v>5.3967817769123101E-4</v>
      </c>
      <c r="S222" s="1"/>
      <c r="T222" s="1">
        <f>SUM(OSRRefT22_25x_0)</f>
        <v>560</v>
      </c>
      <c r="U222" s="1"/>
      <c r="V222" s="5">
        <f t="shared" si="121"/>
        <v>1.2542453522825497E-3</v>
      </c>
      <c r="W222" s="1"/>
      <c r="X222" s="1">
        <f t="shared" si="122"/>
        <v>-338.32</v>
      </c>
      <c r="Y222" s="1"/>
      <c r="Z222" s="5">
        <f t="shared" si="123"/>
        <v>-0.60414285714285709</v>
      </c>
    </row>
    <row r="223" spans="1:26" s="24" customFormat="1" hidden="1" outlineLevel="2" x14ac:dyDescent="0.25">
      <c r="A223" s="29"/>
      <c r="B223" s="11" t="str">
        <f>CONCATENATE("          ", "6292", " - ", "TRAVEL/CONFERENCE")</f>
        <v xml:space="preserve">          6292 - TRAVEL/CONFERENCE</v>
      </c>
      <c r="C223" s="11"/>
      <c r="D223" s="7">
        <v>150.47999999999999</v>
      </c>
      <c r="E223" s="2"/>
      <c r="F223" s="6">
        <f t="shared" si="116"/>
        <v>3.6634235013973494E-4</v>
      </c>
      <c r="G223" s="2"/>
      <c r="H223" s="7"/>
      <c r="I223" s="2"/>
      <c r="J223" s="6">
        <f t="shared" si="117"/>
        <v>0</v>
      </c>
      <c r="K223" s="2"/>
      <c r="L223" s="7">
        <f t="shared" si="118"/>
        <v>150.47999999999999</v>
      </c>
      <c r="M223" s="2"/>
      <c r="N223" s="6">
        <f t="shared" si="119"/>
        <v>0</v>
      </c>
      <c r="O223" s="11"/>
      <c r="P223" s="7">
        <v>150.47999999999999</v>
      </c>
      <c r="Q223" s="2"/>
      <c r="R223" s="6">
        <f t="shared" si="120"/>
        <v>3.6634235013973494E-4</v>
      </c>
      <c r="S223" s="2"/>
      <c r="T223" s="7"/>
      <c r="U223" s="2"/>
      <c r="V223" s="6">
        <f t="shared" si="121"/>
        <v>0</v>
      </c>
      <c r="W223" s="2"/>
      <c r="X223" s="7">
        <f t="shared" si="122"/>
        <v>150.47999999999999</v>
      </c>
      <c r="Y223" s="2"/>
      <c r="Z223" s="6">
        <f t="shared" si="123"/>
        <v>0</v>
      </c>
    </row>
    <row r="224" spans="1:26" s="24" customFormat="1" hidden="1" outlineLevel="2" x14ac:dyDescent="0.25">
      <c r="A224" s="29"/>
      <c r="B224" s="11" t="str">
        <f>CONCATENATE("          ", "6294", " - ", "TRAVEL OPERATIONAL")</f>
        <v xml:space="preserve">          6294 - TRAVEL OPERATIONAL</v>
      </c>
      <c r="C224" s="11"/>
      <c r="D224" s="7"/>
      <c r="E224" s="2"/>
      <c r="F224" s="6">
        <f t="shared" si="116"/>
        <v>0</v>
      </c>
      <c r="G224" s="2"/>
      <c r="H224" s="7">
        <v>110</v>
      </c>
      <c r="I224" s="2"/>
      <c r="J224" s="6">
        <f t="shared" si="117"/>
        <v>2.4636962276978656E-4</v>
      </c>
      <c r="K224" s="2"/>
      <c r="L224" s="7">
        <f t="shared" si="118"/>
        <v>-110</v>
      </c>
      <c r="M224" s="2"/>
      <c r="N224" s="6">
        <f t="shared" si="119"/>
        <v>-1</v>
      </c>
      <c r="O224" s="11"/>
      <c r="P224" s="7"/>
      <c r="Q224" s="2"/>
      <c r="R224" s="6">
        <f t="shared" si="120"/>
        <v>0</v>
      </c>
      <c r="S224" s="2"/>
      <c r="T224" s="7">
        <v>110</v>
      </c>
      <c r="U224" s="2"/>
      <c r="V224" s="6">
        <f t="shared" si="121"/>
        <v>2.4636962276978656E-4</v>
      </c>
      <c r="W224" s="2"/>
      <c r="X224" s="7">
        <f t="shared" si="122"/>
        <v>-110</v>
      </c>
      <c r="Y224" s="2"/>
      <c r="Z224" s="6">
        <f t="shared" si="123"/>
        <v>-1</v>
      </c>
    </row>
    <row r="225" spans="1:26" s="24" customFormat="1" hidden="1" outlineLevel="2" x14ac:dyDescent="0.25">
      <c r="A225" s="29"/>
      <c r="B225" s="11" t="str">
        <f>CONCATENATE("          ", "6298", " - ", "VEHICLE MILEAGE")</f>
        <v xml:space="preserve">          6298 - VEHICLE MILEAGE</v>
      </c>
      <c r="C225" s="11"/>
      <c r="D225" s="7">
        <v>71.2</v>
      </c>
      <c r="E225" s="2"/>
      <c r="F225" s="6">
        <f t="shared" si="116"/>
        <v>1.7333582755149607E-4</v>
      </c>
      <c r="G225" s="2"/>
      <c r="H225" s="7">
        <v>450</v>
      </c>
      <c r="I225" s="2"/>
      <c r="J225" s="6">
        <f t="shared" si="117"/>
        <v>1.0078757295127632E-3</v>
      </c>
      <c r="K225" s="2"/>
      <c r="L225" s="7">
        <f t="shared" si="118"/>
        <v>-378.8</v>
      </c>
      <c r="M225" s="2"/>
      <c r="N225" s="6">
        <f t="shared" si="119"/>
        <v>-0.84177777777777785</v>
      </c>
      <c r="O225" s="11"/>
      <c r="P225" s="7">
        <v>71.2</v>
      </c>
      <c r="Q225" s="2"/>
      <c r="R225" s="6">
        <f t="shared" si="120"/>
        <v>1.7333582755149607E-4</v>
      </c>
      <c r="S225" s="2"/>
      <c r="T225" s="7">
        <v>450</v>
      </c>
      <c r="U225" s="2"/>
      <c r="V225" s="6">
        <f t="shared" si="121"/>
        <v>1.0078757295127632E-3</v>
      </c>
      <c r="W225" s="2"/>
      <c r="X225" s="7">
        <f t="shared" si="122"/>
        <v>-378.8</v>
      </c>
      <c r="Y225" s="2"/>
      <c r="Z225" s="6">
        <f t="shared" si="123"/>
        <v>-0.84177777777777785</v>
      </c>
    </row>
    <row r="226" spans="1:26" s="27" customFormat="1" outlineLevel="1" collapsed="1" x14ac:dyDescent="0.25">
      <c r="A226" s="28"/>
      <c r="B226" s="14" t="str">
        <f>CONCATENATE("     ","Utilities                                         ")</f>
        <v xml:space="preserve">     Utilities                                         </v>
      </c>
      <c r="C226" s="14"/>
      <c r="D226" s="1">
        <f>SUM(OSRRefD22_26x_0)</f>
        <v>6595</v>
      </c>
      <c r="E226" s="1"/>
      <c r="F226" s="5">
        <f t="shared" ref="F226:F227" si="124">IF(D$12=0,0,D226/D$12)</f>
        <v>1.6055474476153322E-2</v>
      </c>
      <c r="G226" s="1"/>
      <c r="H226" s="1">
        <f>SUM(OSRRefH22_26x_0)</f>
        <v>6206</v>
      </c>
      <c r="I226" s="1"/>
      <c r="J226" s="5">
        <f t="shared" ref="J226:J227" si="125">IF(H$12=0,0,H226/H$12)</f>
        <v>1.3899726171902684E-2</v>
      </c>
      <c r="K226" s="1"/>
      <c r="L226" s="1">
        <f t="shared" ref="L226:L227" si="126">+D226-H226</f>
        <v>389</v>
      </c>
      <c r="M226" s="1"/>
      <c r="N226" s="5">
        <f t="shared" ref="N226:N227" si="127">IF(H226=0,0,L226/H226)</f>
        <v>6.2681276184337734E-2</v>
      </c>
      <c r="O226" s="14"/>
      <c r="P226" s="1">
        <f>SUM(OSRRefP22_26x_0)</f>
        <v>6595</v>
      </c>
      <c r="Q226" s="1"/>
      <c r="R226" s="5">
        <f t="shared" ref="R226:R227" si="128">IF(P$12=0,0,P226/P$12)</f>
        <v>1.6055474476153322E-2</v>
      </c>
      <c r="S226" s="1"/>
      <c r="T226" s="1">
        <f>SUM(OSRRefT22_26x_0)</f>
        <v>6206</v>
      </c>
      <c r="U226" s="1"/>
      <c r="V226" s="5">
        <f t="shared" ref="V226:V227" si="129">IF(T$12=0,0,T226/T$12)</f>
        <v>1.3899726171902684E-2</v>
      </c>
      <c r="W226" s="1"/>
      <c r="X226" s="1">
        <f t="shared" ref="X226:X227" si="130">+P226-T226</f>
        <v>389</v>
      </c>
      <c r="Y226" s="1"/>
      <c r="Z226" s="5">
        <f t="shared" ref="Z226:Z227" si="131">IF(T226=0,0,X226/T226)</f>
        <v>6.2681276184337734E-2</v>
      </c>
    </row>
    <row r="227" spans="1:26" s="24" customFormat="1" hidden="1" outlineLevel="2" x14ac:dyDescent="0.25">
      <c r="A227" s="29"/>
      <c r="B227" s="11" t="str">
        <f>CONCATENATE("          ", "6274", " - ", "UTILITIES")</f>
        <v xml:space="preserve">          6274 - UTILITIES</v>
      </c>
      <c r="C227" s="11"/>
      <c r="D227" s="7">
        <v>6595</v>
      </c>
      <c r="E227" s="2"/>
      <c r="F227" s="6">
        <f t="shared" si="124"/>
        <v>1.6055474476153322E-2</v>
      </c>
      <c r="G227" s="2"/>
      <c r="H227" s="7">
        <v>6206</v>
      </c>
      <c r="I227" s="2"/>
      <c r="J227" s="6">
        <f t="shared" si="125"/>
        <v>1.3899726171902684E-2</v>
      </c>
      <c r="K227" s="2"/>
      <c r="L227" s="7">
        <f t="shared" si="126"/>
        <v>389</v>
      </c>
      <c r="M227" s="2"/>
      <c r="N227" s="6">
        <f t="shared" si="127"/>
        <v>6.2681276184337734E-2</v>
      </c>
      <c r="O227" s="11"/>
      <c r="P227" s="7">
        <v>6595</v>
      </c>
      <c r="Q227" s="2"/>
      <c r="R227" s="6">
        <f t="shared" si="128"/>
        <v>1.6055474476153322E-2</v>
      </c>
      <c r="S227" s="2"/>
      <c r="T227" s="7">
        <v>6206</v>
      </c>
      <c r="U227" s="2"/>
      <c r="V227" s="6">
        <f t="shared" si="129"/>
        <v>1.3899726171902684E-2</v>
      </c>
      <c r="W227" s="2"/>
      <c r="X227" s="7">
        <f t="shared" si="130"/>
        <v>389</v>
      </c>
      <c r="Y227" s="2"/>
      <c r="Z227" s="6">
        <f t="shared" si="131"/>
        <v>6.2681276184337734E-2</v>
      </c>
    </row>
    <row r="228" spans="1:26" s="57" customFormat="1" x14ac:dyDescent="0.25">
      <c r="A228" s="36"/>
      <c r="B228" s="36"/>
      <c r="C228" s="36"/>
      <c r="D228" s="1"/>
      <c r="E228" s="1"/>
      <c r="F228" s="5"/>
      <c r="G228" s="1"/>
      <c r="H228" s="1"/>
      <c r="I228" s="1"/>
      <c r="J228" s="5"/>
      <c r="K228" s="1"/>
      <c r="L228" s="1"/>
      <c r="M228" s="1"/>
      <c r="N228" s="5"/>
      <c r="O228" s="36"/>
      <c r="P228" s="1"/>
      <c r="Q228" s="1"/>
      <c r="R228" s="5"/>
      <c r="S228" s="1"/>
      <c r="T228" s="1"/>
      <c r="U228" s="1"/>
      <c r="V228" s="5"/>
      <c r="W228" s="1"/>
      <c r="X228" s="1"/>
      <c r="Y228" s="1"/>
      <c r="Z228" s="5"/>
    </row>
    <row r="229" spans="1:26" s="23" customFormat="1" collapsed="1" x14ac:dyDescent="0.25">
      <c r="A229" s="10"/>
      <c r="B229" s="25" t="s">
        <v>0</v>
      </c>
      <c r="C229" s="10"/>
      <c r="D229" s="4">
        <f>SUM(OSRRefD25x_0)</f>
        <v>70867.109999999986</v>
      </c>
      <c r="E229" s="4"/>
      <c r="F229" s="12">
        <f t="shared" ref="F229:F234" si="132">IF(D$12=0,0,D229/D$12)</f>
        <v>0.17252540952293399</v>
      </c>
      <c r="G229" s="4"/>
      <c r="H229" s="4">
        <f>SUM(OSRRefH25x_0)</f>
        <v>59675</v>
      </c>
      <c r="I229" s="4"/>
      <c r="J229" s="12">
        <f t="shared" ref="J229:J234" si="133">IF(H$12=0,0,H229/H$12)</f>
        <v>0.13365552035260919</v>
      </c>
      <c r="K229" s="4"/>
      <c r="L229" s="4">
        <f t="shared" ref="L229:L234" si="134">+D229-H229</f>
        <v>11192.109999999986</v>
      </c>
      <c r="M229" s="4"/>
      <c r="N229" s="12">
        <f t="shared" ref="N229:N234" si="135">IF(H229=0,0,L229/H229)</f>
        <v>0.18755106828655194</v>
      </c>
      <c r="O229" s="10"/>
      <c r="P229" s="4">
        <f>SUM(OSRRefP25x_0)</f>
        <v>70867.109999999986</v>
      </c>
      <c r="Q229" s="4"/>
      <c r="R229" s="12">
        <f t="shared" ref="R229:R234" si="136">IF(P$12=0,0,P229/P$12)</f>
        <v>0.17252540952293399</v>
      </c>
      <c r="S229" s="4"/>
      <c r="T229" s="4">
        <f>SUM(OSRRefT25x_0)</f>
        <v>59675</v>
      </c>
      <c r="U229" s="4"/>
      <c r="V229" s="12">
        <f t="shared" ref="V229:V234" si="137">IF(T$12=0,0,T229/T$12)</f>
        <v>0.13365552035260919</v>
      </c>
      <c r="W229" s="4"/>
      <c r="X229" s="4">
        <f t="shared" ref="X229:X234" si="138">+P229-T229</f>
        <v>11192.109999999986</v>
      </c>
      <c r="Y229" s="4"/>
      <c r="Z229" s="12">
        <f t="shared" ref="Z229:Z234" si="139">IF(T229=0,0,X229/T229)</f>
        <v>0.18755106828655194</v>
      </c>
    </row>
    <row r="230" spans="1:26" s="24" customFormat="1" hidden="1" outlineLevel="1" x14ac:dyDescent="0.25">
      <c r="A230" s="51"/>
      <c r="B230" s="11" t="str">
        <f>CONCATENATE("          ", "4098", " - ", "TAXABLE SALES-GRAD RENTALS")</f>
        <v xml:space="preserve">          4098 - TAXABLE SALES-GRAD RENTALS</v>
      </c>
      <c r="C230" s="11"/>
      <c r="D230" s="2">
        <f>--74.7</f>
        <v>74.7</v>
      </c>
      <c r="E230" s="2"/>
      <c r="F230" s="22">
        <f t="shared" si="132"/>
        <v>1.818565494114713E-4</v>
      </c>
      <c r="G230" s="2"/>
      <c r="H230" s="2"/>
      <c r="I230" s="2"/>
      <c r="J230" s="22">
        <f t="shared" si="133"/>
        <v>0</v>
      </c>
      <c r="K230" s="2"/>
      <c r="L230" s="2">
        <f t="shared" si="134"/>
        <v>74.7</v>
      </c>
      <c r="M230" s="2"/>
      <c r="N230" s="22">
        <f t="shared" si="135"/>
        <v>0</v>
      </c>
      <c r="O230" s="11"/>
      <c r="P230" s="2">
        <f>--74.7</f>
        <v>74.7</v>
      </c>
      <c r="Q230" s="2"/>
      <c r="R230" s="22">
        <f t="shared" si="136"/>
        <v>1.818565494114713E-4</v>
      </c>
      <c r="S230" s="2"/>
      <c r="T230" s="2"/>
      <c r="U230" s="2"/>
      <c r="V230" s="22">
        <f t="shared" si="137"/>
        <v>0</v>
      </c>
      <c r="W230" s="2"/>
      <c r="X230" s="2">
        <f t="shared" si="138"/>
        <v>74.7</v>
      </c>
      <c r="Y230" s="2"/>
      <c r="Z230" s="22">
        <f t="shared" si="139"/>
        <v>0</v>
      </c>
    </row>
    <row r="231" spans="1:26" s="24" customFormat="1" hidden="1" outlineLevel="1" x14ac:dyDescent="0.25">
      <c r="A231" s="51"/>
      <c r="B231" s="11" t="str">
        <f>CONCATENATE("          ", "4198", " - ", "NON-TAXABLE SALES-GRAD RENTALS")</f>
        <v xml:space="preserve">          4198 - NON-TAXABLE SALES-GRAD RENTALS</v>
      </c>
      <c r="C231" s="11"/>
      <c r="D231" s="2">
        <f>--255</f>
        <v>255</v>
      </c>
      <c r="E231" s="2"/>
      <c r="F231" s="22">
        <f t="shared" si="132"/>
        <v>6.2079544979819527E-4</v>
      </c>
      <c r="G231" s="2"/>
      <c r="H231" s="2"/>
      <c r="I231" s="2"/>
      <c r="J231" s="22">
        <f t="shared" si="133"/>
        <v>0</v>
      </c>
      <c r="K231" s="2"/>
      <c r="L231" s="2">
        <f t="shared" si="134"/>
        <v>255</v>
      </c>
      <c r="M231" s="2"/>
      <c r="N231" s="22">
        <f t="shared" si="135"/>
        <v>0</v>
      </c>
      <c r="O231" s="11"/>
      <c r="P231" s="2">
        <f>--255</f>
        <v>255</v>
      </c>
      <c r="Q231" s="2"/>
      <c r="R231" s="22">
        <f t="shared" si="136"/>
        <v>6.2079544979819527E-4</v>
      </c>
      <c r="S231" s="2"/>
      <c r="T231" s="2"/>
      <c r="U231" s="2"/>
      <c r="V231" s="22">
        <f t="shared" si="137"/>
        <v>0</v>
      </c>
      <c r="W231" s="2"/>
      <c r="X231" s="2">
        <f t="shared" si="138"/>
        <v>255</v>
      </c>
      <c r="Y231" s="2"/>
      <c r="Z231" s="22">
        <f t="shared" si="139"/>
        <v>0</v>
      </c>
    </row>
    <row r="232" spans="1:26" s="24" customFormat="1" hidden="1" outlineLevel="1" x14ac:dyDescent="0.25">
      <c r="A232" s="51"/>
      <c r="B232" s="11" t="str">
        <f>CONCATENATE("          ", "9150", " - ", "MISC. INCOME")</f>
        <v xml:space="preserve">          9150 - MISC. INCOME</v>
      </c>
      <c r="C232" s="11"/>
      <c r="D232" s="2">
        <f>--70631.9</f>
        <v>70631.899999999994</v>
      </c>
      <c r="E232" s="2"/>
      <c r="F232" s="22">
        <f t="shared" si="132"/>
        <v>0.17195279266902408</v>
      </c>
      <c r="G232" s="2"/>
      <c r="H232" s="2">
        <v>29225</v>
      </c>
      <c r="I232" s="2"/>
      <c r="J232" s="22">
        <f t="shared" si="133"/>
        <v>6.545592932224556E-2</v>
      </c>
      <c r="K232" s="2"/>
      <c r="L232" s="2">
        <f t="shared" si="134"/>
        <v>41406.899999999994</v>
      </c>
      <c r="M232" s="2"/>
      <c r="N232" s="22">
        <f t="shared" si="135"/>
        <v>1.416831479897348</v>
      </c>
      <c r="O232" s="11"/>
      <c r="P232" s="2">
        <f>--70631.9</f>
        <v>70631.899999999994</v>
      </c>
      <c r="Q232" s="2"/>
      <c r="R232" s="22">
        <f t="shared" si="136"/>
        <v>0.17195279266902408</v>
      </c>
      <c r="S232" s="2"/>
      <c r="T232" s="2">
        <v>29225</v>
      </c>
      <c r="U232" s="2"/>
      <c r="V232" s="22">
        <f t="shared" si="137"/>
        <v>6.545592932224556E-2</v>
      </c>
      <c r="W232" s="2"/>
      <c r="X232" s="2">
        <f t="shared" si="138"/>
        <v>41406.899999999994</v>
      </c>
      <c r="Y232" s="2"/>
      <c r="Z232" s="22">
        <f t="shared" si="139"/>
        <v>1.416831479897348</v>
      </c>
    </row>
    <row r="233" spans="1:26" s="24" customFormat="1" hidden="1" outlineLevel="1" x14ac:dyDescent="0.25">
      <c r="A233" s="51"/>
      <c r="B233" s="11" t="str">
        <f>CONCATENATE("          ", "9151", " - ", "MISC. INCOME")</f>
        <v xml:space="preserve">          9151 - MISC. INCOME</v>
      </c>
      <c r="C233" s="11"/>
      <c r="D233" s="2">
        <f>-94.49</f>
        <v>-94.49</v>
      </c>
      <c r="E233" s="2"/>
      <c r="F233" s="22">
        <f t="shared" si="132"/>
        <v>-2.3003514529973122E-4</v>
      </c>
      <c r="G233" s="2"/>
      <c r="H233" s="2">
        <v>12850</v>
      </c>
      <c r="I233" s="2"/>
      <c r="J233" s="22">
        <f t="shared" si="133"/>
        <v>2.8780451387197793E-2</v>
      </c>
      <c r="K233" s="2"/>
      <c r="L233" s="2">
        <f t="shared" si="134"/>
        <v>-12944.49</v>
      </c>
      <c r="M233" s="2"/>
      <c r="N233" s="22">
        <f t="shared" si="135"/>
        <v>-1.0073533073929961</v>
      </c>
      <c r="O233" s="11"/>
      <c r="P233" s="2">
        <f>-94.49</f>
        <v>-94.49</v>
      </c>
      <c r="Q233" s="2"/>
      <c r="R233" s="22">
        <f t="shared" si="136"/>
        <v>-2.3003514529973122E-4</v>
      </c>
      <c r="S233" s="2"/>
      <c r="T233" s="2">
        <v>12850</v>
      </c>
      <c r="U233" s="2"/>
      <c r="V233" s="22">
        <f t="shared" si="137"/>
        <v>2.8780451387197793E-2</v>
      </c>
      <c r="W233" s="2"/>
      <c r="X233" s="2">
        <f t="shared" si="138"/>
        <v>-12944.49</v>
      </c>
      <c r="Y233" s="2"/>
      <c r="Z233" s="22">
        <f t="shared" si="139"/>
        <v>-1.0073533073929961</v>
      </c>
    </row>
    <row r="234" spans="1:26" s="24" customFormat="1" hidden="1" outlineLevel="1" x14ac:dyDescent="0.25">
      <c r="A234" s="51"/>
      <c r="B234" s="11" t="str">
        <f>CONCATENATE("          ", "9160", " - ", "MISC. INCOME")</f>
        <v xml:space="preserve">          9160 - MISC. INCOME</v>
      </c>
      <c r="C234" s="11"/>
      <c r="D234" s="2">
        <f>0</f>
        <v>0</v>
      </c>
      <c r="E234" s="2"/>
      <c r="F234" s="22">
        <f t="shared" si="132"/>
        <v>0</v>
      </c>
      <c r="G234" s="2"/>
      <c r="H234" s="2">
        <v>17600</v>
      </c>
      <c r="I234" s="2"/>
      <c r="J234" s="22">
        <f t="shared" si="133"/>
        <v>3.9419139643165846E-2</v>
      </c>
      <c r="K234" s="2"/>
      <c r="L234" s="2">
        <f t="shared" si="134"/>
        <v>-17600</v>
      </c>
      <c r="M234" s="2"/>
      <c r="N234" s="22">
        <f t="shared" si="135"/>
        <v>-1</v>
      </c>
      <c r="O234" s="11"/>
      <c r="P234" s="2">
        <f>0</f>
        <v>0</v>
      </c>
      <c r="Q234" s="2"/>
      <c r="R234" s="22">
        <f t="shared" si="136"/>
        <v>0</v>
      </c>
      <c r="S234" s="2"/>
      <c r="T234" s="2">
        <v>17600</v>
      </c>
      <c r="U234" s="2"/>
      <c r="V234" s="22">
        <f t="shared" si="137"/>
        <v>3.9419139643165846E-2</v>
      </c>
      <c r="W234" s="2"/>
      <c r="X234" s="2">
        <f t="shared" si="138"/>
        <v>-17600</v>
      </c>
      <c r="Y234" s="2"/>
      <c r="Z234" s="22">
        <f t="shared" si="139"/>
        <v>-1</v>
      </c>
    </row>
    <row r="235" spans="1:26" x14ac:dyDescent="0.25">
      <c r="A235" s="9"/>
      <c r="B235" s="10"/>
      <c r="C235" s="10"/>
      <c r="D235" s="3"/>
      <c r="E235" s="3"/>
      <c r="F235" s="8"/>
      <c r="G235" s="3"/>
      <c r="H235" s="3"/>
      <c r="I235" s="3"/>
      <c r="J235" s="8"/>
      <c r="K235" s="3"/>
      <c r="L235" s="3"/>
      <c r="M235" s="3"/>
      <c r="N235" s="8"/>
      <c r="O235" s="10"/>
      <c r="P235" s="3"/>
      <c r="Q235" s="3"/>
      <c r="R235" s="8"/>
      <c r="S235" s="3"/>
      <c r="T235" s="3"/>
      <c r="U235" s="3"/>
      <c r="V235" s="8"/>
      <c r="W235" s="3"/>
      <c r="X235" s="3"/>
      <c r="Y235" s="3"/>
      <c r="Z235" s="8"/>
    </row>
    <row r="236" spans="1:26" s="23" customFormat="1" x14ac:dyDescent="0.25">
      <c r="A236" s="10"/>
      <c r="B236" s="26" t="s">
        <v>3</v>
      </c>
      <c r="C236" s="26"/>
      <c r="D236" s="21">
        <f>+D126-D128+D229</f>
        <v>-178047.28999999978</v>
      </c>
      <c r="E236" s="13"/>
      <c r="F236" s="19">
        <f>IF(D$12=0,0,D236/D$12)</f>
        <v>-0.43345469600352771</v>
      </c>
      <c r="G236" s="13"/>
      <c r="H236" s="21">
        <f>+H126-H128+H229</f>
        <v>-234367.2206596621</v>
      </c>
      <c r="I236" s="13"/>
      <c r="J236" s="19">
        <f>IF(H$12=0,0,H236/H$12)</f>
        <v>-0.52491785221385701</v>
      </c>
      <c r="K236" s="15"/>
      <c r="L236" s="21">
        <f>+D236-H236</f>
        <v>56319.930659662321</v>
      </c>
      <c r="M236" s="15"/>
      <c r="N236" s="19">
        <f>IF(H236=0,0,L236/H236)</f>
        <v>-0.24030634702729048</v>
      </c>
      <c r="O236" s="25"/>
      <c r="P236" s="21">
        <f>+P126-P128+P229</f>
        <v>-178047.28999999978</v>
      </c>
      <c r="Q236" s="13"/>
      <c r="R236" s="19">
        <f>IF(P$12=0,0,P236/P$12)</f>
        <v>-0.43345469600352771</v>
      </c>
      <c r="S236" s="13"/>
      <c r="T236" s="21">
        <f>+T126-T128+T229</f>
        <v>-234367.2206596621</v>
      </c>
      <c r="U236" s="13"/>
      <c r="V236" s="19">
        <f>IF(T$12=0,0,T236/T$12)</f>
        <v>-0.52491785221385701</v>
      </c>
      <c r="W236" s="15"/>
      <c r="X236" s="21">
        <f>+P236-T236</f>
        <v>56319.930659662321</v>
      </c>
      <c r="Y236" s="15"/>
      <c r="Z236" s="19">
        <f>IF(T236=0,0,X236/T236)</f>
        <v>-0.24030634702729048</v>
      </c>
    </row>
    <row r="237" spans="1:26" x14ac:dyDescent="0.25">
      <c r="A237" s="9"/>
      <c r="B237" s="10"/>
      <c r="C237" s="9"/>
      <c r="D237" s="3"/>
      <c r="E237" s="3"/>
      <c r="F237" s="8"/>
      <c r="G237" s="3"/>
      <c r="H237" s="3"/>
      <c r="I237" s="3"/>
      <c r="J237" s="8"/>
      <c r="K237" s="3"/>
      <c r="L237" s="3"/>
      <c r="M237" s="3"/>
      <c r="N237" s="8"/>
      <c r="P237" s="3"/>
      <c r="Q237" s="3"/>
      <c r="R237" s="8"/>
      <c r="S237" s="3"/>
      <c r="T237" s="3"/>
      <c r="U237" s="3"/>
      <c r="V237" s="8"/>
      <c r="W237" s="3"/>
      <c r="X237" s="3"/>
      <c r="Y237" s="3"/>
      <c r="Z237" s="8"/>
    </row>
    <row r="238" spans="1:26" s="23" customFormat="1" x14ac:dyDescent="0.25">
      <c r="A238" s="52"/>
      <c r="B238" s="10" t="s">
        <v>14</v>
      </c>
      <c r="C238" s="10"/>
      <c r="D238" s="4">
        <v>85409.799999999988</v>
      </c>
      <c r="E238" s="4"/>
      <c r="F238" s="12">
        <f>IF(D$12=0,0,D238/D$12)</f>
        <v>0.20792947140460347</v>
      </c>
      <c r="G238" s="4"/>
      <c r="H238" s="4">
        <v>108811</v>
      </c>
      <c r="I238" s="4"/>
      <c r="J238" s="12">
        <f>IF(H$12=0,0,H238/H$12)</f>
        <v>0.24370659112002949</v>
      </c>
      <c r="K238" s="4"/>
      <c r="L238" s="4">
        <f>+D238-H238</f>
        <v>-23401.200000000012</v>
      </c>
      <c r="M238" s="4"/>
      <c r="N238" s="12">
        <f>IF(H238=0,0,L238/H238)</f>
        <v>-0.21506281534036092</v>
      </c>
      <c r="O238" s="10"/>
      <c r="P238" s="4">
        <v>85409.799999999988</v>
      </c>
      <c r="Q238" s="4"/>
      <c r="R238" s="12">
        <f>IF(P$12=0,0,P238/P$12)</f>
        <v>0.20792947140460347</v>
      </c>
      <c r="S238" s="4"/>
      <c r="T238" s="4">
        <v>108811</v>
      </c>
      <c r="U238" s="4"/>
      <c r="V238" s="12">
        <f>IF(T$12=0,0,T238/T$12)</f>
        <v>0.24370659112002949</v>
      </c>
      <c r="W238" s="4"/>
      <c r="X238" s="4">
        <f>+P238-T238</f>
        <v>-23401.200000000012</v>
      </c>
      <c r="Y238" s="4"/>
      <c r="Z238" s="12">
        <f>IF(T238=0,0,X238/T238)</f>
        <v>-0.21506281534036092</v>
      </c>
    </row>
    <row r="239" spans="1:26" x14ac:dyDescent="0.25">
      <c r="A239" s="9"/>
      <c r="B239" s="10"/>
      <c r="C239" s="10"/>
      <c r="D239" s="3"/>
      <c r="E239" s="3"/>
      <c r="F239" s="8"/>
      <c r="G239" s="3"/>
      <c r="H239" s="3"/>
      <c r="I239" s="3"/>
      <c r="J239" s="8"/>
      <c r="K239" s="3"/>
      <c r="L239" s="3"/>
      <c r="M239" s="3"/>
      <c r="N239" s="8"/>
      <c r="O239" s="10"/>
      <c r="P239" s="3"/>
      <c r="Q239" s="3"/>
      <c r="R239" s="8"/>
      <c r="S239" s="3"/>
      <c r="T239" s="3"/>
      <c r="U239" s="3"/>
      <c r="V239" s="8"/>
      <c r="W239" s="3"/>
      <c r="X239" s="3"/>
      <c r="Y239" s="3"/>
      <c r="Z239" s="8"/>
    </row>
    <row r="240" spans="1:26" s="23" customFormat="1" ht="15.75" thickBot="1" x14ac:dyDescent="0.3">
      <c r="A240" s="10"/>
      <c r="B240" s="26" t="s">
        <v>4</v>
      </c>
      <c r="C240" s="26"/>
      <c r="D240" s="32">
        <f>+D236-D238</f>
        <v>-263457.08999999973</v>
      </c>
      <c r="E240" s="13"/>
      <c r="F240" s="31">
        <f>IF(D$12=0,0,D240/D$12)</f>
        <v>-0.64138416740813109</v>
      </c>
      <c r="G240" s="13"/>
      <c r="H240" s="32">
        <f>+H236-H238</f>
        <v>-343178.2206596621</v>
      </c>
      <c r="I240" s="13"/>
      <c r="J240" s="31">
        <f>IF(H$12=0,0,H240/H$12)</f>
        <v>-0.76862444333388658</v>
      </c>
      <c r="K240" s="15"/>
      <c r="L240" s="32">
        <f>D240-H240</f>
        <v>79721.130659662362</v>
      </c>
      <c r="M240" s="15"/>
      <c r="N240" s="31">
        <f>IF(H240=0,0,L240/H240)</f>
        <v>-0.23230241856963202</v>
      </c>
      <c r="O240" s="25"/>
      <c r="P240" s="32">
        <f>+P236-P238</f>
        <v>-263457.08999999973</v>
      </c>
      <c r="Q240" s="13"/>
      <c r="R240" s="31">
        <f>IF(P$12=0,0,P240/P$12)</f>
        <v>-0.64138416740813109</v>
      </c>
      <c r="S240" s="13"/>
      <c r="T240" s="32">
        <f>+T236-T238</f>
        <v>-343178.2206596621</v>
      </c>
      <c r="U240" s="13"/>
      <c r="V240" s="31">
        <f>IF(T$12=0,0,T240/T$12)</f>
        <v>-0.76862444333388658</v>
      </c>
      <c r="W240" s="15"/>
      <c r="X240" s="32">
        <f>P240-T240</f>
        <v>79721.130659662362</v>
      </c>
      <c r="Y240" s="15"/>
      <c r="Z240" s="31">
        <f>IF(T240=0,0,X240/T240)</f>
        <v>-0.23230241856963202</v>
      </c>
    </row>
    <row r="241" spans="1:26" ht="15.75" thickTop="1" x14ac:dyDescent="0.25">
      <c r="A241" s="9"/>
      <c r="B241" s="9"/>
      <c r="C241" s="9"/>
      <c r="D241" s="3"/>
      <c r="E241" s="3"/>
      <c r="F241" s="8"/>
      <c r="G241" s="3"/>
      <c r="H241" s="3"/>
      <c r="I241" s="3"/>
      <c r="J241" s="8"/>
      <c r="K241" s="3"/>
      <c r="L241" s="3"/>
      <c r="M241" s="3"/>
      <c r="N241" s="8"/>
      <c r="P241" s="3"/>
      <c r="Q241" s="3"/>
      <c r="R241" s="8"/>
      <c r="S241" s="3"/>
      <c r="T241" s="3"/>
      <c r="U241" s="3"/>
      <c r="V241" s="8"/>
      <c r="W241" s="3"/>
      <c r="X241" s="3"/>
      <c r="Y241" s="3"/>
      <c r="Z241" s="8"/>
    </row>
    <row r="242" spans="1:26" x14ac:dyDescent="0.25">
      <c r="A242" s="9"/>
      <c r="B242" s="9"/>
      <c r="C242" s="9"/>
      <c r="D242" s="3"/>
      <c r="E242" s="3"/>
      <c r="F242" s="8"/>
      <c r="G242" s="3"/>
      <c r="H242" s="3"/>
      <c r="I242" s="3"/>
      <c r="J242" s="8"/>
      <c r="K242" s="3"/>
      <c r="L242" s="3"/>
      <c r="M242" s="3"/>
      <c r="N242" s="8"/>
      <c r="P242" s="3"/>
      <c r="Q242" s="3"/>
      <c r="R242" s="8"/>
      <c r="S242" s="3"/>
      <c r="T242" s="3"/>
      <c r="U242" s="3"/>
      <c r="V242" s="8"/>
      <c r="W242" s="3"/>
      <c r="X242" s="3"/>
      <c r="Y242" s="3"/>
      <c r="Z242" s="8"/>
    </row>
    <row r="243" spans="1:26" s="23" customFormat="1" ht="15.75" thickBot="1" x14ac:dyDescent="0.3">
      <c r="A243" s="10"/>
      <c r="B243" s="26" t="s">
        <v>5</v>
      </c>
      <c r="C243" s="26"/>
      <c r="D243" s="33">
        <f>SUM(D240:D242)</f>
        <v>-263457.08999999973</v>
      </c>
      <c r="E243" s="13"/>
      <c r="F243" s="34">
        <f>IF(D$12=0,0,D243/D$12)</f>
        <v>-0.64138416740813109</v>
      </c>
      <c r="G243" s="13"/>
      <c r="H243" s="33">
        <f>SUM(H240:H242)</f>
        <v>-343178.2206596621</v>
      </c>
      <c r="I243" s="13"/>
      <c r="J243" s="34">
        <f>IF(H$12=0,0,H243/H$12)</f>
        <v>-0.76862444333388658</v>
      </c>
      <c r="K243" s="15"/>
      <c r="L243" s="33">
        <f>+D243-H243</f>
        <v>79721.130659662362</v>
      </c>
      <c r="M243" s="15"/>
      <c r="N243" s="34">
        <f>IF(H243=0,0,L243/H243)</f>
        <v>-0.23230241856963202</v>
      </c>
      <c r="O243" s="25"/>
      <c r="P243" s="33">
        <f>SUM(P240:P242)</f>
        <v>-263457.08999999973</v>
      </c>
      <c r="Q243" s="13"/>
      <c r="R243" s="34">
        <f>IF(P$12=0,0,P243/P$12)</f>
        <v>-0.64138416740813109</v>
      </c>
      <c r="S243" s="13"/>
      <c r="T243" s="33">
        <f>SUM(T240:T242)</f>
        <v>-343178.2206596621</v>
      </c>
      <c r="U243" s="13"/>
      <c r="V243" s="34">
        <f>IF(T$12=0,0,T243/T$12)</f>
        <v>-0.76862444333388658</v>
      </c>
      <c r="W243" s="15"/>
      <c r="X243" s="33">
        <f>+P243-T243</f>
        <v>79721.130659662362</v>
      </c>
      <c r="Y243" s="15"/>
      <c r="Z243" s="34">
        <f>IF(T243=0,0,X243/T243)</f>
        <v>-0.23230241856963202</v>
      </c>
    </row>
    <row r="244" spans="1:26" ht="15.75" thickTop="1" x14ac:dyDescent="0.25">
      <c r="A244" s="9"/>
      <c r="C244" s="9"/>
      <c r="D244" s="17"/>
      <c r="E244" s="17"/>
      <c r="G244" s="17"/>
      <c r="H244" s="17"/>
      <c r="I244" s="17"/>
      <c r="J244" s="42"/>
      <c r="K244" s="17"/>
      <c r="L244" s="17"/>
      <c r="M244" s="17"/>
      <c r="P244" s="17"/>
      <c r="Q244" s="17"/>
      <c r="R244" s="42"/>
      <c r="S244" s="17"/>
      <c r="T244" s="17"/>
      <c r="U244" s="17"/>
      <c r="V244" s="42"/>
      <c r="W244" s="17"/>
      <c r="X244" s="17"/>
    </row>
    <row r="245" spans="1:26" x14ac:dyDescent="0.25">
      <c r="A245" s="9"/>
      <c r="B245" s="61">
        <v>43726.678116863426</v>
      </c>
      <c r="D245" s="17"/>
      <c r="E245" s="17"/>
      <c r="G245" s="17"/>
      <c r="H245" s="17"/>
      <c r="I245" s="17"/>
      <c r="J245" s="42"/>
      <c r="K245" s="17"/>
      <c r="L245" s="17"/>
      <c r="M245" s="17"/>
      <c r="P245" s="17"/>
      <c r="Q245" s="17"/>
      <c r="R245" s="42"/>
      <c r="S245" s="17"/>
      <c r="T245" s="17"/>
      <c r="U245" s="17"/>
      <c r="V245" s="42"/>
      <c r="W245" s="17"/>
      <c r="X245" s="17"/>
    </row>
    <row r="246" spans="1:26" x14ac:dyDescent="0.25">
      <c r="A246" s="9"/>
      <c r="B246" s="56" t="s">
        <v>314</v>
      </c>
      <c r="D246" s="17"/>
      <c r="E246" s="17"/>
      <c r="G246" s="17"/>
      <c r="H246" s="17"/>
      <c r="I246" s="17"/>
      <c r="J246" s="42"/>
      <c r="K246" s="17"/>
      <c r="L246" s="17"/>
      <c r="M246" s="17"/>
      <c r="P246" s="17"/>
      <c r="Q246" s="17"/>
      <c r="R246" s="42"/>
      <c r="S246" s="17"/>
      <c r="T246" s="17"/>
      <c r="U246" s="17"/>
      <c r="V246" s="42"/>
      <c r="W246" s="17"/>
      <c r="X246" s="17"/>
    </row>
    <row r="247" spans="1:26" x14ac:dyDescent="0.25">
      <c r="A247" s="9"/>
      <c r="B247" s="53"/>
      <c r="D247" s="17"/>
      <c r="E247" s="17"/>
      <c r="G247" s="17"/>
      <c r="H247" s="17"/>
      <c r="I247" s="17"/>
      <c r="J247" s="42"/>
      <c r="K247" s="17"/>
      <c r="L247" s="17"/>
      <c r="M247" s="17"/>
      <c r="P247" s="17"/>
      <c r="Q247" s="17"/>
      <c r="R247" s="42"/>
      <c r="S247" s="17"/>
      <c r="T247" s="17"/>
      <c r="U247" s="17"/>
      <c r="V247" s="42"/>
      <c r="W247" s="17"/>
      <c r="X247" s="17"/>
    </row>
    <row r="248" spans="1:26" x14ac:dyDescent="0.25">
      <c r="D248" s="17"/>
      <c r="E248" s="17"/>
      <c r="G248" s="17"/>
      <c r="H248" s="17"/>
      <c r="I248" s="17"/>
      <c r="J248" s="42"/>
      <c r="K248" s="17"/>
      <c r="L248" s="17"/>
      <c r="M248" s="17"/>
      <c r="P248" s="17"/>
      <c r="Q248" s="17"/>
      <c r="R248" s="42"/>
      <c r="S248" s="17"/>
      <c r="T248" s="17"/>
      <c r="U248" s="17"/>
      <c r="V248" s="42"/>
      <c r="W248" s="17"/>
      <c r="X248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351938.38</v>
      </c>
      <c r="E12" s="4"/>
      <c r="F12" s="12"/>
      <c r="G12" s="4"/>
      <c r="H12" s="4">
        <f>SUM(OSRRefH13x_0)</f>
        <v>386649.41581000003</v>
      </c>
      <c r="I12" s="4"/>
      <c r="J12" s="12"/>
      <c r="K12" s="4"/>
      <c r="L12" s="4">
        <f t="shared" ref="L12:L79" si="0">+D12-H12</f>
        <v>-34711.03581000003</v>
      </c>
      <c r="M12" s="4"/>
      <c r="N12" s="12">
        <f t="shared" ref="N12:N79" si="1">IF(H12=0,0,L12/H12)</f>
        <v>-8.9773925397722762E-2</v>
      </c>
      <c r="O12" s="10"/>
      <c r="P12" s="4">
        <f>SUM(OSRRefP13x_0)</f>
        <v>351938.38</v>
      </c>
      <c r="Q12" s="4"/>
      <c r="R12" s="12"/>
      <c r="S12" s="4"/>
      <c r="T12" s="4">
        <f>SUM(OSRRefT13x_0)</f>
        <v>386649.41581000003</v>
      </c>
      <c r="U12" s="4"/>
      <c r="V12" s="12"/>
      <c r="W12" s="4"/>
      <c r="X12" s="4">
        <f t="shared" ref="X12:X79" si="2">+P12-T12</f>
        <v>-34711.03581000003</v>
      </c>
      <c r="Y12" s="4"/>
      <c r="Z12" s="12">
        <f t="shared" ref="Z12:Z79" si="3">IF(T12=0,0,X12/T12)</f>
        <v>-8.9773925397722762E-2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254309.41581000001</v>
      </c>
      <c r="I13" s="2"/>
      <c r="J13" s="22"/>
      <c r="K13" s="2"/>
      <c r="L13" s="2">
        <f t="shared" si="0"/>
        <v>-254309.41581000001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254309.41581000001</v>
      </c>
      <c r="U13" s="2"/>
      <c r="V13" s="22"/>
      <c r="W13" s="2"/>
      <c r="X13" s="2">
        <f t="shared" si="2"/>
        <v>-254309.41581000001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--36312.25</f>
        <v>36312.25</v>
      </c>
      <c r="E14" s="2"/>
      <c r="F14" s="22"/>
      <c r="G14" s="2"/>
      <c r="H14" s="2"/>
      <c r="I14" s="2"/>
      <c r="J14" s="22"/>
      <c r="K14" s="2"/>
      <c r="L14" s="2">
        <f t="shared" si="0"/>
        <v>36312.25</v>
      </c>
      <c r="M14" s="2"/>
      <c r="N14" s="22">
        <f t="shared" si="1"/>
        <v>0</v>
      </c>
      <c r="O14" s="11"/>
      <c r="P14" s="2">
        <f>--36312.25</f>
        <v>36312.25</v>
      </c>
      <c r="Q14" s="2"/>
      <c r="R14" s="22"/>
      <c r="S14" s="2"/>
      <c r="T14" s="2"/>
      <c r="U14" s="2"/>
      <c r="V14" s="22"/>
      <c r="W14" s="2"/>
      <c r="X14" s="2">
        <f t="shared" si="2"/>
        <v>36312.25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--21794.81</f>
        <v>21794.81</v>
      </c>
      <c r="E15" s="2"/>
      <c r="F15" s="22"/>
      <c r="G15" s="2"/>
      <c r="H15" s="2"/>
      <c r="I15" s="2"/>
      <c r="J15" s="22"/>
      <c r="K15" s="2"/>
      <c r="L15" s="2">
        <f t="shared" si="0"/>
        <v>21794.81</v>
      </c>
      <c r="M15" s="2"/>
      <c r="N15" s="22">
        <f t="shared" si="1"/>
        <v>0</v>
      </c>
      <c r="O15" s="11"/>
      <c r="P15" s="2">
        <f>--21794.81</f>
        <v>21794.81</v>
      </c>
      <c r="Q15" s="2"/>
      <c r="R15" s="22"/>
      <c r="S15" s="2"/>
      <c r="T15" s="2"/>
      <c r="U15" s="2"/>
      <c r="V15" s="22"/>
      <c r="W15" s="2"/>
      <c r="X15" s="2">
        <f t="shared" si="2"/>
        <v>21794.81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--433.98</f>
        <v>433.98</v>
      </c>
      <c r="E16" s="2"/>
      <c r="F16" s="22"/>
      <c r="G16" s="2"/>
      <c r="H16" s="2"/>
      <c r="I16" s="2"/>
      <c r="J16" s="22"/>
      <c r="K16" s="2"/>
      <c r="L16" s="2">
        <f t="shared" si="0"/>
        <v>433.98</v>
      </c>
      <c r="M16" s="2"/>
      <c r="N16" s="22">
        <f t="shared" si="1"/>
        <v>0</v>
      </c>
      <c r="O16" s="11"/>
      <c r="P16" s="2">
        <f>--433.98</f>
        <v>433.98</v>
      </c>
      <c r="Q16" s="2"/>
      <c r="R16" s="22"/>
      <c r="S16" s="2"/>
      <c r="T16" s="2"/>
      <c r="U16" s="2"/>
      <c r="V16" s="22"/>
      <c r="W16" s="2"/>
      <c r="X16" s="2">
        <f t="shared" si="2"/>
        <v>433.98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--133.35</f>
        <v>133.35</v>
      </c>
      <c r="E17" s="2"/>
      <c r="F17" s="22"/>
      <c r="G17" s="2"/>
      <c r="H17" s="2"/>
      <c r="I17" s="2"/>
      <c r="J17" s="22"/>
      <c r="K17" s="2"/>
      <c r="L17" s="2">
        <f t="shared" si="0"/>
        <v>133.35</v>
      </c>
      <c r="M17" s="2"/>
      <c r="N17" s="22">
        <f t="shared" si="1"/>
        <v>0</v>
      </c>
      <c r="O17" s="11"/>
      <c r="P17" s="2">
        <f>--133.35</f>
        <v>133.35</v>
      </c>
      <c r="Q17" s="2"/>
      <c r="R17" s="22"/>
      <c r="S17" s="2"/>
      <c r="T17" s="2"/>
      <c r="U17" s="2"/>
      <c r="V17" s="22"/>
      <c r="W17" s="2"/>
      <c r="X17" s="2">
        <f t="shared" si="2"/>
        <v>133.35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--39.95</f>
        <v>39.950000000000003</v>
      </c>
      <c r="E18" s="2"/>
      <c r="F18" s="22"/>
      <c r="G18" s="2"/>
      <c r="H18" s="2"/>
      <c r="I18" s="2"/>
      <c r="J18" s="22"/>
      <c r="K18" s="2"/>
      <c r="L18" s="2">
        <f t="shared" si="0"/>
        <v>39.950000000000003</v>
      </c>
      <c r="M18" s="2"/>
      <c r="N18" s="22">
        <f t="shared" si="1"/>
        <v>0</v>
      </c>
      <c r="O18" s="11"/>
      <c r="P18" s="2">
        <f>--39.95</f>
        <v>39.950000000000003</v>
      </c>
      <c r="Q18" s="2"/>
      <c r="R18" s="22"/>
      <c r="S18" s="2"/>
      <c r="T18" s="2"/>
      <c r="U18" s="2"/>
      <c r="V18" s="22"/>
      <c r="W18" s="2"/>
      <c r="X18" s="2">
        <f t="shared" si="2"/>
        <v>39.950000000000003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--250.65</f>
        <v>250.65</v>
      </c>
      <c r="E19" s="2"/>
      <c r="F19" s="22"/>
      <c r="G19" s="2"/>
      <c r="H19" s="2"/>
      <c r="I19" s="2"/>
      <c r="J19" s="22"/>
      <c r="K19" s="2"/>
      <c r="L19" s="2">
        <f t="shared" si="0"/>
        <v>250.65</v>
      </c>
      <c r="M19" s="2"/>
      <c r="N19" s="22">
        <f t="shared" si="1"/>
        <v>0</v>
      </c>
      <c r="O19" s="11"/>
      <c r="P19" s="2">
        <f>--250.65</f>
        <v>250.65</v>
      </c>
      <c r="Q19" s="2"/>
      <c r="R19" s="22"/>
      <c r="S19" s="2"/>
      <c r="T19" s="2"/>
      <c r="U19" s="2"/>
      <c r="V19" s="22"/>
      <c r="W19" s="2"/>
      <c r="X19" s="2">
        <f t="shared" si="2"/>
        <v>250.65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--4.47</f>
        <v>4.47</v>
      </c>
      <c r="E20" s="2"/>
      <c r="F20" s="22"/>
      <c r="G20" s="2"/>
      <c r="H20" s="2"/>
      <c r="I20" s="2"/>
      <c r="J20" s="22"/>
      <c r="K20" s="2"/>
      <c r="L20" s="2">
        <f t="shared" si="0"/>
        <v>4.47</v>
      </c>
      <c r="M20" s="2"/>
      <c r="N20" s="22">
        <f t="shared" si="1"/>
        <v>0</v>
      </c>
      <c r="O20" s="11"/>
      <c r="P20" s="2">
        <f>--4.47</f>
        <v>4.47</v>
      </c>
      <c r="Q20" s="2"/>
      <c r="R20" s="22"/>
      <c r="S20" s="2"/>
      <c r="T20" s="2"/>
      <c r="U20" s="2"/>
      <c r="V20" s="22"/>
      <c r="W20" s="2"/>
      <c r="X20" s="2">
        <f t="shared" si="2"/>
        <v>4.47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"4018", " - ", "TAXABLE SALES-STUDY GUIDES")</f>
        <v xml:space="preserve">          4018 - TAXABLE SALES-STUDY GUIDES</v>
      </c>
      <c r="C21" s="11"/>
      <c r="D21" s="2">
        <f>--179.29</f>
        <v>179.29</v>
      </c>
      <c r="E21" s="2"/>
      <c r="F21" s="22"/>
      <c r="G21" s="2"/>
      <c r="H21" s="2"/>
      <c r="I21" s="2"/>
      <c r="J21" s="22"/>
      <c r="K21" s="2"/>
      <c r="L21" s="2">
        <f t="shared" si="0"/>
        <v>179.29</v>
      </c>
      <c r="M21" s="2"/>
      <c r="N21" s="22">
        <f t="shared" si="1"/>
        <v>0</v>
      </c>
      <c r="O21" s="11"/>
      <c r="P21" s="2">
        <f>--179.29</f>
        <v>179.29</v>
      </c>
      <c r="Q21" s="2"/>
      <c r="R21" s="22"/>
      <c r="S21" s="2"/>
      <c r="T21" s="2"/>
      <c r="U21" s="2"/>
      <c r="V21" s="22"/>
      <c r="W21" s="2"/>
      <c r="X21" s="2">
        <f t="shared" si="2"/>
        <v>179.29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"4025", " - ", "TAXABLE SALES-TEST FORMS")</f>
        <v xml:space="preserve">          4025 - TAXABLE SALES-TEST FORMS</v>
      </c>
      <c r="C22" s="11"/>
      <c r="D22" s="2">
        <f>--392.29</f>
        <v>392.29</v>
      </c>
      <c r="E22" s="2"/>
      <c r="F22" s="22"/>
      <c r="G22" s="2"/>
      <c r="H22" s="2"/>
      <c r="I22" s="2"/>
      <c r="J22" s="22"/>
      <c r="K22" s="2"/>
      <c r="L22" s="2">
        <f t="shared" si="0"/>
        <v>392.29</v>
      </c>
      <c r="M22" s="2"/>
      <c r="N22" s="22">
        <f t="shared" si="1"/>
        <v>0</v>
      </c>
      <c r="O22" s="11"/>
      <c r="P22" s="2">
        <f>--392.29</f>
        <v>392.29</v>
      </c>
      <c r="Q22" s="2"/>
      <c r="R22" s="22"/>
      <c r="S22" s="2"/>
      <c r="T22" s="2"/>
      <c r="U22" s="2"/>
      <c r="V22" s="22"/>
      <c r="W22" s="2"/>
      <c r="X22" s="2">
        <f t="shared" si="2"/>
        <v>392.29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--1935.51</f>
        <v>1935.51</v>
      </c>
      <c r="E23" s="2"/>
      <c r="F23" s="22"/>
      <c r="G23" s="2"/>
      <c r="H23" s="2"/>
      <c r="I23" s="2"/>
      <c r="J23" s="22"/>
      <c r="K23" s="2"/>
      <c r="L23" s="2">
        <f t="shared" si="0"/>
        <v>1935.51</v>
      </c>
      <c r="M23" s="2"/>
      <c r="N23" s="22">
        <f t="shared" si="1"/>
        <v>0</v>
      </c>
      <c r="O23" s="11"/>
      <c r="P23" s="2">
        <f>--1935.51</f>
        <v>1935.51</v>
      </c>
      <c r="Q23" s="2"/>
      <c r="R23" s="22"/>
      <c r="S23" s="2"/>
      <c r="T23" s="2"/>
      <c r="U23" s="2"/>
      <c r="V23" s="22"/>
      <c r="W23" s="2"/>
      <c r="X23" s="2">
        <f t="shared" si="2"/>
        <v>1935.51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--13150</f>
        <v>13150</v>
      </c>
      <c r="E24" s="2"/>
      <c r="F24" s="22"/>
      <c r="G24" s="2"/>
      <c r="H24" s="2"/>
      <c r="I24" s="2"/>
      <c r="J24" s="22"/>
      <c r="K24" s="2"/>
      <c r="L24" s="2">
        <f t="shared" si="0"/>
        <v>13150</v>
      </c>
      <c r="M24" s="2"/>
      <c r="N24" s="22">
        <f t="shared" si="1"/>
        <v>0</v>
      </c>
      <c r="O24" s="11"/>
      <c r="P24" s="2">
        <f>--13150</f>
        <v>13150</v>
      </c>
      <c r="Q24" s="2"/>
      <c r="R24" s="22"/>
      <c r="S24" s="2"/>
      <c r="T24" s="2"/>
      <c r="U24" s="2"/>
      <c r="V24" s="22"/>
      <c r="W24" s="2"/>
      <c r="X24" s="2">
        <f t="shared" si="2"/>
        <v>13150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"4028", " - ", "TAXABLE SALES-ART/TECH")</f>
        <v xml:space="preserve">          4028 - TAXABLE SALES-ART/TECH</v>
      </c>
      <c r="C25" s="11"/>
      <c r="D25" s="2">
        <f>--2284.16</f>
        <v>2284.16</v>
      </c>
      <c r="E25" s="2"/>
      <c r="F25" s="22"/>
      <c r="G25" s="2"/>
      <c r="H25" s="2"/>
      <c r="I25" s="2"/>
      <c r="J25" s="22"/>
      <c r="K25" s="2"/>
      <c r="L25" s="2">
        <f t="shared" si="0"/>
        <v>2284.16</v>
      </c>
      <c r="M25" s="2"/>
      <c r="N25" s="22">
        <f t="shared" si="1"/>
        <v>0</v>
      </c>
      <c r="O25" s="11"/>
      <c r="P25" s="2">
        <f>--2284.16</f>
        <v>2284.16</v>
      </c>
      <c r="Q25" s="2"/>
      <c r="R25" s="22"/>
      <c r="S25" s="2"/>
      <c r="T25" s="2"/>
      <c r="U25" s="2"/>
      <c r="V25" s="22"/>
      <c r="W25" s="2"/>
      <c r="X25" s="2">
        <f t="shared" si="2"/>
        <v>2284.16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"4031", " - ", "TAXABLE SALES-FOOD")</f>
        <v xml:space="preserve">          4031 - TAXABLE SALES-FOOD</v>
      </c>
      <c r="C26" s="11"/>
      <c r="D26" s="2">
        <f>--1.52</f>
        <v>1.52</v>
      </c>
      <c r="E26" s="2"/>
      <c r="F26" s="22"/>
      <c r="G26" s="2"/>
      <c r="H26" s="2"/>
      <c r="I26" s="2"/>
      <c r="J26" s="22"/>
      <c r="K26" s="2"/>
      <c r="L26" s="2">
        <f t="shared" si="0"/>
        <v>1.52</v>
      </c>
      <c r="M26" s="2"/>
      <c r="N26" s="22">
        <f t="shared" si="1"/>
        <v>0</v>
      </c>
      <c r="O26" s="11"/>
      <c r="P26" s="2">
        <f>--1.52</f>
        <v>1.52</v>
      </c>
      <c r="Q26" s="2"/>
      <c r="R26" s="22"/>
      <c r="S26" s="2"/>
      <c r="T26" s="2"/>
      <c r="U26" s="2"/>
      <c r="V26" s="22"/>
      <c r="W26" s="2"/>
      <c r="X26" s="2">
        <f t="shared" si="2"/>
        <v>1.52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"4032", " - ", "TAXABLE SALES-JUICE")</f>
        <v xml:space="preserve">          4032 - TAXABLE SALES-JUICE</v>
      </c>
      <c r="C27" s="11"/>
      <c r="D27" s="2">
        <f>--1.47</f>
        <v>1.47</v>
      </c>
      <c r="E27" s="2"/>
      <c r="F27" s="22"/>
      <c r="G27" s="2"/>
      <c r="H27" s="2"/>
      <c r="I27" s="2"/>
      <c r="J27" s="22"/>
      <c r="K27" s="2"/>
      <c r="L27" s="2">
        <f t="shared" si="0"/>
        <v>1.47</v>
      </c>
      <c r="M27" s="2"/>
      <c r="N27" s="22">
        <f t="shared" si="1"/>
        <v>0</v>
      </c>
      <c r="O27" s="11"/>
      <c r="P27" s="2">
        <f>--1.47</f>
        <v>1.47</v>
      </c>
      <c r="Q27" s="2"/>
      <c r="R27" s="22"/>
      <c r="S27" s="2"/>
      <c r="T27" s="2"/>
      <c r="U27" s="2"/>
      <c r="V27" s="22"/>
      <c r="W27" s="2"/>
      <c r="X27" s="2">
        <f t="shared" si="2"/>
        <v>1.47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"4033", " - ", "TAXABLE SALES-CANDY")</f>
        <v xml:space="preserve">          4033 - TAXABLE SALES-CANDY</v>
      </c>
      <c r="C28" s="11"/>
      <c r="D28" s="2">
        <f>--3.17</f>
        <v>3.17</v>
      </c>
      <c r="E28" s="2"/>
      <c r="F28" s="22"/>
      <c r="G28" s="2"/>
      <c r="H28" s="2"/>
      <c r="I28" s="2"/>
      <c r="J28" s="22"/>
      <c r="K28" s="2"/>
      <c r="L28" s="2">
        <f t="shared" si="0"/>
        <v>3.17</v>
      </c>
      <c r="M28" s="2"/>
      <c r="N28" s="22">
        <f t="shared" si="1"/>
        <v>0</v>
      </c>
      <c r="O28" s="11"/>
      <c r="P28" s="2">
        <f>--3.17</f>
        <v>3.17</v>
      </c>
      <c r="Q28" s="2"/>
      <c r="R28" s="22"/>
      <c r="S28" s="2"/>
      <c r="T28" s="2"/>
      <c r="U28" s="2"/>
      <c r="V28" s="22"/>
      <c r="W28" s="2"/>
      <c r="X28" s="2">
        <f t="shared" si="2"/>
        <v>3.17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"4034", " - ", "TAXABLE SALES-SODA")</f>
        <v xml:space="preserve">          4034 - TAXABLE SALES-SODA</v>
      </c>
      <c r="C29" s="11"/>
      <c r="D29" s="2">
        <f>--34.74</f>
        <v>34.74</v>
      </c>
      <c r="E29" s="2"/>
      <c r="F29" s="22"/>
      <c r="G29" s="2"/>
      <c r="H29" s="2"/>
      <c r="I29" s="2"/>
      <c r="J29" s="22"/>
      <c r="K29" s="2"/>
      <c r="L29" s="2">
        <f t="shared" si="0"/>
        <v>34.74</v>
      </c>
      <c r="M29" s="2"/>
      <c r="N29" s="22">
        <f t="shared" si="1"/>
        <v>0</v>
      </c>
      <c r="O29" s="11"/>
      <c r="P29" s="2">
        <f>--34.74</f>
        <v>34.74</v>
      </c>
      <c r="Q29" s="2"/>
      <c r="R29" s="22"/>
      <c r="S29" s="2"/>
      <c r="T29" s="2"/>
      <c r="U29" s="2"/>
      <c r="V29" s="22"/>
      <c r="W29" s="2"/>
      <c r="X29" s="2">
        <f t="shared" si="2"/>
        <v>34.74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--5.97</f>
        <v>5.97</v>
      </c>
      <c r="E30" s="2"/>
      <c r="F30" s="22"/>
      <c r="G30" s="2"/>
      <c r="H30" s="2"/>
      <c r="I30" s="2"/>
      <c r="J30" s="22"/>
      <c r="K30" s="2"/>
      <c r="L30" s="2">
        <f t="shared" si="0"/>
        <v>5.97</v>
      </c>
      <c r="M30" s="2"/>
      <c r="N30" s="22">
        <f t="shared" si="1"/>
        <v>0</v>
      </c>
      <c r="O30" s="11"/>
      <c r="P30" s="2">
        <f>--5.97</f>
        <v>5.97</v>
      </c>
      <c r="Q30" s="2"/>
      <c r="R30" s="22"/>
      <c r="S30" s="2"/>
      <c r="T30" s="2"/>
      <c r="U30" s="2"/>
      <c r="V30" s="22"/>
      <c r="W30" s="2"/>
      <c r="X30" s="2">
        <f t="shared" si="2"/>
        <v>5.97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"4037", " - ", "TAXABLE SALES-WATER")</f>
        <v xml:space="preserve">          4037 - TAXABLE SALES-WATER</v>
      </c>
      <c r="C31" s="11"/>
      <c r="D31" s="2">
        <f>--5.29</f>
        <v>5.29</v>
      </c>
      <c r="E31" s="2"/>
      <c r="F31" s="22"/>
      <c r="G31" s="2"/>
      <c r="H31" s="2"/>
      <c r="I31" s="2"/>
      <c r="J31" s="22"/>
      <c r="K31" s="2"/>
      <c r="L31" s="2">
        <f t="shared" si="0"/>
        <v>5.29</v>
      </c>
      <c r="M31" s="2"/>
      <c r="N31" s="22">
        <f t="shared" si="1"/>
        <v>0</v>
      </c>
      <c r="O31" s="11"/>
      <c r="P31" s="2">
        <f>--5.29</f>
        <v>5.29</v>
      </c>
      <c r="Q31" s="2"/>
      <c r="R31" s="22"/>
      <c r="S31" s="2"/>
      <c r="T31" s="2"/>
      <c r="U31" s="2"/>
      <c r="V31" s="22"/>
      <c r="W31" s="2"/>
      <c r="X31" s="2">
        <f t="shared" si="2"/>
        <v>5.29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"4040", " - ", "TAXABLE SALES-LOGO CLOTHING")</f>
        <v xml:space="preserve">          4040 - TAXABLE SALES-LOGO CLOTHING</v>
      </c>
      <c r="C32" s="11"/>
      <c r="D32" s="2">
        <f>--170312.02</f>
        <v>170312.02</v>
      </c>
      <c r="E32" s="2"/>
      <c r="F32" s="22"/>
      <c r="G32" s="2"/>
      <c r="H32" s="2"/>
      <c r="I32" s="2"/>
      <c r="J32" s="22"/>
      <c r="K32" s="2"/>
      <c r="L32" s="2">
        <f t="shared" si="0"/>
        <v>170312.02</v>
      </c>
      <c r="M32" s="2"/>
      <c r="N32" s="22">
        <f t="shared" si="1"/>
        <v>0</v>
      </c>
      <c r="O32" s="11"/>
      <c r="P32" s="2">
        <f>--170312.02</f>
        <v>170312.02</v>
      </c>
      <c r="Q32" s="2"/>
      <c r="R32" s="22"/>
      <c r="S32" s="2"/>
      <c r="T32" s="2"/>
      <c r="U32" s="2"/>
      <c r="V32" s="22"/>
      <c r="W32" s="2"/>
      <c r="X32" s="2">
        <f t="shared" si="2"/>
        <v>170312.02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"4041", " - ", "TAXABLE SALES-LOGO GIFTS")</f>
        <v xml:space="preserve">          4041 - TAXABLE SALES-LOGO GIFTS</v>
      </c>
      <c r="C33" s="11"/>
      <c r="D33" s="2">
        <f>--31041.59</f>
        <v>31041.59</v>
      </c>
      <c r="E33" s="2"/>
      <c r="F33" s="22"/>
      <c r="G33" s="2"/>
      <c r="H33" s="2"/>
      <c r="I33" s="2"/>
      <c r="J33" s="22"/>
      <c r="K33" s="2"/>
      <c r="L33" s="2">
        <f t="shared" si="0"/>
        <v>31041.59</v>
      </c>
      <c r="M33" s="2"/>
      <c r="N33" s="22">
        <f t="shared" si="1"/>
        <v>0</v>
      </c>
      <c r="O33" s="11"/>
      <c r="P33" s="2">
        <f>--31041.59</f>
        <v>31041.59</v>
      </c>
      <c r="Q33" s="2"/>
      <c r="R33" s="22"/>
      <c r="S33" s="2"/>
      <c r="T33" s="2"/>
      <c r="U33" s="2"/>
      <c r="V33" s="22"/>
      <c r="W33" s="2"/>
      <c r="X33" s="2">
        <f t="shared" si="2"/>
        <v>31041.59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--15593.05</f>
        <v>15593.05</v>
      </c>
      <c r="E34" s="2"/>
      <c r="F34" s="22"/>
      <c r="G34" s="2"/>
      <c r="H34" s="2"/>
      <c r="I34" s="2"/>
      <c r="J34" s="22"/>
      <c r="K34" s="2"/>
      <c r="L34" s="2">
        <f t="shared" si="0"/>
        <v>15593.05</v>
      </c>
      <c r="M34" s="2"/>
      <c r="N34" s="22">
        <f t="shared" si="1"/>
        <v>0</v>
      </c>
      <c r="O34" s="11"/>
      <c r="P34" s="2">
        <f>--15593.05</f>
        <v>15593.05</v>
      </c>
      <c r="Q34" s="2"/>
      <c r="R34" s="22"/>
      <c r="S34" s="2"/>
      <c r="T34" s="2"/>
      <c r="U34" s="2"/>
      <c r="V34" s="22"/>
      <c r="W34" s="2"/>
      <c r="X34" s="2">
        <f t="shared" si="2"/>
        <v>15593.05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"4043", " - ", "TAXABLE SALES-CARDS")</f>
        <v xml:space="preserve">          4043 - TAXABLE SALES-CARDS</v>
      </c>
      <c r="C35" s="11"/>
      <c r="D35" s="2">
        <f>--56.4</f>
        <v>56.4</v>
      </c>
      <c r="E35" s="2"/>
      <c r="F35" s="22"/>
      <c r="G35" s="2"/>
      <c r="H35" s="2"/>
      <c r="I35" s="2"/>
      <c r="J35" s="22"/>
      <c r="K35" s="2"/>
      <c r="L35" s="2">
        <f t="shared" si="0"/>
        <v>56.4</v>
      </c>
      <c r="M35" s="2"/>
      <c r="N35" s="22">
        <f t="shared" si="1"/>
        <v>0</v>
      </c>
      <c r="O35" s="11"/>
      <c r="P35" s="2">
        <f>--56.4</f>
        <v>56.4</v>
      </c>
      <c r="Q35" s="2"/>
      <c r="R35" s="22"/>
      <c r="S35" s="2"/>
      <c r="T35" s="2"/>
      <c r="U35" s="2"/>
      <c r="V35" s="22"/>
      <c r="W35" s="2"/>
      <c r="X35" s="2">
        <f t="shared" si="2"/>
        <v>56.4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"4044", " - ", "TAXABLE SALES-ACCESSORIES")</f>
        <v xml:space="preserve">          4044 - TAXABLE SALES-ACCESSORIES</v>
      </c>
      <c r="C36" s="11"/>
      <c r="D36" s="2">
        <f>--2342.65</f>
        <v>2342.65</v>
      </c>
      <c r="E36" s="2"/>
      <c r="F36" s="22"/>
      <c r="G36" s="2"/>
      <c r="H36" s="2"/>
      <c r="I36" s="2"/>
      <c r="J36" s="22"/>
      <c r="K36" s="2"/>
      <c r="L36" s="2">
        <f t="shared" si="0"/>
        <v>2342.65</v>
      </c>
      <c r="M36" s="2"/>
      <c r="N36" s="22">
        <f t="shared" si="1"/>
        <v>0</v>
      </c>
      <c r="O36" s="11"/>
      <c r="P36" s="2">
        <f>--2342.65</f>
        <v>2342.65</v>
      </c>
      <c r="Q36" s="2"/>
      <c r="R36" s="22"/>
      <c r="S36" s="2"/>
      <c r="T36" s="2"/>
      <c r="U36" s="2"/>
      <c r="V36" s="22"/>
      <c r="W36" s="2"/>
      <c r="X36" s="2">
        <f t="shared" si="2"/>
        <v>2342.65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--19420.72</f>
        <v>19420.72</v>
      </c>
      <c r="E37" s="2"/>
      <c r="F37" s="22"/>
      <c r="G37" s="2"/>
      <c r="H37" s="2"/>
      <c r="I37" s="2"/>
      <c r="J37" s="22"/>
      <c r="K37" s="2"/>
      <c r="L37" s="2">
        <f t="shared" si="0"/>
        <v>19420.72</v>
      </c>
      <c r="M37" s="2"/>
      <c r="N37" s="22">
        <f t="shared" si="1"/>
        <v>0</v>
      </c>
      <c r="O37" s="11"/>
      <c r="P37" s="2">
        <f>--19420.72</f>
        <v>19420.72</v>
      </c>
      <c r="Q37" s="2"/>
      <c r="R37" s="22"/>
      <c r="S37" s="2"/>
      <c r="T37" s="2"/>
      <c r="U37" s="2"/>
      <c r="V37" s="22"/>
      <c r="W37" s="2"/>
      <c r="X37" s="2">
        <f t="shared" si="2"/>
        <v>19420.72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"4047", " - ", "TAXABLE SALES-MISC")</f>
        <v xml:space="preserve">          4047 - TAXABLE SALES-MISC</v>
      </c>
      <c r="C38" s="11"/>
      <c r="D38" s="2">
        <f>--40</f>
        <v>40</v>
      </c>
      <c r="E38" s="2"/>
      <c r="F38" s="22"/>
      <c r="G38" s="2"/>
      <c r="H38" s="2"/>
      <c r="I38" s="2"/>
      <c r="J38" s="22"/>
      <c r="K38" s="2"/>
      <c r="L38" s="2">
        <f t="shared" si="0"/>
        <v>40</v>
      </c>
      <c r="M38" s="2"/>
      <c r="N38" s="22">
        <f t="shared" si="1"/>
        <v>0</v>
      </c>
      <c r="O38" s="11"/>
      <c r="P38" s="2">
        <f>--40</f>
        <v>40</v>
      </c>
      <c r="Q38" s="2"/>
      <c r="R38" s="22"/>
      <c r="S38" s="2"/>
      <c r="T38" s="2"/>
      <c r="U38" s="2"/>
      <c r="V38" s="22"/>
      <c r="W38" s="2"/>
      <c r="X38" s="2">
        <f t="shared" si="2"/>
        <v>40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"4081", " - ", "TAXABLE SALES-ELECTRONICS")</f>
        <v xml:space="preserve">          4081 - TAXABLE SALES-ELECTRONICS</v>
      </c>
      <c r="C39" s="11"/>
      <c r="D39" s="2">
        <f>--7.98</f>
        <v>7.98</v>
      </c>
      <c r="E39" s="2"/>
      <c r="F39" s="22"/>
      <c r="G39" s="2"/>
      <c r="H39" s="2"/>
      <c r="I39" s="2"/>
      <c r="J39" s="22"/>
      <c r="K39" s="2"/>
      <c r="L39" s="2">
        <f t="shared" si="0"/>
        <v>7.98</v>
      </c>
      <c r="M39" s="2"/>
      <c r="N39" s="22">
        <f t="shared" si="1"/>
        <v>0</v>
      </c>
      <c r="O39" s="11"/>
      <c r="P39" s="2">
        <f>--7.98</f>
        <v>7.98</v>
      </c>
      <c r="Q39" s="2"/>
      <c r="R39" s="22"/>
      <c r="S39" s="2"/>
      <c r="T39" s="2"/>
      <c r="U39" s="2"/>
      <c r="V39" s="22"/>
      <c r="W39" s="2"/>
      <c r="X39" s="2">
        <f t="shared" si="2"/>
        <v>7.98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"4082", " - ", "TAXABLE SALES-COMPUTER HARDWAR")</f>
        <v xml:space="preserve">          4082 - TAXABLE SALES-COMPUTER HARDWAR</v>
      </c>
      <c r="C40" s="11"/>
      <c r="D40" s="2">
        <f>--19</f>
        <v>19</v>
      </c>
      <c r="E40" s="2"/>
      <c r="F40" s="22"/>
      <c r="G40" s="2"/>
      <c r="H40" s="2"/>
      <c r="I40" s="2"/>
      <c r="J40" s="22"/>
      <c r="K40" s="2"/>
      <c r="L40" s="2">
        <f t="shared" si="0"/>
        <v>19</v>
      </c>
      <c r="M40" s="2"/>
      <c r="N40" s="22">
        <f t="shared" si="1"/>
        <v>0</v>
      </c>
      <c r="O40" s="11"/>
      <c r="P40" s="2">
        <f>--19</f>
        <v>19</v>
      </c>
      <c r="Q40" s="2"/>
      <c r="R40" s="22"/>
      <c r="S40" s="2"/>
      <c r="T40" s="2"/>
      <c r="U40" s="2"/>
      <c r="V40" s="22"/>
      <c r="W40" s="2"/>
      <c r="X40" s="2">
        <f t="shared" si="2"/>
        <v>19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>--14.99</f>
        <v>14.99</v>
      </c>
      <c r="E41" s="2"/>
      <c r="F41" s="22"/>
      <c r="G41" s="2"/>
      <c r="H41" s="2"/>
      <c r="I41" s="2"/>
      <c r="J41" s="22"/>
      <c r="K41" s="2"/>
      <c r="L41" s="2">
        <f t="shared" si="0"/>
        <v>14.99</v>
      </c>
      <c r="M41" s="2"/>
      <c r="N41" s="22">
        <f t="shared" si="1"/>
        <v>0</v>
      </c>
      <c r="O41" s="11"/>
      <c r="P41" s="2">
        <f>--14.99</f>
        <v>14.99</v>
      </c>
      <c r="Q41" s="2"/>
      <c r="R41" s="22"/>
      <c r="S41" s="2"/>
      <c r="T41" s="2"/>
      <c r="U41" s="2"/>
      <c r="V41" s="22"/>
      <c r="W41" s="2"/>
      <c r="X41" s="2">
        <f t="shared" si="2"/>
        <v>14.99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"4092", " - ", "TAXABLE SALES-GRAD MERCH")</f>
        <v xml:space="preserve">          4092 - TAXABLE SALES-GRAD MERCH</v>
      </c>
      <c r="C42" s="11"/>
      <c r="D42" s="2">
        <f>--2128.63</f>
        <v>2128.63</v>
      </c>
      <c r="E42" s="2"/>
      <c r="F42" s="22"/>
      <c r="G42" s="2"/>
      <c r="H42" s="2"/>
      <c r="I42" s="2"/>
      <c r="J42" s="22"/>
      <c r="K42" s="2"/>
      <c r="L42" s="2">
        <f t="shared" si="0"/>
        <v>2128.63</v>
      </c>
      <c r="M42" s="2"/>
      <c r="N42" s="22">
        <f t="shared" si="1"/>
        <v>0</v>
      </c>
      <c r="O42" s="11"/>
      <c r="P42" s="2">
        <f>--2128.63</f>
        <v>2128.63</v>
      </c>
      <c r="Q42" s="2"/>
      <c r="R42" s="22"/>
      <c r="S42" s="2"/>
      <c r="T42" s="2"/>
      <c r="U42" s="2"/>
      <c r="V42" s="22"/>
      <c r="W42" s="2"/>
      <c r="X42" s="2">
        <f t="shared" si="2"/>
        <v>2128.63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"4095", " - ", "TAXABLE SALES-CUSTOMER SERVICE")</f>
        <v xml:space="preserve">          4095 - TAXABLE SALES-CUSTOMER SERVICE</v>
      </c>
      <c r="C43" s="11"/>
      <c r="D43" s="2">
        <f>--46.53</f>
        <v>46.53</v>
      </c>
      <c r="E43" s="2"/>
      <c r="F43" s="22"/>
      <c r="G43" s="2"/>
      <c r="H43" s="2"/>
      <c r="I43" s="2"/>
      <c r="J43" s="22"/>
      <c r="K43" s="2"/>
      <c r="L43" s="2">
        <f t="shared" si="0"/>
        <v>46.53</v>
      </c>
      <c r="M43" s="2"/>
      <c r="N43" s="22">
        <f t="shared" si="1"/>
        <v>0</v>
      </c>
      <c r="O43" s="11"/>
      <c r="P43" s="2">
        <f>--46.53</f>
        <v>46.53</v>
      </c>
      <c r="Q43" s="2"/>
      <c r="R43" s="22"/>
      <c r="S43" s="2"/>
      <c r="T43" s="2"/>
      <c r="U43" s="2"/>
      <c r="V43" s="22"/>
      <c r="W43" s="2"/>
      <c r="X43" s="2">
        <f t="shared" si="2"/>
        <v>46.53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"4100", " - ", "NON-TAXABLE SALES")</f>
        <v xml:space="preserve">          4100 - NON-TAXABLE SALES</v>
      </c>
      <c r="C44" s="11"/>
      <c r="D44" s="2">
        <f>--4262.2</f>
        <v>4262.2</v>
      </c>
      <c r="E44" s="2"/>
      <c r="F44" s="22"/>
      <c r="G44" s="2"/>
      <c r="H44" s="2">
        <v>132340</v>
      </c>
      <c r="I44" s="2"/>
      <c r="J44" s="22"/>
      <c r="K44" s="2"/>
      <c r="L44" s="2">
        <f t="shared" si="0"/>
        <v>-128077.8</v>
      </c>
      <c r="M44" s="2"/>
      <c r="N44" s="22">
        <f t="shared" si="1"/>
        <v>-0.96779356203717704</v>
      </c>
      <c r="O44" s="11"/>
      <c r="P44" s="2">
        <f>--4262.2</f>
        <v>4262.2</v>
      </c>
      <c r="Q44" s="2"/>
      <c r="R44" s="22"/>
      <c r="S44" s="2"/>
      <c r="T44" s="2">
        <v>132340</v>
      </c>
      <c r="U44" s="2"/>
      <c r="V44" s="22"/>
      <c r="W44" s="2"/>
      <c r="X44" s="2">
        <f t="shared" si="2"/>
        <v>-128077.8</v>
      </c>
      <c r="Y44" s="2"/>
      <c r="Z44" s="22">
        <f t="shared" si="3"/>
        <v>-0.96779356203717704</v>
      </c>
    </row>
    <row r="45" spans="1:26" s="24" customFormat="1" hidden="1" outlineLevel="1" x14ac:dyDescent="0.25">
      <c r="A45" s="51"/>
      <c r="B45" s="11" t="str">
        <f>CONCATENATE("          ", "4101", " - ", "NON-TAXABLE SALES-NEW TEXT")</f>
        <v xml:space="preserve">          4101 - NON-TAXABLE SALES-NEW TEXT</v>
      </c>
      <c r="C45" s="11"/>
      <c r="D45" s="2">
        <f>--7736.58</f>
        <v>7736.58</v>
      </c>
      <c r="E45" s="2"/>
      <c r="F45" s="22"/>
      <c r="G45" s="2"/>
      <c r="H45" s="2"/>
      <c r="I45" s="2"/>
      <c r="J45" s="22"/>
      <c r="K45" s="2"/>
      <c r="L45" s="2">
        <f t="shared" si="0"/>
        <v>7736.58</v>
      </c>
      <c r="M45" s="2"/>
      <c r="N45" s="22">
        <f t="shared" si="1"/>
        <v>0</v>
      </c>
      <c r="O45" s="11"/>
      <c r="P45" s="2">
        <f>--7736.58</f>
        <v>7736.58</v>
      </c>
      <c r="Q45" s="2"/>
      <c r="R45" s="22"/>
      <c r="S45" s="2"/>
      <c r="T45" s="2"/>
      <c r="U45" s="2"/>
      <c r="V45" s="22"/>
      <c r="W45" s="2"/>
      <c r="X45" s="2">
        <f t="shared" si="2"/>
        <v>7736.58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"4102", " - ", "NON-TAXABLE SALES-USED TEXT")</f>
        <v xml:space="preserve">          4102 - NON-TAXABLE SALES-USED TEXT</v>
      </c>
      <c r="C46" s="11"/>
      <c r="D46" s="2">
        <f>--5359.24</f>
        <v>5359.24</v>
      </c>
      <c r="E46" s="2"/>
      <c r="F46" s="22"/>
      <c r="G46" s="2"/>
      <c r="H46" s="2"/>
      <c r="I46" s="2"/>
      <c r="J46" s="22"/>
      <c r="K46" s="2"/>
      <c r="L46" s="2">
        <f t="shared" si="0"/>
        <v>5359.24</v>
      </c>
      <c r="M46" s="2"/>
      <c r="N46" s="22">
        <f t="shared" si="1"/>
        <v>0</v>
      </c>
      <c r="O46" s="11"/>
      <c r="P46" s="2">
        <f>--5359.24</f>
        <v>5359.24</v>
      </c>
      <c r="Q46" s="2"/>
      <c r="R46" s="22"/>
      <c r="S46" s="2"/>
      <c r="T46" s="2"/>
      <c r="U46" s="2"/>
      <c r="V46" s="22"/>
      <c r="W46" s="2"/>
      <c r="X46" s="2">
        <f t="shared" si="2"/>
        <v>5359.24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"4104", " - ", "NON-TAXABLE SALES-DIGITAL TEXT")</f>
        <v xml:space="preserve">          4104 - NON-TAXABLE SALES-DIGITAL TEXT</v>
      </c>
      <c r="C47" s="11"/>
      <c r="D47" s="2">
        <f>--13424.17</f>
        <v>13424.17</v>
      </c>
      <c r="E47" s="2"/>
      <c r="F47" s="22"/>
      <c r="G47" s="2"/>
      <c r="H47" s="2"/>
      <c r="I47" s="2"/>
      <c r="J47" s="22"/>
      <c r="K47" s="2"/>
      <c r="L47" s="2">
        <f t="shared" si="0"/>
        <v>13424.17</v>
      </c>
      <c r="M47" s="2"/>
      <c r="N47" s="22">
        <f t="shared" si="1"/>
        <v>0</v>
      </c>
      <c r="O47" s="11"/>
      <c r="P47" s="2">
        <f>--13424.17</f>
        <v>13424.17</v>
      </c>
      <c r="Q47" s="2"/>
      <c r="R47" s="22"/>
      <c r="S47" s="2"/>
      <c r="T47" s="2"/>
      <c r="U47" s="2"/>
      <c r="V47" s="22"/>
      <c r="W47" s="2"/>
      <c r="X47" s="2">
        <f t="shared" si="2"/>
        <v>13424.17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"4111", " - ", "NON-TAXABLE SALES-NO VALUE TEX")</f>
        <v xml:space="preserve">          4111 - NON-TAXABLE SALES-NO VALUE TEX</v>
      </c>
      <c r="C48" s="11"/>
      <c r="D48" s="2">
        <f>--2680.95</f>
        <v>2680.95</v>
      </c>
      <c r="E48" s="2"/>
      <c r="F48" s="22"/>
      <c r="G48" s="2"/>
      <c r="H48" s="2"/>
      <c r="I48" s="2"/>
      <c r="J48" s="22"/>
      <c r="K48" s="2"/>
      <c r="L48" s="2">
        <f t="shared" si="0"/>
        <v>2680.95</v>
      </c>
      <c r="M48" s="2"/>
      <c r="N48" s="22">
        <f t="shared" si="1"/>
        <v>0</v>
      </c>
      <c r="O48" s="11"/>
      <c r="P48" s="2">
        <f>--2680.95</f>
        <v>2680.95</v>
      </c>
      <c r="Q48" s="2"/>
      <c r="R48" s="22"/>
      <c r="S48" s="2"/>
      <c r="T48" s="2"/>
      <c r="U48" s="2"/>
      <c r="V48" s="22"/>
      <c r="W48" s="2"/>
      <c r="X48" s="2">
        <f t="shared" si="2"/>
        <v>2680.95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"4113", " - ", "NON-TAXABLE SALES-TRADE BOOKS")</f>
        <v xml:space="preserve">          4113 - NON-TAXABLE SALES-TRADE BOOKS</v>
      </c>
      <c r="C49" s="11"/>
      <c r="D49" s="2">
        <f>--1134</f>
        <v>1134</v>
      </c>
      <c r="E49" s="2"/>
      <c r="F49" s="22"/>
      <c r="G49" s="2"/>
      <c r="H49" s="2"/>
      <c r="I49" s="2"/>
      <c r="J49" s="22"/>
      <c r="K49" s="2"/>
      <c r="L49" s="2">
        <f t="shared" si="0"/>
        <v>1134</v>
      </c>
      <c r="M49" s="2"/>
      <c r="N49" s="22">
        <f t="shared" si="1"/>
        <v>0</v>
      </c>
      <c r="O49" s="11"/>
      <c r="P49" s="2">
        <f>--1134</f>
        <v>1134</v>
      </c>
      <c r="Q49" s="2"/>
      <c r="R49" s="22"/>
      <c r="S49" s="2"/>
      <c r="T49" s="2"/>
      <c r="U49" s="2"/>
      <c r="V49" s="22"/>
      <c r="W49" s="2"/>
      <c r="X49" s="2">
        <f t="shared" si="2"/>
        <v>1134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"4118", " - ", "NON-TAXABLE SALES-STUDY GUIDES")</f>
        <v xml:space="preserve">          4118 - NON-TAXABLE SALES-STUDY GUIDES</v>
      </c>
      <c r="C50" s="11"/>
      <c r="D50" s="2">
        <f>--6.95</f>
        <v>6.95</v>
      </c>
      <c r="E50" s="2"/>
      <c r="F50" s="22"/>
      <c r="G50" s="2"/>
      <c r="H50" s="2"/>
      <c r="I50" s="2"/>
      <c r="J50" s="22"/>
      <c r="K50" s="2"/>
      <c r="L50" s="2">
        <f t="shared" si="0"/>
        <v>6.95</v>
      </c>
      <c r="M50" s="2"/>
      <c r="N50" s="22">
        <f t="shared" si="1"/>
        <v>0</v>
      </c>
      <c r="O50" s="11"/>
      <c r="P50" s="2">
        <f>--6.95</f>
        <v>6.95</v>
      </c>
      <c r="Q50" s="2"/>
      <c r="R50" s="22"/>
      <c r="S50" s="2"/>
      <c r="T50" s="2"/>
      <c r="U50" s="2"/>
      <c r="V50" s="22"/>
      <c r="W50" s="2"/>
      <c r="X50" s="2">
        <f t="shared" si="2"/>
        <v>6.95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"4125", " - ", "NON-TAXABLE SALES-TEST FORMS")</f>
        <v xml:space="preserve">          4125 - NON-TAXABLE SALES-TEST FORMS</v>
      </c>
      <c r="C51" s="11"/>
      <c r="D51" s="2">
        <f>--4.98</f>
        <v>4.9800000000000004</v>
      </c>
      <c r="E51" s="2"/>
      <c r="F51" s="22"/>
      <c r="G51" s="2"/>
      <c r="H51" s="2"/>
      <c r="I51" s="2"/>
      <c r="J51" s="22"/>
      <c r="K51" s="2"/>
      <c r="L51" s="2">
        <f t="shared" si="0"/>
        <v>4.9800000000000004</v>
      </c>
      <c r="M51" s="2"/>
      <c r="N51" s="22">
        <f t="shared" si="1"/>
        <v>0</v>
      </c>
      <c r="O51" s="11"/>
      <c r="P51" s="2">
        <f>--4.98</f>
        <v>4.9800000000000004</v>
      </c>
      <c r="Q51" s="2"/>
      <c r="R51" s="22"/>
      <c r="S51" s="2"/>
      <c r="T51" s="2"/>
      <c r="U51" s="2"/>
      <c r="V51" s="22"/>
      <c r="W51" s="2"/>
      <c r="X51" s="2">
        <f t="shared" si="2"/>
        <v>4.9800000000000004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"4126", " - ", "NON-TAXABLE SALES-WRITING INST")</f>
        <v xml:space="preserve">          4126 - NON-TAXABLE SALES-WRITING INST</v>
      </c>
      <c r="C52" s="11"/>
      <c r="D52" s="2">
        <f>--167.03</f>
        <v>167.03</v>
      </c>
      <c r="E52" s="2"/>
      <c r="F52" s="22"/>
      <c r="G52" s="2"/>
      <c r="H52" s="2"/>
      <c r="I52" s="2"/>
      <c r="J52" s="22"/>
      <c r="K52" s="2"/>
      <c r="L52" s="2">
        <f t="shared" si="0"/>
        <v>167.03</v>
      </c>
      <c r="M52" s="2"/>
      <c r="N52" s="22">
        <f t="shared" si="1"/>
        <v>0</v>
      </c>
      <c r="O52" s="11"/>
      <c r="P52" s="2">
        <f>--167.03</f>
        <v>167.03</v>
      </c>
      <c r="Q52" s="2"/>
      <c r="R52" s="22"/>
      <c r="S52" s="2"/>
      <c r="T52" s="2"/>
      <c r="U52" s="2"/>
      <c r="V52" s="22"/>
      <c r="W52" s="2"/>
      <c r="X52" s="2">
        <f t="shared" si="2"/>
        <v>167.03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"4127", " - ", "NON-TAXABLE SALES-SCHOOL SUPPL")</f>
        <v xml:space="preserve">          4127 - NON-TAXABLE SALES-SCHOOL SUPPL</v>
      </c>
      <c r="C53" s="11"/>
      <c r="D53" s="2">
        <f>--177.89</f>
        <v>177.89</v>
      </c>
      <c r="E53" s="2"/>
      <c r="F53" s="22"/>
      <c r="G53" s="2"/>
      <c r="H53" s="2"/>
      <c r="I53" s="2"/>
      <c r="J53" s="22"/>
      <c r="K53" s="2"/>
      <c r="L53" s="2">
        <f t="shared" si="0"/>
        <v>177.89</v>
      </c>
      <c r="M53" s="2"/>
      <c r="N53" s="22">
        <f t="shared" si="1"/>
        <v>0</v>
      </c>
      <c r="O53" s="11"/>
      <c r="P53" s="2">
        <f>--177.89</f>
        <v>177.89</v>
      </c>
      <c r="Q53" s="2"/>
      <c r="R53" s="22"/>
      <c r="S53" s="2"/>
      <c r="T53" s="2"/>
      <c r="U53" s="2"/>
      <c r="V53" s="22"/>
      <c r="W53" s="2"/>
      <c r="X53" s="2">
        <f t="shared" si="2"/>
        <v>177.89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"4128", " - ", "NON-TAXABLE SALES-ART/TECH")</f>
        <v xml:space="preserve">          4128 - NON-TAXABLE SALES-ART/TECH</v>
      </c>
      <c r="C54" s="11"/>
      <c r="D54" s="2">
        <f>--1.49</f>
        <v>1.49</v>
      </c>
      <c r="E54" s="2"/>
      <c r="F54" s="22"/>
      <c r="G54" s="2"/>
      <c r="H54" s="2"/>
      <c r="I54" s="2"/>
      <c r="J54" s="22"/>
      <c r="K54" s="2"/>
      <c r="L54" s="2">
        <f t="shared" si="0"/>
        <v>1.49</v>
      </c>
      <c r="M54" s="2"/>
      <c r="N54" s="22">
        <f t="shared" si="1"/>
        <v>0</v>
      </c>
      <c r="O54" s="11"/>
      <c r="P54" s="2">
        <f>--1.49</f>
        <v>1.49</v>
      </c>
      <c r="Q54" s="2"/>
      <c r="R54" s="22"/>
      <c r="S54" s="2"/>
      <c r="T54" s="2"/>
      <c r="U54" s="2"/>
      <c r="V54" s="22"/>
      <c r="W54" s="2"/>
      <c r="X54" s="2">
        <f t="shared" si="2"/>
        <v>1.49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"4131", " - ", "NON-TAXABLE SALES-FOOD")</f>
        <v xml:space="preserve">          4131 - NON-TAXABLE SALES-FOOD</v>
      </c>
      <c r="C55" s="11"/>
      <c r="D55" s="2">
        <f>--269.62</f>
        <v>269.62</v>
      </c>
      <c r="E55" s="2"/>
      <c r="F55" s="22"/>
      <c r="G55" s="2"/>
      <c r="H55" s="2"/>
      <c r="I55" s="2"/>
      <c r="J55" s="22"/>
      <c r="K55" s="2"/>
      <c r="L55" s="2">
        <f t="shared" si="0"/>
        <v>269.62</v>
      </c>
      <c r="M55" s="2"/>
      <c r="N55" s="22">
        <f t="shared" si="1"/>
        <v>0</v>
      </c>
      <c r="O55" s="11"/>
      <c r="P55" s="2">
        <f>--269.62</f>
        <v>269.62</v>
      </c>
      <c r="Q55" s="2"/>
      <c r="R55" s="22"/>
      <c r="S55" s="2"/>
      <c r="T55" s="2"/>
      <c r="U55" s="2"/>
      <c r="V55" s="22"/>
      <c r="W55" s="2"/>
      <c r="X55" s="2">
        <f t="shared" si="2"/>
        <v>269.62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"4132", " - ", "NON-TAXABLE SALES-JUICE")</f>
        <v xml:space="preserve">          4132 - NON-TAXABLE SALES-JUICE</v>
      </c>
      <c r="C56" s="11"/>
      <c r="D56" s="2">
        <f>--45.31</f>
        <v>45.31</v>
      </c>
      <c r="E56" s="2"/>
      <c r="F56" s="22"/>
      <c r="G56" s="2"/>
      <c r="H56" s="2"/>
      <c r="I56" s="2"/>
      <c r="J56" s="22"/>
      <c r="K56" s="2"/>
      <c r="L56" s="2">
        <f t="shared" si="0"/>
        <v>45.31</v>
      </c>
      <c r="M56" s="2"/>
      <c r="N56" s="22">
        <f t="shared" si="1"/>
        <v>0</v>
      </c>
      <c r="O56" s="11"/>
      <c r="P56" s="2">
        <f>--45.31</f>
        <v>45.31</v>
      </c>
      <c r="Q56" s="2"/>
      <c r="R56" s="22"/>
      <c r="S56" s="2"/>
      <c r="T56" s="2"/>
      <c r="U56" s="2"/>
      <c r="V56" s="22"/>
      <c r="W56" s="2"/>
      <c r="X56" s="2">
        <f t="shared" si="2"/>
        <v>45.31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"4133", " - ", "NON-TAXABLE SALES-CANDY")</f>
        <v xml:space="preserve">          4133 - NON-TAXABLE SALES-CANDY</v>
      </c>
      <c r="C57" s="11"/>
      <c r="D57" s="2">
        <f>--472.22</f>
        <v>472.22</v>
      </c>
      <c r="E57" s="2"/>
      <c r="F57" s="22"/>
      <c r="G57" s="2"/>
      <c r="H57" s="2"/>
      <c r="I57" s="2"/>
      <c r="J57" s="22"/>
      <c r="K57" s="2"/>
      <c r="L57" s="2">
        <f t="shared" si="0"/>
        <v>472.22</v>
      </c>
      <c r="M57" s="2"/>
      <c r="N57" s="22">
        <f t="shared" si="1"/>
        <v>0</v>
      </c>
      <c r="O57" s="11"/>
      <c r="P57" s="2">
        <f>--472.22</f>
        <v>472.22</v>
      </c>
      <c r="Q57" s="2"/>
      <c r="R57" s="22"/>
      <c r="S57" s="2"/>
      <c r="T57" s="2"/>
      <c r="U57" s="2"/>
      <c r="V57" s="22"/>
      <c r="W57" s="2"/>
      <c r="X57" s="2">
        <f t="shared" si="2"/>
        <v>472.22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"4135", " - ", "NON-TAXABLE SALES")</f>
        <v xml:space="preserve">          4135 - NON-TAXABLE SALES</v>
      </c>
      <c r="C58" s="11"/>
      <c r="D58" s="2">
        <f>--21.54</f>
        <v>21.54</v>
      </c>
      <c r="E58" s="2"/>
      <c r="F58" s="22"/>
      <c r="G58" s="2"/>
      <c r="H58" s="2"/>
      <c r="I58" s="2"/>
      <c r="J58" s="22"/>
      <c r="K58" s="2"/>
      <c r="L58" s="2">
        <f t="shared" si="0"/>
        <v>21.54</v>
      </c>
      <c r="M58" s="2"/>
      <c r="N58" s="22">
        <f t="shared" si="1"/>
        <v>0</v>
      </c>
      <c r="O58" s="11"/>
      <c r="P58" s="2">
        <f>--21.54</f>
        <v>21.54</v>
      </c>
      <c r="Q58" s="2"/>
      <c r="R58" s="22"/>
      <c r="S58" s="2"/>
      <c r="T58" s="2"/>
      <c r="U58" s="2"/>
      <c r="V58" s="22"/>
      <c r="W58" s="2"/>
      <c r="X58" s="2">
        <f t="shared" si="2"/>
        <v>21.54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"4137", " - ", "NON-TAXABLE SALES-WATER")</f>
        <v xml:space="preserve">          4137 - NON-TAXABLE SALES-WATER</v>
      </c>
      <c r="C59" s="11"/>
      <c r="D59" s="2">
        <f>--53.02</f>
        <v>53.02</v>
      </c>
      <c r="E59" s="2"/>
      <c r="F59" s="22"/>
      <c r="G59" s="2"/>
      <c r="H59" s="2"/>
      <c r="I59" s="2"/>
      <c r="J59" s="22"/>
      <c r="K59" s="2"/>
      <c r="L59" s="2">
        <f t="shared" si="0"/>
        <v>53.02</v>
      </c>
      <c r="M59" s="2"/>
      <c r="N59" s="22">
        <f t="shared" si="1"/>
        <v>0</v>
      </c>
      <c r="O59" s="11"/>
      <c r="P59" s="2">
        <f>--53.02</f>
        <v>53.02</v>
      </c>
      <c r="Q59" s="2"/>
      <c r="R59" s="22"/>
      <c r="S59" s="2"/>
      <c r="T59" s="2"/>
      <c r="U59" s="2"/>
      <c r="V59" s="22"/>
      <c r="W59" s="2"/>
      <c r="X59" s="2">
        <f t="shared" si="2"/>
        <v>53.02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"4140", " - ", "NON-TAXABLE SALES-LOGO CLOTHIN")</f>
        <v xml:space="preserve">          4140 - NON-TAXABLE SALES-LOGO CLOTHIN</v>
      </c>
      <c r="C60" s="11"/>
      <c r="D60" s="2">
        <f>--3163.67</f>
        <v>3163.67</v>
      </c>
      <c r="E60" s="2"/>
      <c r="F60" s="22"/>
      <c r="G60" s="2"/>
      <c r="H60" s="2"/>
      <c r="I60" s="2"/>
      <c r="J60" s="22"/>
      <c r="K60" s="2"/>
      <c r="L60" s="2">
        <f t="shared" si="0"/>
        <v>3163.67</v>
      </c>
      <c r="M60" s="2"/>
      <c r="N60" s="22">
        <f t="shared" si="1"/>
        <v>0</v>
      </c>
      <c r="O60" s="11"/>
      <c r="P60" s="2">
        <f>--3163.67</f>
        <v>3163.67</v>
      </c>
      <c r="Q60" s="2"/>
      <c r="R60" s="22"/>
      <c r="S60" s="2"/>
      <c r="T60" s="2"/>
      <c r="U60" s="2"/>
      <c r="V60" s="22"/>
      <c r="W60" s="2"/>
      <c r="X60" s="2">
        <f t="shared" si="2"/>
        <v>3163.67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"4141", " - ", "NON-TAXABLE SALES-LOGO GIFTS")</f>
        <v xml:space="preserve">          4141 - NON-TAXABLE SALES-LOGO GIFTS</v>
      </c>
      <c r="C61" s="11"/>
      <c r="D61" s="2">
        <f>--262.15</f>
        <v>262.14999999999998</v>
      </c>
      <c r="E61" s="2"/>
      <c r="F61" s="22"/>
      <c r="G61" s="2"/>
      <c r="H61" s="2"/>
      <c r="I61" s="2"/>
      <c r="J61" s="22"/>
      <c r="K61" s="2"/>
      <c r="L61" s="2">
        <f t="shared" si="0"/>
        <v>262.14999999999998</v>
      </c>
      <c r="M61" s="2"/>
      <c r="N61" s="22">
        <f t="shared" si="1"/>
        <v>0</v>
      </c>
      <c r="O61" s="11"/>
      <c r="P61" s="2">
        <f>--262.15</f>
        <v>262.14999999999998</v>
      </c>
      <c r="Q61" s="2"/>
      <c r="R61" s="22"/>
      <c r="S61" s="2"/>
      <c r="T61" s="2"/>
      <c r="U61" s="2"/>
      <c r="V61" s="22"/>
      <c r="W61" s="2"/>
      <c r="X61" s="2">
        <f t="shared" si="2"/>
        <v>262.14999999999998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"4142", " - ", "NON-TAXABLE SALES-EVERYDAY GIF")</f>
        <v xml:space="preserve">          4142 - NON-TAXABLE SALES-EVERYDAY GIF</v>
      </c>
      <c r="C62" s="11"/>
      <c r="D62" s="2">
        <f>--342.44</f>
        <v>342.44</v>
      </c>
      <c r="E62" s="2"/>
      <c r="F62" s="22"/>
      <c r="G62" s="2"/>
      <c r="H62" s="2"/>
      <c r="I62" s="2"/>
      <c r="J62" s="22"/>
      <c r="K62" s="2"/>
      <c r="L62" s="2">
        <f t="shared" si="0"/>
        <v>342.44</v>
      </c>
      <c r="M62" s="2"/>
      <c r="N62" s="22">
        <f t="shared" si="1"/>
        <v>0</v>
      </c>
      <c r="O62" s="11"/>
      <c r="P62" s="2">
        <f>--342.44</f>
        <v>342.44</v>
      </c>
      <c r="Q62" s="2"/>
      <c r="R62" s="22"/>
      <c r="S62" s="2"/>
      <c r="T62" s="2"/>
      <c r="U62" s="2"/>
      <c r="V62" s="22"/>
      <c r="W62" s="2"/>
      <c r="X62" s="2">
        <f t="shared" si="2"/>
        <v>342.44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"4144", " - ", "NON-TAXABLE SALES-ACCESSORIES")</f>
        <v xml:space="preserve">          4144 - NON-TAXABLE SALES-ACCESSORIES</v>
      </c>
      <c r="C63" s="11"/>
      <c r="D63" s="2">
        <f>--21.9</f>
        <v>21.9</v>
      </c>
      <c r="E63" s="2"/>
      <c r="F63" s="22"/>
      <c r="G63" s="2"/>
      <c r="H63" s="2"/>
      <c r="I63" s="2"/>
      <c r="J63" s="22"/>
      <c r="K63" s="2"/>
      <c r="L63" s="2">
        <f t="shared" si="0"/>
        <v>21.9</v>
      </c>
      <c r="M63" s="2"/>
      <c r="N63" s="22">
        <f t="shared" si="1"/>
        <v>0</v>
      </c>
      <c r="O63" s="11"/>
      <c r="P63" s="2">
        <f>--21.9</f>
        <v>21.9</v>
      </c>
      <c r="Q63" s="2"/>
      <c r="R63" s="22"/>
      <c r="S63" s="2"/>
      <c r="T63" s="2"/>
      <c r="U63" s="2"/>
      <c r="V63" s="22"/>
      <c r="W63" s="2"/>
      <c r="X63" s="2">
        <f t="shared" si="2"/>
        <v>21.9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"4146", " - ", "NON-TAXABLE SALES-COIN OP MACH")</f>
        <v xml:space="preserve">          4146 - NON-TAXABLE SALES-COIN OP MACH</v>
      </c>
      <c r="C64" s="11"/>
      <c r="D64" s="2">
        <f>--2067.1</f>
        <v>2067.1</v>
      </c>
      <c r="E64" s="2"/>
      <c r="F64" s="22"/>
      <c r="G64" s="2"/>
      <c r="H64" s="2"/>
      <c r="I64" s="2"/>
      <c r="J64" s="22"/>
      <c r="K64" s="2"/>
      <c r="L64" s="2">
        <f t="shared" si="0"/>
        <v>2067.1</v>
      </c>
      <c r="M64" s="2"/>
      <c r="N64" s="22">
        <f t="shared" si="1"/>
        <v>0</v>
      </c>
      <c r="O64" s="11"/>
      <c r="P64" s="2">
        <f>--2067.1</f>
        <v>2067.1</v>
      </c>
      <c r="Q64" s="2"/>
      <c r="R64" s="22"/>
      <c r="S64" s="2"/>
      <c r="T64" s="2"/>
      <c r="U64" s="2"/>
      <c r="V64" s="22"/>
      <c r="W64" s="2"/>
      <c r="X64" s="2">
        <f t="shared" si="2"/>
        <v>2067.1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"4147", " - ", "NON-TAXABLE SALES-MISC")</f>
        <v xml:space="preserve">          4147 - NON-TAXABLE SALES-MISC</v>
      </c>
      <c r="C65" s="11"/>
      <c r="D65" s="2">
        <f>--16.5</f>
        <v>16.5</v>
      </c>
      <c r="E65" s="2"/>
      <c r="F65" s="22"/>
      <c r="G65" s="2"/>
      <c r="H65" s="2"/>
      <c r="I65" s="2"/>
      <c r="J65" s="22"/>
      <c r="K65" s="2"/>
      <c r="L65" s="2">
        <f t="shared" si="0"/>
        <v>16.5</v>
      </c>
      <c r="M65" s="2"/>
      <c r="N65" s="22">
        <f t="shared" si="1"/>
        <v>0</v>
      </c>
      <c r="O65" s="11"/>
      <c r="P65" s="2">
        <f>--16.5</f>
        <v>16.5</v>
      </c>
      <c r="Q65" s="2"/>
      <c r="R65" s="22"/>
      <c r="S65" s="2"/>
      <c r="T65" s="2"/>
      <c r="U65" s="2"/>
      <c r="V65" s="22"/>
      <c r="W65" s="2"/>
      <c r="X65" s="2">
        <f t="shared" si="2"/>
        <v>16.5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"4201", " - ", "SALES RETURN TAXABLE-NEW TEXT")</f>
        <v xml:space="preserve">          4201 - SALES RETURN TAXABLE-NEW TEXT</v>
      </c>
      <c r="C66" s="11"/>
      <c r="D66" s="2">
        <f>-607.15</f>
        <v>-607.15</v>
      </c>
      <c r="E66" s="2"/>
      <c r="F66" s="22"/>
      <c r="G66" s="2"/>
      <c r="H66" s="2"/>
      <c r="I66" s="2"/>
      <c r="J66" s="22"/>
      <c r="K66" s="2"/>
      <c r="L66" s="2">
        <f t="shared" si="0"/>
        <v>-607.15</v>
      </c>
      <c r="M66" s="2"/>
      <c r="N66" s="22">
        <f t="shared" si="1"/>
        <v>0</v>
      </c>
      <c r="O66" s="11"/>
      <c r="P66" s="2">
        <f>-607.15</f>
        <v>-607.15</v>
      </c>
      <c r="Q66" s="2"/>
      <c r="R66" s="22"/>
      <c r="S66" s="2"/>
      <c r="T66" s="2"/>
      <c r="U66" s="2"/>
      <c r="V66" s="22"/>
      <c r="W66" s="2"/>
      <c r="X66" s="2">
        <f t="shared" si="2"/>
        <v>-607.15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"4202", " - ", "SALES RETURN TAXABLE-USED TEXT")</f>
        <v xml:space="preserve">          4202 - SALES RETURN TAXABLE-USED TEXT</v>
      </c>
      <c r="C67" s="11"/>
      <c r="D67" s="2">
        <f>-721.45</f>
        <v>-721.45</v>
      </c>
      <c r="E67" s="2"/>
      <c r="F67" s="22"/>
      <c r="G67" s="2"/>
      <c r="H67" s="2"/>
      <c r="I67" s="2"/>
      <c r="J67" s="22"/>
      <c r="K67" s="2"/>
      <c r="L67" s="2">
        <f t="shared" si="0"/>
        <v>-721.45</v>
      </c>
      <c r="M67" s="2"/>
      <c r="N67" s="22">
        <f t="shared" si="1"/>
        <v>0</v>
      </c>
      <c r="O67" s="11"/>
      <c r="P67" s="2">
        <f>-721.45</f>
        <v>-721.45</v>
      </c>
      <c r="Q67" s="2"/>
      <c r="R67" s="22"/>
      <c r="S67" s="2"/>
      <c r="T67" s="2"/>
      <c r="U67" s="2"/>
      <c r="V67" s="22"/>
      <c r="W67" s="2"/>
      <c r="X67" s="2">
        <f t="shared" si="2"/>
        <v>-721.45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"4225", " - ", "SALES RETURN TAXABLE-TEST FORM")</f>
        <v xml:space="preserve">          4225 - SALES RETURN TAXABLE-TEST FORM</v>
      </c>
      <c r="C68" s="11"/>
      <c r="D68" s="2">
        <f>-4.08</f>
        <v>-4.08</v>
      </c>
      <c r="E68" s="2"/>
      <c r="F68" s="22"/>
      <c r="G68" s="2"/>
      <c r="H68" s="2"/>
      <c r="I68" s="2"/>
      <c r="J68" s="22"/>
      <c r="K68" s="2"/>
      <c r="L68" s="2">
        <f t="shared" si="0"/>
        <v>-4.08</v>
      </c>
      <c r="M68" s="2"/>
      <c r="N68" s="22">
        <f t="shared" si="1"/>
        <v>0</v>
      </c>
      <c r="O68" s="11"/>
      <c r="P68" s="2">
        <f>-4.08</f>
        <v>-4.08</v>
      </c>
      <c r="Q68" s="2"/>
      <c r="R68" s="22"/>
      <c r="S68" s="2"/>
      <c r="T68" s="2"/>
      <c r="U68" s="2"/>
      <c r="V68" s="22"/>
      <c r="W68" s="2"/>
      <c r="X68" s="2">
        <f t="shared" si="2"/>
        <v>-4.08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"4226", " - ", "SALES RETURN TAXABLE-WRITING I")</f>
        <v xml:space="preserve">          4226 - SALES RETURN TAXABLE-WRITING I</v>
      </c>
      <c r="C69" s="11"/>
      <c r="D69" s="2">
        <f>-63.93</f>
        <v>-63.93</v>
      </c>
      <c r="E69" s="2"/>
      <c r="F69" s="22"/>
      <c r="G69" s="2"/>
      <c r="H69" s="2"/>
      <c r="I69" s="2"/>
      <c r="J69" s="22"/>
      <c r="K69" s="2"/>
      <c r="L69" s="2">
        <f t="shared" si="0"/>
        <v>-63.93</v>
      </c>
      <c r="M69" s="2"/>
      <c r="N69" s="22">
        <f t="shared" si="1"/>
        <v>0</v>
      </c>
      <c r="O69" s="11"/>
      <c r="P69" s="2">
        <f>-63.93</f>
        <v>-63.93</v>
      </c>
      <c r="Q69" s="2"/>
      <c r="R69" s="22"/>
      <c r="S69" s="2"/>
      <c r="T69" s="2"/>
      <c r="U69" s="2"/>
      <c r="V69" s="22"/>
      <c r="W69" s="2"/>
      <c r="X69" s="2">
        <f t="shared" si="2"/>
        <v>-63.93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"4227", " - ", "SALES RETURN TAXABLE-SCHOOL SU")</f>
        <v xml:space="preserve">          4227 - SALES RETURN TAXABLE-SCHOOL SU</v>
      </c>
      <c r="C70" s="11"/>
      <c r="D70" s="2">
        <f>-165.44</f>
        <v>-165.44</v>
      </c>
      <c r="E70" s="2"/>
      <c r="F70" s="22"/>
      <c r="G70" s="2"/>
      <c r="H70" s="2"/>
      <c r="I70" s="2"/>
      <c r="J70" s="22"/>
      <c r="K70" s="2"/>
      <c r="L70" s="2">
        <f t="shared" si="0"/>
        <v>-165.44</v>
      </c>
      <c r="M70" s="2"/>
      <c r="N70" s="22">
        <f t="shared" si="1"/>
        <v>0</v>
      </c>
      <c r="O70" s="11"/>
      <c r="P70" s="2">
        <f>-165.44</f>
        <v>-165.44</v>
      </c>
      <c r="Q70" s="2"/>
      <c r="R70" s="22"/>
      <c r="S70" s="2"/>
      <c r="T70" s="2"/>
      <c r="U70" s="2"/>
      <c r="V70" s="22"/>
      <c r="W70" s="2"/>
      <c r="X70" s="2">
        <f t="shared" si="2"/>
        <v>-165.44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"4228", " - ", "SALES RETURN TAXABLE-ART/TECH")</f>
        <v xml:space="preserve">          4228 - SALES RETURN TAXABLE-ART/TECH</v>
      </c>
      <c r="C71" s="11"/>
      <c r="D71" s="2">
        <f>-10.37</f>
        <v>-10.37</v>
      </c>
      <c r="E71" s="2"/>
      <c r="F71" s="22"/>
      <c r="G71" s="2"/>
      <c r="H71" s="2"/>
      <c r="I71" s="2"/>
      <c r="J71" s="22"/>
      <c r="K71" s="2"/>
      <c r="L71" s="2">
        <f t="shared" si="0"/>
        <v>-10.37</v>
      </c>
      <c r="M71" s="2"/>
      <c r="N71" s="22">
        <f t="shared" si="1"/>
        <v>0</v>
      </c>
      <c r="O71" s="11"/>
      <c r="P71" s="2">
        <f>-10.37</f>
        <v>-10.37</v>
      </c>
      <c r="Q71" s="2"/>
      <c r="R71" s="22"/>
      <c r="S71" s="2"/>
      <c r="T71" s="2"/>
      <c r="U71" s="2"/>
      <c r="V71" s="22"/>
      <c r="W71" s="2"/>
      <c r="X71" s="2">
        <f t="shared" si="2"/>
        <v>-10.37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"4240", " - ", "SALES RETURN TAXABLE-LOGO CLOT")</f>
        <v xml:space="preserve">          4240 - SALES RETURN TAXABLE-LOGO CLOT</v>
      </c>
      <c r="C72" s="11"/>
      <c r="D72" s="2">
        <f>-4446.84</f>
        <v>-4446.84</v>
      </c>
      <c r="E72" s="2"/>
      <c r="F72" s="22"/>
      <c r="G72" s="2"/>
      <c r="H72" s="2"/>
      <c r="I72" s="2"/>
      <c r="J72" s="22"/>
      <c r="K72" s="2"/>
      <c r="L72" s="2">
        <f t="shared" si="0"/>
        <v>-4446.84</v>
      </c>
      <c r="M72" s="2"/>
      <c r="N72" s="22">
        <f t="shared" si="1"/>
        <v>0</v>
      </c>
      <c r="O72" s="11"/>
      <c r="P72" s="2">
        <f>-4446.84</f>
        <v>-4446.84</v>
      </c>
      <c r="Q72" s="2"/>
      <c r="R72" s="22"/>
      <c r="S72" s="2"/>
      <c r="T72" s="2"/>
      <c r="U72" s="2"/>
      <c r="V72" s="22"/>
      <c r="W72" s="2"/>
      <c r="X72" s="2">
        <f t="shared" si="2"/>
        <v>-4446.84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"4241", " - ", "SALES RETURN TAXABLE-LOGO GIFT")</f>
        <v xml:space="preserve">          4241 - SALES RETURN TAXABLE-LOGO GIFT</v>
      </c>
      <c r="C73" s="11"/>
      <c r="D73" s="2">
        <f>-718.9</f>
        <v>-718.9</v>
      </c>
      <c r="E73" s="2"/>
      <c r="F73" s="22"/>
      <c r="G73" s="2"/>
      <c r="H73" s="2"/>
      <c r="I73" s="2"/>
      <c r="J73" s="22"/>
      <c r="K73" s="2"/>
      <c r="L73" s="2">
        <f t="shared" si="0"/>
        <v>-718.9</v>
      </c>
      <c r="M73" s="2"/>
      <c r="N73" s="22">
        <f t="shared" si="1"/>
        <v>0</v>
      </c>
      <c r="O73" s="11"/>
      <c r="P73" s="2">
        <f>-718.9</f>
        <v>-718.9</v>
      </c>
      <c r="Q73" s="2"/>
      <c r="R73" s="22"/>
      <c r="S73" s="2"/>
      <c r="T73" s="2"/>
      <c r="U73" s="2"/>
      <c r="V73" s="22"/>
      <c r="W73" s="2"/>
      <c r="X73" s="2">
        <f t="shared" si="2"/>
        <v>-718.9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"4242", " - ", "SALES RETURN TAXABLE-EVERYDAY")</f>
        <v xml:space="preserve">          4242 - SALES RETURN TAXABLE-EVERYDAY</v>
      </c>
      <c r="C74" s="11"/>
      <c r="D74" s="2">
        <f>-373.98</f>
        <v>-373.98</v>
      </c>
      <c r="E74" s="2"/>
      <c r="F74" s="22"/>
      <c r="G74" s="2"/>
      <c r="H74" s="2"/>
      <c r="I74" s="2"/>
      <c r="J74" s="22"/>
      <c r="K74" s="2"/>
      <c r="L74" s="2">
        <f t="shared" si="0"/>
        <v>-373.98</v>
      </c>
      <c r="M74" s="2"/>
      <c r="N74" s="22">
        <f t="shared" si="1"/>
        <v>0</v>
      </c>
      <c r="O74" s="11"/>
      <c r="P74" s="2">
        <f>-373.98</f>
        <v>-373.98</v>
      </c>
      <c r="Q74" s="2"/>
      <c r="R74" s="22"/>
      <c r="S74" s="2"/>
      <c r="T74" s="2"/>
      <c r="U74" s="2"/>
      <c r="V74" s="22"/>
      <c r="W74" s="2"/>
      <c r="X74" s="2">
        <f t="shared" si="2"/>
        <v>-373.98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"4244", " - ", "SALES RETURN TAXABLE-ACCESSORI")</f>
        <v xml:space="preserve">          4244 - SALES RETURN TAXABLE-ACCESSORI</v>
      </c>
      <c r="C75" s="11"/>
      <c r="D75" s="2">
        <f>-106.79</f>
        <v>-106.79</v>
      </c>
      <c r="E75" s="2"/>
      <c r="F75" s="22"/>
      <c r="G75" s="2"/>
      <c r="H75" s="2"/>
      <c r="I75" s="2"/>
      <c r="J75" s="22"/>
      <c r="K75" s="2"/>
      <c r="L75" s="2">
        <f t="shared" si="0"/>
        <v>-106.79</v>
      </c>
      <c r="M75" s="2"/>
      <c r="N75" s="22">
        <f t="shared" si="1"/>
        <v>0</v>
      </c>
      <c r="O75" s="11"/>
      <c r="P75" s="2">
        <f>-106.79</f>
        <v>-106.79</v>
      </c>
      <c r="Q75" s="2"/>
      <c r="R75" s="22"/>
      <c r="S75" s="2"/>
      <c r="T75" s="2"/>
      <c r="U75" s="2"/>
      <c r="V75" s="22"/>
      <c r="W75" s="2"/>
      <c r="X75" s="2">
        <f t="shared" si="2"/>
        <v>-106.79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"4292", " - ", "SALES RETURN TAXABLE-GRAD MERC")</f>
        <v xml:space="preserve">          4292 - SALES RETURN TAXABLE-GRAD MERC</v>
      </c>
      <c r="C76" s="11"/>
      <c r="D76" s="2">
        <f>-9.95</f>
        <v>-9.9499999999999993</v>
      </c>
      <c r="E76" s="2"/>
      <c r="F76" s="22"/>
      <c r="G76" s="2"/>
      <c r="H76" s="2"/>
      <c r="I76" s="2"/>
      <c r="J76" s="22"/>
      <c r="K76" s="2"/>
      <c r="L76" s="2">
        <f t="shared" si="0"/>
        <v>-9.9499999999999993</v>
      </c>
      <c r="M76" s="2"/>
      <c r="N76" s="22">
        <f t="shared" si="1"/>
        <v>0</v>
      </c>
      <c r="O76" s="11"/>
      <c r="P76" s="2">
        <f>-9.95</f>
        <v>-9.9499999999999993</v>
      </c>
      <c r="Q76" s="2"/>
      <c r="R76" s="22"/>
      <c r="S76" s="2"/>
      <c r="T76" s="2"/>
      <c r="U76" s="2"/>
      <c r="V76" s="22"/>
      <c r="W76" s="2"/>
      <c r="X76" s="2">
        <f t="shared" si="2"/>
        <v>-9.9499999999999993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"4301", " - ", "SALES RETURN NON TAXABLE-NEW T")</f>
        <v xml:space="preserve">          4301 - SALES RETURN NON TAXABLE-NEW T</v>
      </c>
      <c r="C77" s="11"/>
      <c r="D77" s="2">
        <f>-254.59</f>
        <v>-254.59</v>
      </c>
      <c r="E77" s="2"/>
      <c r="F77" s="22"/>
      <c r="G77" s="2"/>
      <c r="H77" s="2"/>
      <c r="I77" s="2"/>
      <c r="J77" s="22"/>
      <c r="K77" s="2"/>
      <c r="L77" s="2">
        <f t="shared" si="0"/>
        <v>-254.59</v>
      </c>
      <c r="M77" s="2"/>
      <c r="N77" s="22">
        <f t="shared" si="1"/>
        <v>0</v>
      </c>
      <c r="O77" s="11"/>
      <c r="P77" s="2">
        <f>-254.59</f>
        <v>-254.59</v>
      </c>
      <c r="Q77" s="2"/>
      <c r="R77" s="22"/>
      <c r="S77" s="2"/>
      <c r="T77" s="2"/>
      <c r="U77" s="2"/>
      <c r="V77" s="22"/>
      <c r="W77" s="2"/>
      <c r="X77" s="2">
        <f t="shared" si="2"/>
        <v>-254.59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"4311", " - ", "SALES RETURN NON TAXABLE-NO VA")</f>
        <v xml:space="preserve">          4311 - SALES RETURN NON TAXABLE-NO VA</v>
      </c>
      <c r="C78" s="11"/>
      <c r="D78" s="2">
        <f>-31.98</f>
        <v>-31.98</v>
      </c>
      <c r="E78" s="2"/>
      <c r="F78" s="22"/>
      <c r="G78" s="2"/>
      <c r="H78" s="2"/>
      <c r="I78" s="2"/>
      <c r="J78" s="22"/>
      <c r="K78" s="2"/>
      <c r="L78" s="2">
        <f t="shared" si="0"/>
        <v>-31.98</v>
      </c>
      <c r="M78" s="2"/>
      <c r="N78" s="22">
        <f t="shared" si="1"/>
        <v>0</v>
      </c>
      <c r="O78" s="11"/>
      <c r="P78" s="2">
        <f>-31.98</f>
        <v>-31.98</v>
      </c>
      <c r="Q78" s="2"/>
      <c r="R78" s="22"/>
      <c r="S78" s="2"/>
      <c r="T78" s="2"/>
      <c r="U78" s="2"/>
      <c r="V78" s="22"/>
      <c r="W78" s="2"/>
      <c r="X78" s="2">
        <f t="shared" si="2"/>
        <v>-31.98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"4340", " - ", "SALES RETURN NON TAXABLE-LOGO")</f>
        <v xml:space="preserve">          4340 - SALES RETURN NON TAXABLE-LOGO</v>
      </c>
      <c r="C79" s="11"/>
      <c r="D79" s="2">
        <f>-223.55</f>
        <v>-223.55</v>
      </c>
      <c r="E79" s="2"/>
      <c r="F79" s="22"/>
      <c r="G79" s="2"/>
      <c r="H79" s="2"/>
      <c r="I79" s="2"/>
      <c r="J79" s="22"/>
      <c r="K79" s="2"/>
      <c r="L79" s="2">
        <f t="shared" si="0"/>
        <v>-223.55</v>
      </c>
      <c r="M79" s="2"/>
      <c r="N79" s="22">
        <f t="shared" si="1"/>
        <v>0</v>
      </c>
      <c r="O79" s="11"/>
      <c r="P79" s="2">
        <f>-223.55</f>
        <v>-223.55</v>
      </c>
      <c r="Q79" s="2"/>
      <c r="R79" s="22"/>
      <c r="S79" s="2"/>
      <c r="T79" s="2"/>
      <c r="U79" s="2"/>
      <c r="V79" s="22"/>
      <c r="W79" s="2"/>
      <c r="X79" s="2">
        <f t="shared" si="2"/>
        <v>-223.55</v>
      </c>
      <c r="Y79" s="2"/>
      <c r="Z79" s="22">
        <f t="shared" si="3"/>
        <v>0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collapsed="1" x14ac:dyDescent="0.25">
      <c r="A81" s="10"/>
      <c r="B81" s="25" t="s">
        <v>8</v>
      </c>
      <c r="C81" s="10"/>
      <c r="D81" s="4">
        <f>SUM(OSRRefD16x_0)</f>
        <v>193922.42999999996</v>
      </c>
      <c r="E81" s="4"/>
      <c r="F81" s="12">
        <f t="shared" ref="F81:F118" si="4">IF(D$12=0,0,D81/D$12)</f>
        <v>0.55101245280494826</v>
      </c>
      <c r="G81" s="4"/>
      <c r="H81" s="4">
        <f>SUM(OSRRefH16x_0)</f>
        <v>209189.56432</v>
      </c>
      <c r="I81" s="4"/>
      <c r="J81" s="12">
        <f t="shared" ref="J81:J118" si="5">IF(H$12=0,0,H81/H$12)</f>
        <v>0.54103163167016399</v>
      </c>
      <c r="K81" s="4"/>
      <c r="L81" s="4">
        <f t="shared" ref="L81:L118" si="6">+D81-H81</f>
        <v>-15267.134320000041</v>
      </c>
      <c r="M81" s="4"/>
      <c r="N81" s="12">
        <f t="shared" ref="N81:N118" si="7">IF(H81=0,0,L81/H81)</f>
        <v>-7.2982294167627346E-2</v>
      </c>
      <c r="O81" s="10"/>
      <c r="P81" s="4">
        <f>SUM(OSRRefP16x_0)</f>
        <v>193922.42999999996</v>
      </c>
      <c r="Q81" s="4"/>
      <c r="R81" s="12">
        <f t="shared" ref="R81:R118" si="8">IF(P$12=0,0,P81/P$12)</f>
        <v>0.55101245280494826</v>
      </c>
      <c r="S81" s="4"/>
      <c r="T81" s="4">
        <f>SUM(OSRRefT16x_0)</f>
        <v>209189.56432</v>
      </c>
      <c r="U81" s="4"/>
      <c r="V81" s="12">
        <f t="shared" ref="V81:V118" si="9">IF(T$12=0,0,T81/T$12)</f>
        <v>0.54103163167016399</v>
      </c>
      <c r="W81" s="4"/>
      <c r="X81" s="4">
        <f t="shared" ref="X81:X118" si="10">+P81-T81</f>
        <v>-15267.134320000041</v>
      </c>
      <c r="Y81" s="4"/>
      <c r="Z81" s="12">
        <f t="shared" ref="Z81:Z118" si="11">IF(T81=0,0,X81/T81)</f>
        <v>-7.2982294167627346E-2</v>
      </c>
    </row>
    <row r="82" spans="1:26" s="24" customFormat="1" hidden="1" outlineLevel="1" x14ac:dyDescent="0.25">
      <c r="A82" s="51"/>
      <c r="B82" s="11" t="str">
        <f>CONCATENATE("          ", "5000", " - ", "PURCHASES @ COST")</f>
        <v xml:space="preserve">          5000 - PURCHASES @ COST</v>
      </c>
      <c r="C82" s="11"/>
      <c r="D82" s="2"/>
      <c r="E82" s="2"/>
      <c r="F82" s="22">
        <f t="shared" si="4"/>
        <v>0</v>
      </c>
      <c r="G82" s="2"/>
      <c r="H82" s="2">
        <v>209189.56432</v>
      </c>
      <c r="I82" s="2"/>
      <c r="J82" s="22">
        <f t="shared" si="5"/>
        <v>0.54103163167016399</v>
      </c>
      <c r="K82" s="2"/>
      <c r="L82" s="2">
        <f t="shared" si="6"/>
        <v>-209189.56432</v>
      </c>
      <c r="M82" s="2"/>
      <c r="N82" s="22">
        <f t="shared" si="7"/>
        <v>-1</v>
      </c>
      <c r="O82" s="11"/>
      <c r="P82" s="2"/>
      <c r="Q82" s="2"/>
      <c r="R82" s="22">
        <f t="shared" si="8"/>
        <v>0</v>
      </c>
      <c r="S82" s="2"/>
      <c r="T82" s="2">
        <v>209189.56432</v>
      </c>
      <c r="U82" s="2"/>
      <c r="V82" s="22">
        <f t="shared" si="9"/>
        <v>0.54103163167016399</v>
      </c>
      <c r="W82" s="2"/>
      <c r="X82" s="2">
        <f t="shared" si="10"/>
        <v>-209189.56432</v>
      </c>
      <c r="Y82" s="2"/>
      <c r="Z82" s="22">
        <f t="shared" si="11"/>
        <v>-1</v>
      </c>
    </row>
    <row r="83" spans="1:26" s="24" customFormat="1" hidden="1" outlineLevel="1" x14ac:dyDescent="0.25">
      <c r="A83" s="51"/>
      <c r="B83" s="11" t="str">
        <f>CONCATENATE("          ", "5001", " - ", "PURCHASES @ COST-NEW TEXT")</f>
        <v xml:space="preserve">          5001 - PURCHASES @ COST-NEW TEXT</v>
      </c>
      <c r="C83" s="11"/>
      <c r="D83" s="2">
        <v>343994.56</v>
      </c>
      <c r="E83" s="2"/>
      <c r="F83" s="22">
        <f t="shared" si="4"/>
        <v>0.97742837822916617</v>
      </c>
      <c r="G83" s="2"/>
      <c r="H83" s="2"/>
      <c r="I83" s="2"/>
      <c r="J83" s="22">
        <f t="shared" si="5"/>
        <v>0</v>
      </c>
      <c r="K83" s="2"/>
      <c r="L83" s="2">
        <f t="shared" si="6"/>
        <v>343994.56</v>
      </c>
      <c r="M83" s="2"/>
      <c r="N83" s="22">
        <f t="shared" si="7"/>
        <v>0</v>
      </c>
      <c r="O83" s="11"/>
      <c r="P83" s="2">
        <v>343994.56</v>
      </c>
      <c r="Q83" s="2"/>
      <c r="R83" s="22">
        <f t="shared" si="8"/>
        <v>0.97742837822916617</v>
      </c>
      <c r="S83" s="2"/>
      <c r="T83" s="2"/>
      <c r="U83" s="2"/>
      <c r="V83" s="22">
        <f t="shared" si="9"/>
        <v>0</v>
      </c>
      <c r="W83" s="2"/>
      <c r="X83" s="2">
        <f t="shared" si="10"/>
        <v>343994.56</v>
      </c>
      <c r="Y83" s="2"/>
      <c r="Z83" s="22">
        <f t="shared" si="11"/>
        <v>0</v>
      </c>
    </row>
    <row r="84" spans="1:26" s="24" customFormat="1" hidden="1" outlineLevel="1" x14ac:dyDescent="0.25">
      <c r="A84" s="51"/>
      <c r="B84" s="11" t="str">
        <f>CONCATENATE("          ", "5002", " - ", "PURCHASES @ COST-USED TEXT")</f>
        <v xml:space="preserve">          5002 - PURCHASES @ COST-USED TEXT</v>
      </c>
      <c r="C84" s="11"/>
      <c r="D84" s="2">
        <v>110293.25</v>
      </c>
      <c r="E84" s="2"/>
      <c r="F84" s="22">
        <f t="shared" si="4"/>
        <v>0.3133879572895687</v>
      </c>
      <c r="G84" s="2"/>
      <c r="H84" s="2"/>
      <c r="I84" s="2"/>
      <c r="J84" s="22">
        <f t="shared" si="5"/>
        <v>0</v>
      </c>
      <c r="K84" s="2"/>
      <c r="L84" s="2">
        <f t="shared" si="6"/>
        <v>110293.25</v>
      </c>
      <c r="M84" s="2"/>
      <c r="N84" s="22">
        <f t="shared" si="7"/>
        <v>0</v>
      </c>
      <c r="O84" s="11"/>
      <c r="P84" s="2">
        <v>110293.25</v>
      </c>
      <c r="Q84" s="2"/>
      <c r="R84" s="22">
        <f t="shared" si="8"/>
        <v>0.3133879572895687</v>
      </c>
      <c r="S84" s="2"/>
      <c r="T84" s="2"/>
      <c r="U84" s="2"/>
      <c r="V84" s="22">
        <f t="shared" si="9"/>
        <v>0</v>
      </c>
      <c r="W84" s="2"/>
      <c r="X84" s="2">
        <f t="shared" si="10"/>
        <v>110293.25</v>
      </c>
      <c r="Y84" s="2"/>
      <c r="Z84" s="22">
        <f t="shared" si="11"/>
        <v>0</v>
      </c>
    </row>
    <row r="85" spans="1:26" s="24" customFormat="1" hidden="1" outlineLevel="1" x14ac:dyDescent="0.25">
      <c r="A85" s="51"/>
      <c r="B85" s="11" t="str">
        <f>CONCATENATE("          ", "5003", " - ", "PURCHASES @ COST-RENTAL TEXT")</f>
        <v xml:space="preserve">          5003 - PURCHASES @ COST-RENTAL TEXT</v>
      </c>
      <c r="C85" s="11"/>
      <c r="D85" s="2">
        <v>38295.800000000003</v>
      </c>
      <c r="E85" s="2"/>
      <c r="F85" s="22">
        <f t="shared" si="4"/>
        <v>0.10881393498486866</v>
      </c>
      <c r="G85" s="2"/>
      <c r="H85" s="2"/>
      <c r="I85" s="2"/>
      <c r="J85" s="22">
        <f t="shared" si="5"/>
        <v>0</v>
      </c>
      <c r="K85" s="2"/>
      <c r="L85" s="2">
        <f t="shared" si="6"/>
        <v>38295.800000000003</v>
      </c>
      <c r="M85" s="2"/>
      <c r="N85" s="22">
        <f t="shared" si="7"/>
        <v>0</v>
      </c>
      <c r="O85" s="11"/>
      <c r="P85" s="2">
        <v>38295.800000000003</v>
      </c>
      <c r="Q85" s="2"/>
      <c r="R85" s="22">
        <f t="shared" si="8"/>
        <v>0.10881393498486866</v>
      </c>
      <c r="S85" s="2"/>
      <c r="T85" s="2"/>
      <c r="U85" s="2"/>
      <c r="V85" s="22">
        <f t="shared" si="9"/>
        <v>0</v>
      </c>
      <c r="W85" s="2"/>
      <c r="X85" s="2">
        <f t="shared" si="10"/>
        <v>38295.800000000003</v>
      </c>
      <c r="Y85" s="2"/>
      <c r="Z85" s="22">
        <f t="shared" si="11"/>
        <v>0</v>
      </c>
    </row>
    <row r="86" spans="1:26" s="24" customFormat="1" hidden="1" outlineLevel="1" x14ac:dyDescent="0.25">
      <c r="A86" s="51"/>
      <c r="B86" s="11" t="str">
        <f>CONCATENATE("          ", "5004", " - ", "PURCHASES @ COST-DIGITAL TEXT")</f>
        <v xml:space="preserve">          5004 - PURCHASES @ COST-DIGITAL TEXT</v>
      </c>
      <c r="C86" s="11"/>
      <c r="D86" s="2">
        <v>133958.57</v>
      </c>
      <c r="E86" s="2"/>
      <c r="F86" s="22">
        <f t="shared" si="4"/>
        <v>0.38063075132641117</v>
      </c>
      <c r="G86" s="2"/>
      <c r="H86" s="2"/>
      <c r="I86" s="2"/>
      <c r="J86" s="22">
        <f t="shared" si="5"/>
        <v>0</v>
      </c>
      <c r="K86" s="2"/>
      <c r="L86" s="2">
        <f t="shared" si="6"/>
        <v>133958.57</v>
      </c>
      <c r="M86" s="2"/>
      <c r="N86" s="22">
        <f t="shared" si="7"/>
        <v>0</v>
      </c>
      <c r="O86" s="11"/>
      <c r="P86" s="2">
        <v>133958.57</v>
      </c>
      <c r="Q86" s="2"/>
      <c r="R86" s="22">
        <f t="shared" si="8"/>
        <v>0.38063075132641117</v>
      </c>
      <c r="S86" s="2"/>
      <c r="T86" s="2"/>
      <c r="U86" s="2"/>
      <c r="V86" s="22">
        <f t="shared" si="9"/>
        <v>0</v>
      </c>
      <c r="W86" s="2"/>
      <c r="X86" s="2">
        <f t="shared" si="10"/>
        <v>133958.57</v>
      </c>
      <c r="Y86" s="2"/>
      <c r="Z86" s="22">
        <f t="shared" si="11"/>
        <v>0</v>
      </c>
    </row>
    <row r="87" spans="1:26" s="24" customFormat="1" hidden="1" outlineLevel="1" x14ac:dyDescent="0.25">
      <c r="A87" s="51"/>
      <c r="B87" s="11" t="str">
        <f>CONCATENATE("          ", "5011", " - ", "PURCHASES @ COST-NO VALUE TEXT")</f>
        <v xml:space="preserve">          5011 - PURCHASES @ COST-NO VALUE TEXT</v>
      </c>
      <c r="C87" s="11"/>
      <c r="D87" s="2">
        <v>288</v>
      </c>
      <c r="E87" s="2"/>
      <c r="F87" s="22">
        <f t="shared" si="4"/>
        <v>8.1832507156508476E-4</v>
      </c>
      <c r="G87" s="2"/>
      <c r="H87" s="2"/>
      <c r="I87" s="2"/>
      <c r="J87" s="22">
        <f t="shared" si="5"/>
        <v>0</v>
      </c>
      <c r="K87" s="2"/>
      <c r="L87" s="2">
        <f t="shared" si="6"/>
        <v>288</v>
      </c>
      <c r="M87" s="2"/>
      <c r="N87" s="22">
        <f t="shared" si="7"/>
        <v>0</v>
      </c>
      <c r="O87" s="11"/>
      <c r="P87" s="2">
        <v>288</v>
      </c>
      <c r="Q87" s="2"/>
      <c r="R87" s="22">
        <f t="shared" si="8"/>
        <v>8.1832507156508476E-4</v>
      </c>
      <c r="S87" s="2"/>
      <c r="T87" s="2"/>
      <c r="U87" s="2"/>
      <c r="V87" s="22">
        <f t="shared" si="9"/>
        <v>0</v>
      </c>
      <c r="W87" s="2"/>
      <c r="X87" s="2">
        <f t="shared" si="10"/>
        <v>288</v>
      </c>
      <c r="Y87" s="2"/>
      <c r="Z87" s="22">
        <f t="shared" si="11"/>
        <v>0</v>
      </c>
    </row>
    <row r="88" spans="1:26" s="24" customFormat="1" hidden="1" outlineLevel="1" x14ac:dyDescent="0.25">
      <c r="A88" s="51"/>
      <c r="B88" s="11" t="str">
        <f>CONCATENATE("          ", "5013", " - ", "PURCHASES @ COST-TRADE BOOKS")</f>
        <v xml:space="preserve">          5013 - PURCHASES @ COST-TRADE BOOKS</v>
      </c>
      <c r="C88" s="11"/>
      <c r="D88" s="2">
        <v>204.9</v>
      </c>
      <c r="E88" s="2"/>
      <c r="F88" s="22">
        <f t="shared" si="4"/>
        <v>5.8220419154057595E-4</v>
      </c>
      <c r="G88" s="2"/>
      <c r="H88" s="2"/>
      <c r="I88" s="2"/>
      <c r="J88" s="22">
        <f t="shared" si="5"/>
        <v>0</v>
      </c>
      <c r="K88" s="2"/>
      <c r="L88" s="2">
        <f t="shared" si="6"/>
        <v>204.9</v>
      </c>
      <c r="M88" s="2"/>
      <c r="N88" s="22">
        <f t="shared" si="7"/>
        <v>0</v>
      </c>
      <c r="O88" s="11"/>
      <c r="P88" s="2">
        <v>204.9</v>
      </c>
      <c r="Q88" s="2"/>
      <c r="R88" s="22">
        <f t="shared" si="8"/>
        <v>5.8220419154057595E-4</v>
      </c>
      <c r="S88" s="2"/>
      <c r="T88" s="2"/>
      <c r="U88" s="2"/>
      <c r="V88" s="22">
        <f t="shared" si="9"/>
        <v>0</v>
      </c>
      <c r="W88" s="2"/>
      <c r="X88" s="2">
        <f t="shared" si="10"/>
        <v>204.9</v>
      </c>
      <c r="Y88" s="2"/>
      <c r="Z88" s="22">
        <f t="shared" si="11"/>
        <v>0</v>
      </c>
    </row>
    <row r="89" spans="1:26" s="24" customFormat="1" hidden="1" outlineLevel="1" x14ac:dyDescent="0.25">
      <c r="A89" s="51"/>
      <c r="B89" s="11" t="str">
        <f>CONCATENATE("          ", "5014", " - ", "PURCHASES @ COST-REMAINDERS")</f>
        <v xml:space="preserve">          5014 - PURCHASES @ COST-REMAINDERS</v>
      </c>
      <c r="C89" s="11"/>
      <c r="D89" s="2">
        <v>100.48</v>
      </c>
      <c r="E89" s="2"/>
      <c r="F89" s="22">
        <f t="shared" si="4"/>
        <v>2.8550452496826293E-4</v>
      </c>
      <c r="G89" s="2"/>
      <c r="H89" s="2"/>
      <c r="I89" s="2"/>
      <c r="J89" s="22">
        <f t="shared" si="5"/>
        <v>0</v>
      </c>
      <c r="K89" s="2"/>
      <c r="L89" s="2">
        <f t="shared" si="6"/>
        <v>100.48</v>
      </c>
      <c r="M89" s="2"/>
      <c r="N89" s="22">
        <f t="shared" si="7"/>
        <v>0</v>
      </c>
      <c r="O89" s="11"/>
      <c r="P89" s="2">
        <v>100.48</v>
      </c>
      <c r="Q89" s="2"/>
      <c r="R89" s="22">
        <f t="shared" si="8"/>
        <v>2.8550452496826293E-4</v>
      </c>
      <c r="S89" s="2"/>
      <c r="T89" s="2"/>
      <c r="U89" s="2"/>
      <c r="V89" s="22">
        <f t="shared" si="9"/>
        <v>0</v>
      </c>
      <c r="W89" s="2"/>
      <c r="X89" s="2">
        <f t="shared" si="10"/>
        <v>100.48</v>
      </c>
      <c r="Y89" s="2"/>
      <c r="Z89" s="22">
        <f t="shared" si="11"/>
        <v>0</v>
      </c>
    </row>
    <row r="90" spans="1:26" s="24" customFormat="1" hidden="1" outlineLevel="1" x14ac:dyDescent="0.25">
      <c r="A90" s="51"/>
      <c r="B90" s="11" t="str">
        <f>CONCATENATE("          ", "5018", " - ", "PURCHASES @ COST-STUDY GUIDES")</f>
        <v xml:space="preserve">          5018 - PURCHASES @ COST-STUDY GUIDES</v>
      </c>
      <c r="C90" s="11"/>
      <c r="D90" s="2">
        <v>503.93</v>
      </c>
      <c r="E90" s="2"/>
      <c r="F90" s="22">
        <f t="shared" si="4"/>
        <v>1.4318699767840041E-3</v>
      </c>
      <c r="G90" s="2"/>
      <c r="H90" s="2"/>
      <c r="I90" s="2"/>
      <c r="J90" s="22">
        <f t="shared" si="5"/>
        <v>0</v>
      </c>
      <c r="K90" s="2"/>
      <c r="L90" s="2">
        <f t="shared" si="6"/>
        <v>503.93</v>
      </c>
      <c r="M90" s="2"/>
      <c r="N90" s="22">
        <f t="shared" si="7"/>
        <v>0</v>
      </c>
      <c r="O90" s="11"/>
      <c r="P90" s="2">
        <v>503.93</v>
      </c>
      <c r="Q90" s="2"/>
      <c r="R90" s="22">
        <f t="shared" si="8"/>
        <v>1.4318699767840041E-3</v>
      </c>
      <c r="S90" s="2"/>
      <c r="T90" s="2"/>
      <c r="U90" s="2"/>
      <c r="V90" s="22">
        <f t="shared" si="9"/>
        <v>0</v>
      </c>
      <c r="W90" s="2"/>
      <c r="X90" s="2">
        <f t="shared" si="10"/>
        <v>503.93</v>
      </c>
      <c r="Y90" s="2"/>
      <c r="Z90" s="22">
        <f t="shared" si="11"/>
        <v>0</v>
      </c>
    </row>
    <row r="91" spans="1:26" s="24" customFormat="1" hidden="1" outlineLevel="1" x14ac:dyDescent="0.25">
      <c r="A91" s="51"/>
      <c r="B91" s="11" t="str">
        <f>CONCATENATE("          ", "5025", " - ", "PURCHASES @ COST-TEST FORMS")</f>
        <v xml:space="preserve">          5025 - PURCHASES @ COST-TEST FORMS</v>
      </c>
      <c r="C91" s="11"/>
      <c r="D91" s="2">
        <v>879.12</v>
      </c>
      <c r="E91" s="2"/>
      <c r="F91" s="22">
        <f t="shared" si="4"/>
        <v>2.497937280952421E-3</v>
      </c>
      <c r="G91" s="2"/>
      <c r="H91" s="2"/>
      <c r="I91" s="2"/>
      <c r="J91" s="22">
        <f t="shared" si="5"/>
        <v>0</v>
      </c>
      <c r="K91" s="2"/>
      <c r="L91" s="2">
        <f t="shared" si="6"/>
        <v>879.12</v>
      </c>
      <c r="M91" s="2"/>
      <c r="N91" s="22">
        <f t="shared" si="7"/>
        <v>0</v>
      </c>
      <c r="O91" s="11"/>
      <c r="P91" s="2">
        <v>879.12</v>
      </c>
      <c r="Q91" s="2"/>
      <c r="R91" s="22">
        <f t="shared" si="8"/>
        <v>2.497937280952421E-3</v>
      </c>
      <c r="S91" s="2"/>
      <c r="T91" s="2"/>
      <c r="U91" s="2"/>
      <c r="V91" s="22">
        <f t="shared" si="9"/>
        <v>0</v>
      </c>
      <c r="W91" s="2"/>
      <c r="X91" s="2">
        <f t="shared" si="10"/>
        <v>879.12</v>
      </c>
      <c r="Y91" s="2"/>
      <c r="Z91" s="22">
        <f t="shared" si="11"/>
        <v>0</v>
      </c>
    </row>
    <row r="92" spans="1:26" s="24" customFormat="1" hidden="1" outlineLevel="1" x14ac:dyDescent="0.25">
      <c r="A92" s="51"/>
      <c r="B92" s="11" t="str">
        <f>CONCATENATE("          ", "5026", " - ", "PURCHASES @ COST-WRITING INSTR")</f>
        <v xml:space="preserve">          5026 - PURCHASES @ COST-WRITING INSTR</v>
      </c>
      <c r="C92" s="11"/>
      <c r="D92" s="2">
        <v>10331.040000000001</v>
      </c>
      <c r="E92" s="2"/>
      <c r="F92" s="22">
        <f t="shared" si="4"/>
        <v>2.9354684192158868E-2</v>
      </c>
      <c r="G92" s="2"/>
      <c r="H92" s="2"/>
      <c r="I92" s="2"/>
      <c r="J92" s="22">
        <f t="shared" si="5"/>
        <v>0</v>
      </c>
      <c r="K92" s="2"/>
      <c r="L92" s="2">
        <f t="shared" si="6"/>
        <v>10331.040000000001</v>
      </c>
      <c r="M92" s="2"/>
      <c r="N92" s="22">
        <f t="shared" si="7"/>
        <v>0</v>
      </c>
      <c r="O92" s="11"/>
      <c r="P92" s="2">
        <v>10331.040000000001</v>
      </c>
      <c r="Q92" s="2"/>
      <c r="R92" s="22">
        <f t="shared" si="8"/>
        <v>2.9354684192158868E-2</v>
      </c>
      <c r="S92" s="2"/>
      <c r="T92" s="2"/>
      <c r="U92" s="2"/>
      <c r="V92" s="22">
        <f t="shared" si="9"/>
        <v>0</v>
      </c>
      <c r="W92" s="2"/>
      <c r="X92" s="2">
        <f t="shared" si="10"/>
        <v>10331.040000000001</v>
      </c>
      <c r="Y92" s="2"/>
      <c r="Z92" s="22">
        <f t="shared" si="11"/>
        <v>0</v>
      </c>
    </row>
    <row r="93" spans="1:26" s="24" customFormat="1" hidden="1" outlineLevel="1" x14ac:dyDescent="0.25">
      <c r="A93" s="51"/>
      <c r="B93" s="11" t="str">
        <f>CONCATENATE("          ", "5027", " - ", "PURCHASES @ COST-SCHOOL SUPPLI")</f>
        <v xml:space="preserve">          5027 - PURCHASES @ COST-SCHOOL SUPPLI</v>
      </c>
      <c r="C93" s="11"/>
      <c r="D93" s="2">
        <v>50115.47</v>
      </c>
      <c r="E93" s="2"/>
      <c r="F93" s="22">
        <f t="shared" si="4"/>
        <v>0.14239842213287451</v>
      </c>
      <c r="G93" s="2"/>
      <c r="H93" s="2"/>
      <c r="I93" s="2"/>
      <c r="J93" s="22">
        <f t="shared" si="5"/>
        <v>0</v>
      </c>
      <c r="K93" s="2"/>
      <c r="L93" s="2">
        <f t="shared" si="6"/>
        <v>50115.47</v>
      </c>
      <c r="M93" s="2"/>
      <c r="N93" s="22">
        <f t="shared" si="7"/>
        <v>0</v>
      </c>
      <c r="O93" s="11"/>
      <c r="P93" s="2">
        <v>50115.47</v>
      </c>
      <c r="Q93" s="2"/>
      <c r="R93" s="22">
        <f t="shared" si="8"/>
        <v>0.14239842213287451</v>
      </c>
      <c r="S93" s="2"/>
      <c r="T93" s="2"/>
      <c r="U93" s="2"/>
      <c r="V93" s="22">
        <f t="shared" si="9"/>
        <v>0</v>
      </c>
      <c r="W93" s="2"/>
      <c r="X93" s="2">
        <f t="shared" si="10"/>
        <v>50115.47</v>
      </c>
      <c r="Y93" s="2"/>
      <c r="Z93" s="22">
        <f t="shared" si="11"/>
        <v>0</v>
      </c>
    </row>
    <row r="94" spans="1:26" s="24" customFormat="1" hidden="1" outlineLevel="1" x14ac:dyDescent="0.25">
      <c r="A94" s="51"/>
      <c r="B94" s="11" t="str">
        <f>CONCATENATE("          ", "5028", " - ", "PURCHASES @ COST-ART/TECH")</f>
        <v xml:space="preserve">          5028 - PURCHASES @ COST-ART/TECH</v>
      </c>
      <c r="C94" s="11"/>
      <c r="D94" s="2">
        <v>28027.649999999998</v>
      </c>
      <c r="E94" s="2"/>
      <c r="F94" s="22">
        <f t="shared" si="4"/>
        <v>7.9637946847399818E-2</v>
      </c>
      <c r="G94" s="2"/>
      <c r="H94" s="2"/>
      <c r="I94" s="2"/>
      <c r="J94" s="22">
        <f t="shared" si="5"/>
        <v>0</v>
      </c>
      <c r="K94" s="2"/>
      <c r="L94" s="2">
        <f t="shared" si="6"/>
        <v>28027.649999999998</v>
      </c>
      <c r="M94" s="2"/>
      <c r="N94" s="22">
        <f t="shared" si="7"/>
        <v>0</v>
      </c>
      <c r="O94" s="11"/>
      <c r="P94" s="2">
        <v>28027.649999999998</v>
      </c>
      <c r="Q94" s="2"/>
      <c r="R94" s="22">
        <f t="shared" si="8"/>
        <v>7.9637946847399818E-2</v>
      </c>
      <c r="S94" s="2"/>
      <c r="T94" s="2"/>
      <c r="U94" s="2"/>
      <c r="V94" s="22">
        <f t="shared" si="9"/>
        <v>0</v>
      </c>
      <c r="W94" s="2"/>
      <c r="X94" s="2">
        <f t="shared" si="10"/>
        <v>28027.649999999998</v>
      </c>
      <c r="Y94" s="2"/>
      <c r="Z94" s="22">
        <f t="shared" si="11"/>
        <v>0</v>
      </c>
    </row>
    <row r="95" spans="1:26" s="24" customFormat="1" hidden="1" outlineLevel="1" x14ac:dyDescent="0.25">
      <c r="A95" s="51"/>
      <c r="B95" s="11" t="str">
        <f>CONCATENATE("          ", "5032", " - ", "PURCHASES @ COST-JUICE")</f>
        <v xml:space="preserve">          5032 - PURCHASES @ COST-JUICE</v>
      </c>
      <c r="C95" s="11"/>
      <c r="D95" s="2">
        <v>114.42</v>
      </c>
      <c r="E95" s="2"/>
      <c r="F95" s="22">
        <f t="shared" si="4"/>
        <v>3.2511373155721181E-4</v>
      </c>
      <c r="G95" s="2"/>
      <c r="H95" s="2"/>
      <c r="I95" s="2"/>
      <c r="J95" s="22">
        <f t="shared" si="5"/>
        <v>0</v>
      </c>
      <c r="K95" s="2"/>
      <c r="L95" s="2">
        <f t="shared" si="6"/>
        <v>114.42</v>
      </c>
      <c r="M95" s="2"/>
      <c r="N95" s="22">
        <f t="shared" si="7"/>
        <v>0</v>
      </c>
      <c r="O95" s="11"/>
      <c r="P95" s="2">
        <v>114.42</v>
      </c>
      <c r="Q95" s="2"/>
      <c r="R95" s="22">
        <f t="shared" si="8"/>
        <v>3.2511373155721181E-4</v>
      </c>
      <c r="S95" s="2"/>
      <c r="T95" s="2"/>
      <c r="U95" s="2"/>
      <c r="V95" s="22">
        <f t="shared" si="9"/>
        <v>0</v>
      </c>
      <c r="W95" s="2"/>
      <c r="X95" s="2">
        <f t="shared" si="10"/>
        <v>114.42</v>
      </c>
      <c r="Y95" s="2"/>
      <c r="Z95" s="22">
        <f t="shared" si="11"/>
        <v>0</v>
      </c>
    </row>
    <row r="96" spans="1:26" s="24" customFormat="1" hidden="1" outlineLevel="1" x14ac:dyDescent="0.25">
      <c r="A96" s="51"/>
      <c r="B96" s="11" t="str">
        <f>CONCATENATE("          ", "5034", " - ", "PURCHASES @ COST-SODA")</f>
        <v xml:space="preserve">          5034 - PURCHASES @ COST-SODA</v>
      </c>
      <c r="C96" s="11"/>
      <c r="D96" s="2">
        <v>-61.54</v>
      </c>
      <c r="E96" s="2"/>
      <c r="F96" s="22">
        <f t="shared" si="4"/>
        <v>-1.7486015591706706E-4</v>
      </c>
      <c r="G96" s="2"/>
      <c r="H96" s="2"/>
      <c r="I96" s="2"/>
      <c r="J96" s="22">
        <f t="shared" si="5"/>
        <v>0</v>
      </c>
      <c r="K96" s="2"/>
      <c r="L96" s="2">
        <f t="shared" si="6"/>
        <v>-61.54</v>
      </c>
      <c r="M96" s="2"/>
      <c r="N96" s="22">
        <f t="shared" si="7"/>
        <v>0</v>
      </c>
      <c r="O96" s="11"/>
      <c r="P96" s="2">
        <v>-61.54</v>
      </c>
      <c r="Q96" s="2"/>
      <c r="R96" s="22">
        <f t="shared" si="8"/>
        <v>-1.7486015591706706E-4</v>
      </c>
      <c r="S96" s="2"/>
      <c r="T96" s="2"/>
      <c r="U96" s="2"/>
      <c r="V96" s="22">
        <f t="shared" si="9"/>
        <v>0</v>
      </c>
      <c r="W96" s="2"/>
      <c r="X96" s="2">
        <f t="shared" si="10"/>
        <v>-61.54</v>
      </c>
      <c r="Y96" s="2"/>
      <c r="Z96" s="22">
        <f t="shared" si="11"/>
        <v>0</v>
      </c>
    </row>
    <row r="97" spans="1:26" s="24" customFormat="1" hidden="1" outlineLevel="1" x14ac:dyDescent="0.25">
      <c r="A97" s="51"/>
      <c r="B97" s="11" t="str">
        <f>CONCATENATE("          ", "5037", " - ", "PURCHASES @ COST-WATER")</f>
        <v xml:space="preserve">          5037 - PURCHASES @ COST-WATER</v>
      </c>
      <c r="C97" s="11"/>
      <c r="D97" s="2">
        <v>33.58</v>
      </c>
      <c r="E97" s="2"/>
      <c r="F97" s="22">
        <f t="shared" si="4"/>
        <v>9.5414430219290089E-5</v>
      </c>
      <c r="G97" s="2"/>
      <c r="H97" s="2"/>
      <c r="I97" s="2"/>
      <c r="J97" s="22">
        <f t="shared" si="5"/>
        <v>0</v>
      </c>
      <c r="K97" s="2"/>
      <c r="L97" s="2">
        <f t="shared" si="6"/>
        <v>33.58</v>
      </c>
      <c r="M97" s="2"/>
      <c r="N97" s="22">
        <f t="shared" si="7"/>
        <v>0</v>
      </c>
      <c r="O97" s="11"/>
      <c r="P97" s="2">
        <v>33.58</v>
      </c>
      <c r="Q97" s="2"/>
      <c r="R97" s="22">
        <f t="shared" si="8"/>
        <v>9.5414430219290089E-5</v>
      </c>
      <c r="S97" s="2"/>
      <c r="T97" s="2"/>
      <c r="U97" s="2"/>
      <c r="V97" s="22">
        <f t="shared" si="9"/>
        <v>0</v>
      </c>
      <c r="W97" s="2"/>
      <c r="X97" s="2">
        <f t="shared" si="10"/>
        <v>33.58</v>
      </c>
      <c r="Y97" s="2"/>
      <c r="Z97" s="22">
        <f t="shared" si="11"/>
        <v>0</v>
      </c>
    </row>
    <row r="98" spans="1:26" s="24" customFormat="1" hidden="1" outlineLevel="1" x14ac:dyDescent="0.25">
      <c r="A98" s="51"/>
      <c r="B98" s="11" t="str">
        <f>CONCATENATE("          ", "5040", " - ", "PURCHASES @ COST-LOGO CLOTHING")</f>
        <v xml:space="preserve">          5040 - PURCHASES @ COST-LOGO CLOTHING</v>
      </c>
      <c r="C98" s="11"/>
      <c r="D98" s="2">
        <v>78921.570000000007</v>
      </c>
      <c r="E98" s="2"/>
      <c r="F98" s="22">
        <f t="shared" si="4"/>
        <v>0.2242482618690238</v>
      </c>
      <c r="G98" s="2"/>
      <c r="H98" s="2"/>
      <c r="I98" s="2"/>
      <c r="J98" s="22">
        <f t="shared" si="5"/>
        <v>0</v>
      </c>
      <c r="K98" s="2"/>
      <c r="L98" s="2">
        <f t="shared" si="6"/>
        <v>78921.570000000007</v>
      </c>
      <c r="M98" s="2"/>
      <c r="N98" s="22">
        <f t="shared" si="7"/>
        <v>0</v>
      </c>
      <c r="O98" s="11"/>
      <c r="P98" s="2">
        <v>78921.570000000007</v>
      </c>
      <c r="Q98" s="2"/>
      <c r="R98" s="22">
        <f t="shared" si="8"/>
        <v>0.2242482618690238</v>
      </c>
      <c r="S98" s="2"/>
      <c r="T98" s="2"/>
      <c r="U98" s="2"/>
      <c r="V98" s="22">
        <f t="shared" si="9"/>
        <v>0</v>
      </c>
      <c r="W98" s="2"/>
      <c r="X98" s="2">
        <f t="shared" si="10"/>
        <v>78921.570000000007</v>
      </c>
      <c r="Y98" s="2"/>
      <c r="Z98" s="22">
        <f t="shared" si="11"/>
        <v>0</v>
      </c>
    </row>
    <row r="99" spans="1:26" s="24" customFormat="1" hidden="1" outlineLevel="1" x14ac:dyDescent="0.25">
      <c r="A99" s="51"/>
      <c r="B99" s="11" t="str">
        <f>CONCATENATE("          ", "5041", " - ", "PURCHASES @ COST-LOGO GIFTS")</f>
        <v xml:space="preserve">          5041 - PURCHASES @ COST-LOGO GIFTS</v>
      </c>
      <c r="C99" s="11"/>
      <c r="D99" s="2">
        <v>11950.27</v>
      </c>
      <c r="E99" s="2"/>
      <c r="F99" s="22">
        <f t="shared" si="4"/>
        <v>3.3955574836708628E-2</v>
      </c>
      <c r="G99" s="2"/>
      <c r="H99" s="2"/>
      <c r="I99" s="2"/>
      <c r="J99" s="22">
        <f t="shared" si="5"/>
        <v>0</v>
      </c>
      <c r="K99" s="2"/>
      <c r="L99" s="2">
        <f t="shared" si="6"/>
        <v>11950.27</v>
      </c>
      <c r="M99" s="2"/>
      <c r="N99" s="22">
        <f t="shared" si="7"/>
        <v>0</v>
      </c>
      <c r="O99" s="11"/>
      <c r="P99" s="2">
        <v>11950.27</v>
      </c>
      <c r="Q99" s="2"/>
      <c r="R99" s="22">
        <f t="shared" si="8"/>
        <v>3.3955574836708628E-2</v>
      </c>
      <c r="S99" s="2"/>
      <c r="T99" s="2"/>
      <c r="U99" s="2"/>
      <c r="V99" s="22">
        <f t="shared" si="9"/>
        <v>0</v>
      </c>
      <c r="W99" s="2"/>
      <c r="X99" s="2">
        <f t="shared" si="10"/>
        <v>11950.27</v>
      </c>
      <c r="Y99" s="2"/>
      <c r="Z99" s="22">
        <f t="shared" si="11"/>
        <v>0</v>
      </c>
    </row>
    <row r="100" spans="1:26" s="24" customFormat="1" hidden="1" outlineLevel="1" x14ac:dyDescent="0.25">
      <c r="A100" s="51"/>
      <c r="B100" s="11" t="str">
        <f>CONCATENATE("          ", "5042", " - ", "PURCHASES @ COST-EVERYDAY GIFT")</f>
        <v xml:space="preserve">          5042 - PURCHASES @ COST-EVERYDAY GIFT</v>
      </c>
      <c r="C100" s="11"/>
      <c r="D100" s="2">
        <v>7752.36</v>
      </c>
      <c r="E100" s="2"/>
      <c r="F100" s="22">
        <f t="shared" si="4"/>
        <v>2.2027606082632985E-2</v>
      </c>
      <c r="G100" s="2"/>
      <c r="H100" s="2"/>
      <c r="I100" s="2"/>
      <c r="J100" s="22">
        <f t="shared" si="5"/>
        <v>0</v>
      </c>
      <c r="K100" s="2"/>
      <c r="L100" s="2">
        <f t="shared" si="6"/>
        <v>7752.36</v>
      </c>
      <c r="M100" s="2"/>
      <c r="N100" s="22">
        <f t="shared" si="7"/>
        <v>0</v>
      </c>
      <c r="O100" s="11"/>
      <c r="P100" s="2">
        <v>7752.36</v>
      </c>
      <c r="Q100" s="2"/>
      <c r="R100" s="22">
        <f t="shared" si="8"/>
        <v>2.2027606082632985E-2</v>
      </c>
      <c r="S100" s="2"/>
      <c r="T100" s="2"/>
      <c r="U100" s="2"/>
      <c r="V100" s="22">
        <f t="shared" si="9"/>
        <v>0</v>
      </c>
      <c r="W100" s="2"/>
      <c r="X100" s="2">
        <f t="shared" si="10"/>
        <v>7752.36</v>
      </c>
      <c r="Y100" s="2"/>
      <c r="Z100" s="22">
        <f t="shared" si="11"/>
        <v>0</v>
      </c>
    </row>
    <row r="101" spans="1:26" s="24" customFormat="1" hidden="1" outlineLevel="1" x14ac:dyDescent="0.25">
      <c r="A101" s="51"/>
      <c r="B101" s="11" t="str">
        <f>CONCATENATE("          ", "5043", " - ", "PURCHASES @ COST-CARDS")</f>
        <v xml:space="preserve">          5043 - PURCHASES @ COST-CARDS</v>
      </c>
      <c r="C101" s="11"/>
      <c r="D101" s="2">
        <v>498.26</v>
      </c>
      <c r="E101" s="2"/>
      <c r="F101" s="22">
        <f t="shared" si="4"/>
        <v>1.4157592019375664E-3</v>
      </c>
      <c r="G101" s="2"/>
      <c r="H101" s="2"/>
      <c r="I101" s="2"/>
      <c r="J101" s="22">
        <f t="shared" si="5"/>
        <v>0</v>
      </c>
      <c r="K101" s="2"/>
      <c r="L101" s="2">
        <f t="shared" si="6"/>
        <v>498.26</v>
      </c>
      <c r="M101" s="2"/>
      <c r="N101" s="22">
        <f t="shared" si="7"/>
        <v>0</v>
      </c>
      <c r="O101" s="11"/>
      <c r="P101" s="2">
        <v>498.26</v>
      </c>
      <c r="Q101" s="2"/>
      <c r="R101" s="22">
        <f t="shared" si="8"/>
        <v>1.4157592019375664E-3</v>
      </c>
      <c r="S101" s="2"/>
      <c r="T101" s="2"/>
      <c r="U101" s="2"/>
      <c r="V101" s="22">
        <f t="shared" si="9"/>
        <v>0</v>
      </c>
      <c r="W101" s="2"/>
      <c r="X101" s="2">
        <f t="shared" si="10"/>
        <v>498.26</v>
      </c>
      <c r="Y101" s="2"/>
      <c r="Z101" s="22">
        <f t="shared" si="11"/>
        <v>0</v>
      </c>
    </row>
    <row r="102" spans="1:26" s="24" customFormat="1" hidden="1" outlineLevel="1" x14ac:dyDescent="0.25">
      <c r="A102" s="51"/>
      <c r="B102" s="11" t="str">
        <f>CONCATENATE("          ", "5044", " - ", "PURCHASES @ COST-ACCESSORIES")</f>
        <v xml:space="preserve">          5044 - PURCHASES @ COST-ACCESSORIES</v>
      </c>
      <c r="C102" s="11"/>
      <c r="D102" s="2">
        <v>4839</v>
      </c>
      <c r="E102" s="2"/>
      <c r="F102" s="22">
        <f t="shared" si="4"/>
        <v>1.3749566046192518E-2</v>
      </c>
      <c r="G102" s="2"/>
      <c r="H102" s="2"/>
      <c r="I102" s="2"/>
      <c r="J102" s="22">
        <f t="shared" si="5"/>
        <v>0</v>
      </c>
      <c r="K102" s="2"/>
      <c r="L102" s="2">
        <f t="shared" si="6"/>
        <v>4839</v>
      </c>
      <c r="M102" s="2"/>
      <c r="N102" s="22">
        <f t="shared" si="7"/>
        <v>0</v>
      </c>
      <c r="O102" s="11"/>
      <c r="P102" s="2">
        <v>4839</v>
      </c>
      <c r="Q102" s="2"/>
      <c r="R102" s="22">
        <f t="shared" si="8"/>
        <v>1.3749566046192518E-2</v>
      </c>
      <c r="S102" s="2"/>
      <c r="T102" s="2"/>
      <c r="U102" s="2"/>
      <c r="V102" s="22">
        <f t="shared" si="9"/>
        <v>0</v>
      </c>
      <c r="W102" s="2"/>
      <c r="X102" s="2">
        <f t="shared" si="10"/>
        <v>4839</v>
      </c>
      <c r="Y102" s="2"/>
      <c r="Z102" s="22">
        <f t="shared" si="11"/>
        <v>0</v>
      </c>
    </row>
    <row r="103" spans="1:26" s="24" customFormat="1" hidden="1" outlineLevel="1" x14ac:dyDescent="0.25">
      <c r="A103" s="51"/>
      <c r="B103" s="11" t="str">
        <f>CONCATENATE("          ", "5045", " - ", "PURCHASES @ COST-SPECIAL ORDER")</f>
        <v xml:space="preserve">          5045 - PURCHASES @ COST-SPECIAL ORDER</v>
      </c>
      <c r="C103" s="11"/>
      <c r="D103" s="2">
        <v>15992.849999999999</v>
      </c>
      <c r="E103" s="2"/>
      <c r="F103" s="22">
        <f t="shared" si="4"/>
        <v>4.5442187919373836E-2</v>
      </c>
      <c r="G103" s="2"/>
      <c r="H103" s="2"/>
      <c r="I103" s="2"/>
      <c r="J103" s="22">
        <f t="shared" si="5"/>
        <v>0</v>
      </c>
      <c r="K103" s="2"/>
      <c r="L103" s="2">
        <f t="shared" si="6"/>
        <v>15992.849999999999</v>
      </c>
      <c r="M103" s="2"/>
      <c r="N103" s="22">
        <f t="shared" si="7"/>
        <v>0</v>
      </c>
      <c r="O103" s="11"/>
      <c r="P103" s="2">
        <v>15992.849999999999</v>
      </c>
      <c r="Q103" s="2"/>
      <c r="R103" s="22">
        <f t="shared" si="8"/>
        <v>4.5442187919373836E-2</v>
      </c>
      <c r="S103" s="2"/>
      <c r="T103" s="2"/>
      <c r="U103" s="2"/>
      <c r="V103" s="22">
        <f t="shared" si="9"/>
        <v>0</v>
      </c>
      <c r="W103" s="2"/>
      <c r="X103" s="2">
        <f t="shared" si="10"/>
        <v>15992.849999999999</v>
      </c>
      <c r="Y103" s="2"/>
      <c r="Z103" s="22">
        <f t="shared" si="11"/>
        <v>0</v>
      </c>
    </row>
    <row r="104" spans="1:26" s="24" customFormat="1" hidden="1" outlineLevel="1" x14ac:dyDescent="0.25">
      <c r="A104" s="51"/>
      <c r="B104" s="11" t="str">
        <f>CONCATENATE("          ", "5092", " - ", "PURCHASES @ COST-GRAD MERCH")</f>
        <v xml:space="preserve">          5092 - PURCHASES @ COST-GRAD MERCH</v>
      </c>
      <c r="C104" s="11"/>
      <c r="D104" s="2">
        <v>1228.5999999999999</v>
      </c>
      <c r="E104" s="2"/>
      <c r="F104" s="22">
        <f t="shared" si="4"/>
        <v>3.4909520240446633E-3</v>
      </c>
      <c r="G104" s="2"/>
      <c r="H104" s="2"/>
      <c r="I104" s="2"/>
      <c r="J104" s="22">
        <f t="shared" si="5"/>
        <v>0</v>
      </c>
      <c r="K104" s="2"/>
      <c r="L104" s="2">
        <f t="shared" si="6"/>
        <v>1228.5999999999999</v>
      </c>
      <c r="M104" s="2"/>
      <c r="N104" s="22">
        <f t="shared" si="7"/>
        <v>0</v>
      </c>
      <c r="O104" s="11"/>
      <c r="P104" s="2">
        <v>1228.5999999999999</v>
      </c>
      <c r="Q104" s="2"/>
      <c r="R104" s="22">
        <f t="shared" si="8"/>
        <v>3.4909520240446633E-3</v>
      </c>
      <c r="S104" s="2"/>
      <c r="T104" s="2"/>
      <c r="U104" s="2"/>
      <c r="V104" s="22">
        <f t="shared" si="9"/>
        <v>0</v>
      </c>
      <c r="W104" s="2"/>
      <c r="X104" s="2">
        <f t="shared" si="10"/>
        <v>1228.5999999999999</v>
      </c>
      <c r="Y104" s="2"/>
      <c r="Z104" s="22">
        <f t="shared" si="11"/>
        <v>0</v>
      </c>
    </row>
    <row r="105" spans="1:26" s="24" customFormat="1" hidden="1" outlineLevel="1" x14ac:dyDescent="0.25">
      <c r="A105" s="51"/>
      <c r="B105" s="11" t="str">
        <f>CONCATENATE("          ", "5095", " - ", "PURCHASES @ COST-CUSTOMER SERV")</f>
        <v xml:space="preserve">          5095 - PURCHASES @ COST-CUSTOMER SERV</v>
      </c>
      <c r="C105" s="11"/>
      <c r="D105" s="2">
        <v>0</v>
      </c>
      <c r="E105" s="2"/>
      <c r="F105" s="22">
        <f t="shared" si="4"/>
        <v>0</v>
      </c>
      <c r="G105" s="2"/>
      <c r="H105" s="2"/>
      <c r="I105" s="2"/>
      <c r="J105" s="22">
        <f t="shared" si="5"/>
        <v>0</v>
      </c>
      <c r="K105" s="2"/>
      <c r="L105" s="2">
        <f t="shared" si="6"/>
        <v>0</v>
      </c>
      <c r="M105" s="2"/>
      <c r="N105" s="22">
        <f t="shared" si="7"/>
        <v>0</v>
      </c>
      <c r="O105" s="11"/>
      <c r="P105" s="2">
        <v>0</v>
      </c>
      <c r="Q105" s="2"/>
      <c r="R105" s="22">
        <f t="shared" si="8"/>
        <v>0</v>
      </c>
      <c r="S105" s="2"/>
      <c r="T105" s="2"/>
      <c r="U105" s="2"/>
      <c r="V105" s="22">
        <f t="shared" si="9"/>
        <v>0</v>
      </c>
      <c r="W105" s="2"/>
      <c r="X105" s="2">
        <f t="shared" si="10"/>
        <v>0</v>
      </c>
      <c r="Y105" s="2"/>
      <c r="Z105" s="22">
        <f t="shared" si="11"/>
        <v>0</v>
      </c>
    </row>
    <row r="106" spans="1:26" s="24" customFormat="1" hidden="1" outlineLevel="1" x14ac:dyDescent="0.25">
      <c r="A106" s="51"/>
      <c r="B106" s="11" t="str">
        <f>CONCATENATE("          ", "5200", " - ", "PURCHASES OFFSET")</f>
        <v xml:space="preserve">          5200 - PURCHASES OFFSET</v>
      </c>
      <c r="C106" s="11"/>
      <c r="D106" s="2">
        <v>-828869</v>
      </c>
      <c r="E106" s="2"/>
      <c r="F106" s="22">
        <f t="shared" si="4"/>
        <v>-2.3551537629968062</v>
      </c>
      <c r="G106" s="2"/>
      <c r="H106" s="2"/>
      <c r="I106" s="2"/>
      <c r="J106" s="22">
        <f t="shared" si="5"/>
        <v>0</v>
      </c>
      <c r="K106" s="2"/>
      <c r="L106" s="2">
        <f t="shared" si="6"/>
        <v>-828869</v>
      </c>
      <c r="M106" s="2"/>
      <c r="N106" s="22">
        <f t="shared" si="7"/>
        <v>0</v>
      </c>
      <c r="O106" s="11"/>
      <c r="P106" s="2">
        <v>-828869</v>
      </c>
      <c r="Q106" s="2"/>
      <c r="R106" s="22">
        <f t="shared" si="8"/>
        <v>-2.3551537629968062</v>
      </c>
      <c r="S106" s="2"/>
      <c r="T106" s="2"/>
      <c r="U106" s="2"/>
      <c r="V106" s="22">
        <f t="shared" si="9"/>
        <v>0</v>
      </c>
      <c r="W106" s="2"/>
      <c r="X106" s="2">
        <f t="shared" si="10"/>
        <v>-828869</v>
      </c>
      <c r="Y106" s="2"/>
      <c r="Z106" s="22">
        <f t="shared" si="11"/>
        <v>0</v>
      </c>
    </row>
    <row r="107" spans="1:26" s="24" customFormat="1" hidden="1" outlineLevel="1" x14ac:dyDescent="0.25">
      <c r="A107" s="51"/>
      <c r="B107" s="11" t="str">
        <f>CONCATENATE("          ", "5300", " - ", "COG$ OFFSET")</f>
        <v xml:space="preserve">          5300 - COG$ OFFSET</v>
      </c>
      <c r="C107" s="11"/>
      <c r="D107" s="2">
        <v>181170</v>
      </c>
      <c r="E107" s="2"/>
      <c r="F107" s="22">
        <f t="shared" si="4"/>
        <v>0.51477761533141109</v>
      </c>
      <c r="G107" s="2"/>
      <c r="H107" s="2"/>
      <c r="I107" s="2"/>
      <c r="J107" s="22">
        <f t="shared" si="5"/>
        <v>0</v>
      </c>
      <c r="K107" s="2"/>
      <c r="L107" s="2">
        <f t="shared" si="6"/>
        <v>181170</v>
      </c>
      <c r="M107" s="2"/>
      <c r="N107" s="22">
        <f t="shared" si="7"/>
        <v>0</v>
      </c>
      <c r="O107" s="11"/>
      <c r="P107" s="2">
        <v>181170</v>
      </c>
      <c r="Q107" s="2"/>
      <c r="R107" s="22">
        <f t="shared" si="8"/>
        <v>0.51477761533141109</v>
      </c>
      <c r="S107" s="2"/>
      <c r="T107" s="2"/>
      <c r="U107" s="2"/>
      <c r="V107" s="22">
        <f t="shared" si="9"/>
        <v>0</v>
      </c>
      <c r="W107" s="2"/>
      <c r="X107" s="2">
        <f t="shared" si="10"/>
        <v>181170</v>
      </c>
      <c r="Y107" s="2"/>
      <c r="Z107" s="22">
        <f t="shared" si="11"/>
        <v>0</v>
      </c>
    </row>
    <row r="108" spans="1:26" s="24" customFormat="1" hidden="1" outlineLevel="1" x14ac:dyDescent="0.25">
      <c r="A108" s="51"/>
      <c r="B108" s="11" t="str">
        <f>CONCATENATE("          ", "5500", " - ", "FREIGHT-IN")</f>
        <v xml:space="preserve">          5500 - FREIGHT-IN</v>
      </c>
      <c r="C108" s="11"/>
      <c r="D108" s="2">
        <v>49</v>
      </c>
      <c r="E108" s="2"/>
      <c r="F108" s="22">
        <f t="shared" si="4"/>
        <v>1.3922891842600401E-4</v>
      </c>
      <c r="G108" s="2"/>
      <c r="H108" s="2"/>
      <c r="I108" s="2"/>
      <c r="J108" s="22">
        <f t="shared" si="5"/>
        <v>0</v>
      </c>
      <c r="K108" s="2"/>
      <c r="L108" s="2">
        <f t="shared" si="6"/>
        <v>49</v>
      </c>
      <c r="M108" s="2"/>
      <c r="N108" s="22">
        <f t="shared" si="7"/>
        <v>0</v>
      </c>
      <c r="O108" s="11"/>
      <c r="P108" s="2">
        <v>49</v>
      </c>
      <c r="Q108" s="2"/>
      <c r="R108" s="22">
        <f t="shared" si="8"/>
        <v>1.3922891842600401E-4</v>
      </c>
      <c r="S108" s="2"/>
      <c r="T108" s="2"/>
      <c r="U108" s="2"/>
      <c r="V108" s="22">
        <f t="shared" si="9"/>
        <v>0</v>
      </c>
      <c r="W108" s="2"/>
      <c r="X108" s="2">
        <f t="shared" si="10"/>
        <v>49</v>
      </c>
      <c r="Y108" s="2"/>
      <c r="Z108" s="22">
        <f t="shared" si="11"/>
        <v>0</v>
      </c>
    </row>
    <row r="109" spans="1:26" s="24" customFormat="1" hidden="1" outlineLevel="1" x14ac:dyDescent="0.25">
      <c r="A109" s="51"/>
      <c r="B109" s="11" t="str">
        <f>CONCATENATE("          ", "5501", " - ", "FREIGHT-IN-NEW TEXT")</f>
        <v xml:space="preserve">          5501 - FREIGHT-IN-NEW TEXT</v>
      </c>
      <c r="C109" s="11"/>
      <c r="D109" s="2">
        <v>1716.08</v>
      </c>
      <c r="E109" s="2"/>
      <c r="F109" s="22">
        <f t="shared" si="4"/>
        <v>4.8760808639285091E-3</v>
      </c>
      <c r="G109" s="2"/>
      <c r="H109" s="2"/>
      <c r="I109" s="2"/>
      <c r="J109" s="22">
        <f t="shared" si="5"/>
        <v>0</v>
      </c>
      <c r="K109" s="2"/>
      <c r="L109" s="2">
        <f t="shared" si="6"/>
        <v>1716.08</v>
      </c>
      <c r="M109" s="2"/>
      <c r="N109" s="22">
        <f t="shared" si="7"/>
        <v>0</v>
      </c>
      <c r="O109" s="11"/>
      <c r="P109" s="2">
        <v>1716.08</v>
      </c>
      <c r="Q109" s="2"/>
      <c r="R109" s="22">
        <f t="shared" si="8"/>
        <v>4.8760808639285091E-3</v>
      </c>
      <c r="S109" s="2"/>
      <c r="T109" s="2"/>
      <c r="U109" s="2"/>
      <c r="V109" s="22">
        <f t="shared" si="9"/>
        <v>0</v>
      </c>
      <c r="W109" s="2"/>
      <c r="X109" s="2">
        <f t="shared" si="10"/>
        <v>1716.08</v>
      </c>
      <c r="Y109" s="2"/>
      <c r="Z109" s="22">
        <f t="shared" si="11"/>
        <v>0</v>
      </c>
    </row>
    <row r="110" spans="1:26" s="24" customFormat="1" hidden="1" outlineLevel="1" x14ac:dyDescent="0.25">
      <c r="A110" s="51"/>
      <c r="B110" s="11" t="str">
        <f>CONCATENATE("          ", "5502", " - ", "FREIGHT-IN-USED TEXT")</f>
        <v xml:space="preserve">          5502 - FREIGHT-IN-USED TEXT</v>
      </c>
      <c r="C110" s="11"/>
      <c r="D110" s="2">
        <v>277.49</v>
      </c>
      <c r="E110" s="2"/>
      <c r="F110" s="22">
        <f t="shared" si="4"/>
        <v>7.8846188926595619E-4</v>
      </c>
      <c r="G110" s="2"/>
      <c r="H110" s="2"/>
      <c r="I110" s="2"/>
      <c r="J110" s="22">
        <f t="shared" si="5"/>
        <v>0</v>
      </c>
      <c r="K110" s="2"/>
      <c r="L110" s="2">
        <f t="shared" si="6"/>
        <v>277.49</v>
      </c>
      <c r="M110" s="2"/>
      <c r="N110" s="22">
        <f t="shared" si="7"/>
        <v>0</v>
      </c>
      <c r="O110" s="11"/>
      <c r="P110" s="2">
        <v>277.49</v>
      </c>
      <c r="Q110" s="2"/>
      <c r="R110" s="22">
        <f t="shared" si="8"/>
        <v>7.8846188926595619E-4</v>
      </c>
      <c r="S110" s="2"/>
      <c r="T110" s="2"/>
      <c r="U110" s="2"/>
      <c r="V110" s="22">
        <f t="shared" si="9"/>
        <v>0</v>
      </c>
      <c r="W110" s="2"/>
      <c r="X110" s="2">
        <f t="shared" si="10"/>
        <v>277.49</v>
      </c>
      <c r="Y110" s="2"/>
      <c r="Z110" s="22">
        <f t="shared" si="11"/>
        <v>0</v>
      </c>
    </row>
    <row r="111" spans="1:26" s="24" customFormat="1" hidden="1" outlineLevel="1" x14ac:dyDescent="0.25">
      <c r="A111" s="51"/>
      <c r="B111" s="11" t="str">
        <f>CONCATENATE("          ", "5526", " - ", "FREIGHT-IN-WRITING INSTRUMENTS")</f>
        <v xml:space="preserve">          5526 - FREIGHT-IN-WRITING INSTRUMENTS</v>
      </c>
      <c r="C111" s="11"/>
      <c r="D111" s="2">
        <v>39.11</v>
      </c>
      <c r="E111" s="2"/>
      <c r="F111" s="22">
        <f t="shared" si="4"/>
        <v>1.1112740815593911E-4</v>
      </c>
      <c r="G111" s="2"/>
      <c r="H111" s="2"/>
      <c r="I111" s="2"/>
      <c r="J111" s="22">
        <f t="shared" si="5"/>
        <v>0</v>
      </c>
      <c r="K111" s="2"/>
      <c r="L111" s="2">
        <f t="shared" si="6"/>
        <v>39.11</v>
      </c>
      <c r="M111" s="2"/>
      <c r="N111" s="22">
        <f t="shared" si="7"/>
        <v>0</v>
      </c>
      <c r="O111" s="11"/>
      <c r="P111" s="2">
        <v>39.11</v>
      </c>
      <c r="Q111" s="2"/>
      <c r="R111" s="22">
        <f t="shared" si="8"/>
        <v>1.1112740815593911E-4</v>
      </c>
      <c r="S111" s="2"/>
      <c r="T111" s="2"/>
      <c r="U111" s="2"/>
      <c r="V111" s="22">
        <f t="shared" si="9"/>
        <v>0</v>
      </c>
      <c r="W111" s="2"/>
      <c r="X111" s="2">
        <f t="shared" si="10"/>
        <v>39.11</v>
      </c>
      <c r="Y111" s="2"/>
      <c r="Z111" s="22">
        <f t="shared" si="11"/>
        <v>0</v>
      </c>
    </row>
    <row r="112" spans="1:26" s="24" customFormat="1" hidden="1" outlineLevel="1" x14ac:dyDescent="0.25">
      <c r="A112" s="51"/>
      <c r="B112" s="11" t="str">
        <f>CONCATENATE("          ", "5527", " - ", "FREIGHT-IN-SCHOOL SUPPLIES")</f>
        <v xml:space="preserve">          5527 - FREIGHT-IN-SCHOOL SUPPLIES</v>
      </c>
      <c r="C112" s="11"/>
      <c r="D112" s="2">
        <v>250.02</v>
      </c>
      <c r="E112" s="2"/>
      <c r="F112" s="22">
        <f t="shared" si="4"/>
        <v>7.1040845275243921E-4</v>
      </c>
      <c r="G112" s="2"/>
      <c r="H112" s="2"/>
      <c r="I112" s="2"/>
      <c r="J112" s="22">
        <f t="shared" si="5"/>
        <v>0</v>
      </c>
      <c r="K112" s="2"/>
      <c r="L112" s="2">
        <f t="shared" si="6"/>
        <v>250.02</v>
      </c>
      <c r="M112" s="2"/>
      <c r="N112" s="22">
        <f t="shared" si="7"/>
        <v>0</v>
      </c>
      <c r="O112" s="11"/>
      <c r="P112" s="2">
        <v>250.02</v>
      </c>
      <c r="Q112" s="2"/>
      <c r="R112" s="22">
        <f t="shared" si="8"/>
        <v>7.1040845275243921E-4</v>
      </c>
      <c r="S112" s="2"/>
      <c r="T112" s="2"/>
      <c r="U112" s="2"/>
      <c r="V112" s="22">
        <f t="shared" si="9"/>
        <v>0</v>
      </c>
      <c r="W112" s="2"/>
      <c r="X112" s="2">
        <f t="shared" si="10"/>
        <v>250.02</v>
      </c>
      <c r="Y112" s="2"/>
      <c r="Z112" s="22">
        <f t="shared" si="11"/>
        <v>0</v>
      </c>
    </row>
    <row r="113" spans="1:26" s="24" customFormat="1" hidden="1" outlineLevel="1" x14ac:dyDescent="0.25">
      <c r="A113" s="51"/>
      <c r="B113" s="11" t="str">
        <f>CONCATENATE("          ", "5528", " - ", "FREIGHT-IN-ART/TECH")</f>
        <v xml:space="preserve">          5528 - FREIGHT-IN-ART/TECH</v>
      </c>
      <c r="C113" s="11"/>
      <c r="D113" s="2">
        <v>44.35</v>
      </c>
      <c r="E113" s="2"/>
      <c r="F113" s="22">
        <f t="shared" si="4"/>
        <v>1.2601637820802608E-4</v>
      </c>
      <c r="G113" s="2"/>
      <c r="H113" s="2"/>
      <c r="I113" s="2"/>
      <c r="J113" s="22">
        <f t="shared" si="5"/>
        <v>0</v>
      </c>
      <c r="K113" s="2"/>
      <c r="L113" s="2">
        <f t="shared" si="6"/>
        <v>44.35</v>
      </c>
      <c r="M113" s="2"/>
      <c r="N113" s="22">
        <f t="shared" si="7"/>
        <v>0</v>
      </c>
      <c r="O113" s="11"/>
      <c r="P113" s="2">
        <v>44.35</v>
      </c>
      <c r="Q113" s="2"/>
      <c r="R113" s="22">
        <f t="shared" si="8"/>
        <v>1.2601637820802608E-4</v>
      </c>
      <c r="S113" s="2"/>
      <c r="T113" s="2"/>
      <c r="U113" s="2"/>
      <c r="V113" s="22">
        <f t="shared" si="9"/>
        <v>0</v>
      </c>
      <c r="W113" s="2"/>
      <c r="X113" s="2">
        <f t="shared" si="10"/>
        <v>44.35</v>
      </c>
      <c r="Y113" s="2"/>
      <c r="Z113" s="22">
        <f t="shared" si="11"/>
        <v>0</v>
      </c>
    </row>
    <row r="114" spans="1:26" s="24" customFormat="1" hidden="1" outlineLevel="1" x14ac:dyDescent="0.25">
      <c r="A114" s="51"/>
      <c r="B114" s="11" t="str">
        <f>CONCATENATE("          ", "5540", " - ", "FREIGHT-IN-LOGO CLOTHING")</f>
        <v xml:space="preserve">          5540 - FREIGHT-IN-LOGO CLOTHING</v>
      </c>
      <c r="C114" s="11"/>
      <c r="D114" s="2">
        <v>395.22</v>
      </c>
      <c r="E114" s="2"/>
      <c r="F114" s="22">
        <f t="shared" si="4"/>
        <v>1.1229806763331696E-3</v>
      </c>
      <c r="G114" s="2"/>
      <c r="H114" s="2"/>
      <c r="I114" s="2"/>
      <c r="J114" s="22">
        <f t="shared" si="5"/>
        <v>0</v>
      </c>
      <c r="K114" s="2"/>
      <c r="L114" s="2">
        <f t="shared" si="6"/>
        <v>395.22</v>
      </c>
      <c r="M114" s="2"/>
      <c r="N114" s="22">
        <f t="shared" si="7"/>
        <v>0</v>
      </c>
      <c r="O114" s="11"/>
      <c r="P114" s="2">
        <v>395.22</v>
      </c>
      <c r="Q114" s="2"/>
      <c r="R114" s="22">
        <f t="shared" si="8"/>
        <v>1.1229806763331696E-3</v>
      </c>
      <c r="S114" s="2"/>
      <c r="T114" s="2"/>
      <c r="U114" s="2"/>
      <c r="V114" s="22">
        <f t="shared" si="9"/>
        <v>0</v>
      </c>
      <c r="W114" s="2"/>
      <c r="X114" s="2">
        <f t="shared" si="10"/>
        <v>395.22</v>
      </c>
      <c r="Y114" s="2"/>
      <c r="Z114" s="22">
        <f t="shared" si="11"/>
        <v>0</v>
      </c>
    </row>
    <row r="115" spans="1:26" s="24" customFormat="1" hidden="1" outlineLevel="1" x14ac:dyDescent="0.25">
      <c r="A115" s="51"/>
      <c r="B115" s="11" t="str">
        <f>CONCATENATE("          ", "5541", " - ", "FREIGHT-IN-LOGO GIFTS")</f>
        <v xml:space="preserve">          5541 - FREIGHT-IN-LOGO GIFTS</v>
      </c>
      <c r="C115" s="11"/>
      <c r="D115" s="2">
        <v>314.49</v>
      </c>
      <c r="E115" s="2"/>
      <c r="F115" s="22">
        <f t="shared" si="4"/>
        <v>8.9359392971008163E-4</v>
      </c>
      <c r="G115" s="2"/>
      <c r="H115" s="2"/>
      <c r="I115" s="2"/>
      <c r="J115" s="22">
        <f t="shared" si="5"/>
        <v>0</v>
      </c>
      <c r="K115" s="2"/>
      <c r="L115" s="2">
        <f t="shared" si="6"/>
        <v>314.49</v>
      </c>
      <c r="M115" s="2"/>
      <c r="N115" s="22">
        <f t="shared" si="7"/>
        <v>0</v>
      </c>
      <c r="O115" s="11"/>
      <c r="P115" s="2">
        <v>314.49</v>
      </c>
      <c r="Q115" s="2"/>
      <c r="R115" s="22">
        <f t="shared" si="8"/>
        <v>8.9359392971008163E-4</v>
      </c>
      <c r="S115" s="2"/>
      <c r="T115" s="2"/>
      <c r="U115" s="2"/>
      <c r="V115" s="22">
        <f t="shared" si="9"/>
        <v>0</v>
      </c>
      <c r="W115" s="2"/>
      <c r="X115" s="2">
        <f t="shared" si="10"/>
        <v>314.49</v>
      </c>
      <c r="Y115" s="2"/>
      <c r="Z115" s="22">
        <f t="shared" si="11"/>
        <v>0</v>
      </c>
    </row>
    <row r="116" spans="1:26" s="24" customFormat="1" hidden="1" outlineLevel="1" x14ac:dyDescent="0.25">
      <c r="A116" s="51"/>
      <c r="B116" s="11" t="str">
        <f>CONCATENATE("          ", "5542", " - ", "FREIGHT-IN-EVERYDAY GIFTS")</f>
        <v xml:space="preserve">          5542 - FREIGHT-IN-EVERYDAY GIFTS</v>
      </c>
      <c r="C116" s="11"/>
      <c r="D116" s="2">
        <v>29.72</v>
      </c>
      <c r="E116" s="2"/>
      <c r="F116" s="22">
        <f t="shared" si="4"/>
        <v>8.4446601135119165E-5</v>
      </c>
      <c r="G116" s="2"/>
      <c r="H116" s="2"/>
      <c r="I116" s="2"/>
      <c r="J116" s="22">
        <f t="shared" si="5"/>
        <v>0</v>
      </c>
      <c r="K116" s="2"/>
      <c r="L116" s="2">
        <f t="shared" si="6"/>
        <v>29.72</v>
      </c>
      <c r="M116" s="2"/>
      <c r="N116" s="22">
        <f t="shared" si="7"/>
        <v>0</v>
      </c>
      <c r="O116" s="11"/>
      <c r="P116" s="2">
        <v>29.72</v>
      </c>
      <c r="Q116" s="2"/>
      <c r="R116" s="22">
        <f t="shared" si="8"/>
        <v>8.4446601135119165E-5</v>
      </c>
      <c r="S116" s="2"/>
      <c r="T116" s="2"/>
      <c r="U116" s="2"/>
      <c r="V116" s="22">
        <f t="shared" si="9"/>
        <v>0</v>
      </c>
      <c r="W116" s="2"/>
      <c r="X116" s="2">
        <f t="shared" si="10"/>
        <v>29.72</v>
      </c>
      <c r="Y116" s="2"/>
      <c r="Z116" s="22">
        <f t="shared" si="11"/>
        <v>0</v>
      </c>
    </row>
    <row r="117" spans="1:26" s="24" customFormat="1" hidden="1" outlineLevel="1" x14ac:dyDescent="0.25">
      <c r="A117" s="51"/>
      <c r="B117" s="11" t="str">
        <f>CONCATENATE("          ", "5544", " - ", "FREIGHT-IN-ACCESSORIES")</f>
        <v xml:space="preserve">          5544 - FREIGHT-IN-ACCESSORIES</v>
      </c>
      <c r="C117" s="11"/>
      <c r="D117" s="2">
        <v>16.73</v>
      </c>
      <c r="E117" s="2"/>
      <c r="F117" s="22">
        <f t="shared" si="4"/>
        <v>4.7536730719735656E-5</v>
      </c>
      <c r="G117" s="2"/>
      <c r="H117" s="2"/>
      <c r="I117" s="2"/>
      <c r="J117" s="22">
        <f t="shared" si="5"/>
        <v>0</v>
      </c>
      <c r="K117" s="2"/>
      <c r="L117" s="2">
        <f t="shared" si="6"/>
        <v>16.73</v>
      </c>
      <c r="M117" s="2"/>
      <c r="N117" s="22">
        <f t="shared" si="7"/>
        <v>0</v>
      </c>
      <c r="O117" s="11"/>
      <c r="P117" s="2">
        <v>16.73</v>
      </c>
      <c r="Q117" s="2"/>
      <c r="R117" s="22">
        <f t="shared" si="8"/>
        <v>4.7536730719735656E-5</v>
      </c>
      <c r="S117" s="2"/>
      <c r="T117" s="2"/>
      <c r="U117" s="2"/>
      <c r="V117" s="22">
        <f t="shared" si="9"/>
        <v>0</v>
      </c>
      <c r="W117" s="2"/>
      <c r="X117" s="2">
        <f t="shared" si="10"/>
        <v>16.73</v>
      </c>
      <c r="Y117" s="2"/>
      <c r="Z117" s="22">
        <f t="shared" si="11"/>
        <v>0</v>
      </c>
    </row>
    <row r="118" spans="1:26" s="24" customFormat="1" hidden="1" outlineLevel="1" x14ac:dyDescent="0.25">
      <c r="A118" s="51"/>
      <c r="B118" s="11" t="str">
        <f>CONCATENATE("          ", "5545", " - ", "FREIGHT-IN-SPECIAL ORDERS")</f>
        <v xml:space="preserve">          5545 - FREIGHT-IN-SPECIAL ORDERS</v>
      </c>
      <c r="C118" s="11"/>
      <c r="D118" s="2">
        <v>227.08</v>
      </c>
      <c r="E118" s="2"/>
      <c r="F118" s="22">
        <f t="shared" si="4"/>
        <v>6.4522658767708142E-4</v>
      </c>
      <c r="G118" s="2"/>
      <c r="H118" s="2"/>
      <c r="I118" s="2"/>
      <c r="J118" s="22">
        <f t="shared" si="5"/>
        <v>0</v>
      </c>
      <c r="K118" s="2"/>
      <c r="L118" s="2">
        <f t="shared" si="6"/>
        <v>227.08</v>
      </c>
      <c r="M118" s="2"/>
      <c r="N118" s="22">
        <f t="shared" si="7"/>
        <v>0</v>
      </c>
      <c r="O118" s="11"/>
      <c r="P118" s="2">
        <v>227.08</v>
      </c>
      <c r="Q118" s="2"/>
      <c r="R118" s="22">
        <f t="shared" si="8"/>
        <v>6.4522658767708142E-4</v>
      </c>
      <c r="S118" s="2"/>
      <c r="T118" s="2"/>
      <c r="U118" s="2"/>
      <c r="V118" s="22">
        <f t="shared" si="9"/>
        <v>0</v>
      </c>
      <c r="W118" s="2"/>
      <c r="X118" s="2">
        <f t="shared" si="10"/>
        <v>227.08</v>
      </c>
      <c r="Y118" s="2"/>
      <c r="Z118" s="22">
        <f t="shared" si="11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6" t="s">
        <v>6</v>
      </c>
      <c r="C120" s="26"/>
      <c r="D120" s="21">
        <f>D12-D81</f>
        <v>158015.95000000004</v>
      </c>
      <c r="E120" s="13"/>
      <c r="F120" s="19">
        <f>IF(D$12=0,0,D120/D$12)</f>
        <v>0.44898754719505168</v>
      </c>
      <c r="G120" s="13"/>
      <c r="H120" s="21">
        <f>H12-H81</f>
        <v>177459.85149000003</v>
      </c>
      <c r="I120" s="13"/>
      <c r="J120" s="19">
        <f>IF(H$12=0,0,H120/H$12)</f>
        <v>0.45896836832983606</v>
      </c>
      <c r="K120" s="15"/>
      <c r="L120" s="21">
        <f>+D120-H120</f>
        <v>-19443.901489999989</v>
      </c>
      <c r="M120" s="15"/>
      <c r="N120" s="19">
        <f>IF(H120=0,0,L120/H120)</f>
        <v>-0.10956789001424171</v>
      </c>
      <c r="O120" s="25"/>
      <c r="P120" s="21">
        <f>P12-P81</f>
        <v>158015.95000000004</v>
      </c>
      <c r="Q120" s="13"/>
      <c r="R120" s="19">
        <f>IF(P$12=0,0,P120/P$12)</f>
        <v>0.44898754719505168</v>
      </c>
      <c r="S120" s="13"/>
      <c r="T120" s="21">
        <f>T12-T81</f>
        <v>177459.85149000003</v>
      </c>
      <c r="U120" s="13"/>
      <c r="V120" s="19">
        <f>IF(T$12=0,0,T120/T$12)</f>
        <v>0.45896836832983606</v>
      </c>
      <c r="W120" s="15"/>
      <c r="X120" s="21">
        <f>+P120-T120</f>
        <v>-19443.901489999989</v>
      </c>
      <c r="Y120" s="15"/>
      <c r="Z120" s="19">
        <f>IF(T120=0,0,X120/T120)</f>
        <v>-0.10956789001424171</v>
      </c>
    </row>
    <row r="121" spans="1:26" x14ac:dyDescent="0.25">
      <c r="A121" s="9"/>
      <c r="B121" s="10"/>
      <c r="C121" s="9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6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x14ac:dyDescent="0.25">
      <c r="A122" s="10"/>
      <c r="B122" s="25" t="s">
        <v>9</v>
      </c>
      <c r="C122" s="10"/>
      <c r="D122" s="20">
        <f>SUM(OSRRefD22x_0)</f>
        <v>355765.28999999992</v>
      </c>
      <c r="E122" s="20"/>
      <c r="F122" s="30">
        <f t="shared" ref="F122:F133" si="12">IF(D$12=0,0,D122/D$12)</f>
        <v>1.0108738069431356</v>
      </c>
      <c r="G122" s="20"/>
      <c r="H122" s="20">
        <f>SUM(OSRRefH22x_0)</f>
        <v>427918.001858239</v>
      </c>
      <c r="I122" s="20"/>
      <c r="J122" s="30">
        <f t="shared" ref="J122:J133" si="13">IF(H$12=0,0,H122/H$12)</f>
        <v>1.1067338637038531</v>
      </c>
      <c r="K122" s="4"/>
      <c r="L122" s="20">
        <f t="shared" ref="L122:L133" si="14">+D122-H122</f>
        <v>-72152.711858239083</v>
      </c>
      <c r="M122" s="4"/>
      <c r="N122" s="30">
        <f t="shared" ref="N122:N133" si="15">IF(H122=0,0,L122/H122)</f>
        <v>-0.16861340617808804</v>
      </c>
      <c r="O122" s="10"/>
      <c r="P122" s="20">
        <f>SUM(OSRRefP22x_0)</f>
        <v>355765.28999999992</v>
      </c>
      <c r="Q122" s="20"/>
      <c r="R122" s="30">
        <f t="shared" ref="R122:R133" si="16">IF(P$12=0,0,P122/P$12)</f>
        <v>1.0108738069431356</v>
      </c>
      <c r="S122" s="20"/>
      <c r="T122" s="20">
        <f>SUM(OSRRefT22x_0)</f>
        <v>427918.001858239</v>
      </c>
      <c r="U122" s="20"/>
      <c r="V122" s="30">
        <f t="shared" ref="V122:V133" si="17">IF(T$12=0,0,T122/T$12)</f>
        <v>1.1067338637038531</v>
      </c>
      <c r="W122" s="4"/>
      <c r="X122" s="20">
        <f t="shared" ref="X122:X133" si="18">+P122-T122</f>
        <v>-72152.711858239083</v>
      </c>
      <c r="Y122" s="4"/>
      <c r="Z122" s="30">
        <f t="shared" ref="Z122:Z133" si="19">IF(T122=0,0,X122/T122)</f>
        <v>-0.16861340617808804</v>
      </c>
    </row>
    <row r="123" spans="1:26" s="27" customFormat="1" outlineLevel="1" collapsed="1" x14ac:dyDescent="0.25">
      <c r="A123" s="28"/>
      <c r="B123" s="14" t="str">
        <f>CONCATENATE("     ","*Benefits                                         ")</f>
        <v xml:space="preserve">     *Benefits                                         </v>
      </c>
      <c r="C123" s="14"/>
      <c r="D123" s="1">
        <f>SUM(OSRRefD22_0x_0)</f>
        <v>55151.35</v>
      </c>
      <c r="E123" s="1"/>
      <c r="F123" s="5">
        <f t="shared" si="12"/>
        <v>0.15670740429048971</v>
      </c>
      <c r="G123" s="1"/>
      <c r="H123" s="1">
        <f>SUM(OSRRefH22_0x_0)</f>
        <v>56684.146645673638</v>
      </c>
      <c r="I123" s="1"/>
      <c r="J123" s="5">
        <f t="shared" si="13"/>
        <v>0.14660347158917808</v>
      </c>
      <c r="K123" s="1"/>
      <c r="L123" s="1">
        <f t="shared" si="14"/>
        <v>-1532.7966456736394</v>
      </c>
      <c r="M123" s="1"/>
      <c r="N123" s="5">
        <f t="shared" si="15"/>
        <v>-2.7041011224090267E-2</v>
      </c>
      <c r="O123" s="14"/>
      <c r="P123" s="1">
        <f>SUM(OSRRefP22_0x_0)</f>
        <v>55151.35</v>
      </c>
      <c r="Q123" s="1"/>
      <c r="R123" s="5">
        <f t="shared" si="16"/>
        <v>0.15670740429048971</v>
      </c>
      <c r="S123" s="1"/>
      <c r="T123" s="1">
        <f>SUM(OSRRefT22_0x_0)</f>
        <v>56684.146645673638</v>
      </c>
      <c r="U123" s="1"/>
      <c r="V123" s="5">
        <f t="shared" si="17"/>
        <v>0.14660347158917808</v>
      </c>
      <c r="W123" s="1"/>
      <c r="X123" s="1">
        <f t="shared" si="18"/>
        <v>-1532.7966456736394</v>
      </c>
      <c r="Y123" s="1"/>
      <c r="Z123" s="5">
        <f t="shared" si="19"/>
        <v>-2.7041011224090267E-2</v>
      </c>
    </row>
    <row r="124" spans="1:26" s="24" customFormat="1" hidden="1" outlineLevel="2" x14ac:dyDescent="0.25">
      <c r="A124" s="29"/>
      <c r="B124" s="11" t="str">
        <f>CONCATENATE("          ", "6111", " - ", "F.I.C.A.")</f>
        <v xml:space="preserve">          6111 - F.I.C.A.</v>
      </c>
      <c r="C124" s="11"/>
      <c r="D124" s="7">
        <v>10836.64</v>
      </c>
      <c r="E124" s="2"/>
      <c r="F124" s="6">
        <f t="shared" si="12"/>
        <v>3.0791299317795347E-2</v>
      </c>
      <c r="G124" s="2"/>
      <c r="H124" s="7">
        <v>14527.48443665117</v>
      </c>
      <c r="I124" s="2"/>
      <c r="J124" s="6">
        <f t="shared" si="13"/>
        <v>3.7572756721272256E-2</v>
      </c>
      <c r="K124" s="2"/>
      <c r="L124" s="7">
        <f t="shared" si="14"/>
        <v>-3690.8444366511703</v>
      </c>
      <c r="M124" s="2"/>
      <c r="N124" s="6">
        <f t="shared" si="15"/>
        <v>-0.25405943146905702</v>
      </c>
      <c r="O124" s="11"/>
      <c r="P124" s="7">
        <v>10836.64</v>
      </c>
      <c r="Q124" s="2"/>
      <c r="R124" s="6">
        <f t="shared" si="16"/>
        <v>3.0791299317795347E-2</v>
      </c>
      <c r="S124" s="2"/>
      <c r="T124" s="7">
        <v>14527.48443665117</v>
      </c>
      <c r="U124" s="2"/>
      <c r="V124" s="6">
        <f t="shared" si="17"/>
        <v>3.7572756721272256E-2</v>
      </c>
      <c r="W124" s="2"/>
      <c r="X124" s="7">
        <f t="shared" si="18"/>
        <v>-3690.8444366511703</v>
      </c>
      <c r="Y124" s="2"/>
      <c r="Z124" s="6">
        <f t="shared" si="19"/>
        <v>-0.25405943146905702</v>
      </c>
    </row>
    <row r="125" spans="1:26" s="24" customFormat="1" hidden="1" outlineLevel="2" x14ac:dyDescent="0.25">
      <c r="A125" s="29"/>
      <c r="B125" s="11" t="str">
        <f>CONCATENATE("          ", "6112", " - ", "COMPENSATION INSURANCE")</f>
        <v xml:space="preserve">          6112 - COMPENSATION INSURANCE</v>
      </c>
      <c r="C125" s="11"/>
      <c r="D125" s="7">
        <v>1966.34</v>
      </c>
      <c r="E125" s="2"/>
      <c r="F125" s="6">
        <f t="shared" si="12"/>
        <v>5.5871712542405862E-3</v>
      </c>
      <c r="G125" s="2"/>
      <c r="H125" s="7">
        <v>3571.8259389903833</v>
      </c>
      <c r="I125" s="2"/>
      <c r="J125" s="6">
        <f t="shared" si="13"/>
        <v>9.2378930186864227E-3</v>
      </c>
      <c r="K125" s="2"/>
      <c r="L125" s="7">
        <f t="shared" si="14"/>
        <v>-1605.4859389903834</v>
      </c>
      <c r="M125" s="2"/>
      <c r="N125" s="6">
        <f t="shared" si="15"/>
        <v>-0.44948605178789647</v>
      </c>
      <c r="O125" s="11"/>
      <c r="P125" s="7">
        <v>1966.34</v>
      </c>
      <c r="Q125" s="2"/>
      <c r="R125" s="6">
        <f t="shared" si="16"/>
        <v>5.5871712542405862E-3</v>
      </c>
      <c r="S125" s="2"/>
      <c r="T125" s="7">
        <v>3571.8259389903833</v>
      </c>
      <c r="U125" s="2"/>
      <c r="V125" s="6">
        <f t="shared" si="17"/>
        <v>9.2378930186864227E-3</v>
      </c>
      <c r="W125" s="2"/>
      <c r="X125" s="7">
        <f t="shared" si="18"/>
        <v>-1605.4859389903834</v>
      </c>
      <c r="Y125" s="2"/>
      <c r="Z125" s="6">
        <f t="shared" si="19"/>
        <v>-0.44948605178789647</v>
      </c>
    </row>
    <row r="126" spans="1:26" s="24" customFormat="1" hidden="1" outlineLevel="2" x14ac:dyDescent="0.25">
      <c r="A126" s="29"/>
      <c r="B126" s="11" t="str">
        <f>CONCATENATE("          ", "6113", " - ", "GROUP INSURANCE")</f>
        <v xml:space="preserve">          6113 - GROUP INSURANCE</v>
      </c>
      <c r="C126" s="11"/>
      <c r="D126" s="7">
        <v>18530.449999999997</v>
      </c>
      <c r="E126" s="2"/>
      <c r="F126" s="6">
        <f t="shared" si="12"/>
        <v>5.2652541049941742E-2</v>
      </c>
      <c r="G126" s="2"/>
      <c r="H126" s="7">
        <v>18982.511538461542</v>
      </c>
      <c r="I126" s="2"/>
      <c r="J126" s="6">
        <f t="shared" si="13"/>
        <v>4.9094892588146491E-2</v>
      </c>
      <c r="K126" s="2"/>
      <c r="L126" s="7">
        <f t="shared" si="14"/>
        <v>-452.06153846154484</v>
      </c>
      <c r="M126" s="2"/>
      <c r="N126" s="6">
        <f t="shared" si="15"/>
        <v>-2.3814632618323311E-2</v>
      </c>
      <c r="O126" s="11"/>
      <c r="P126" s="7">
        <v>18530.449999999997</v>
      </c>
      <c r="Q126" s="2"/>
      <c r="R126" s="6">
        <f t="shared" si="16"/>
        <v>5.2652541049941742E-2</v>
      </c>
      <c r="S126" s="2"/>
      <c r="T126" s="7">
        <v>18982.511538461542</v>
      </c>
      <c r="U126" s="2"/>
      <c r="V126" s="6">
        <f t="shared" si="17"/>
        <v>4.9094892588146491E-2</v>
      </c>
      <c r="W126" s="2"/>
      <c r="X126" s="7">
        <f t="shared" si="18"/>
        <v>-452.06153846154484</v>
      </c>
      <c r="Y126" s="2"/>
      <c r="Z126" s="6">
        <f t="shared" si="19"/>
        <v>-2.3814632618323311E-2</v>
      </c>
    </row>
    <row r="127" spans="1:26" s="24" customFormat="1" hidden="1" outlineLevel="2" x14ac:dyDescent="0.25">
      <c r="A127" s="29"/>
      <c r="B127" s="11" t="str">
        <f>CONCATENATE("          ", "6114", " - ", "STATE UNEMPLOYMENT INSURANCE")</f>
        <v xml:space="preserve">          6114 - STATE UNEMPLOYMENT INSURANCE</v>
      </c>
      <c r="C127" s="11"/>
      <c r="D127" s="7">
        <v>367.04</v>
      </c>
      <c r="E127" s="2"/>
      <c r="F127" s="6">
        <f t="shared" si="12"/>
        <v>1.0429098412057247E-3</v>
      </c>
      <c r="G127" s="2"/>
      <c r="H127" s="7">
        <v>506.91413566931999</v>
      </c>
      <c r="I127" s="2"/>
      <c r="J127" s="6">
        <f t="shared" si="13"/>
        <v>1.3110433248874173E-3</v>
      </c>
      <c r="K127" s="2"/>
      <c r="L127" s="7">
        <f t="shared" si="14"/>
        <v>-139.87413566931997</v>
      </c>
      <c r="M127" s="2"/>
      <c r="N127" s="6">
        <f t="shared" si="15"/>
        <v>-0.27593260046818929</v>
      </c>
      <c r="O127" s="11"/>
      <c r="P127" s="7">
        <v>367.04</v>
      </c>
      <c r="Q127" s="2"/>
      <c r="R127" s="6">
        <f t="shared" si="16"/>
        <v>1.0429098412057247E-3</v>
      </c>
      <c r="S127" s="2"/>
      <c r="T127" s="7">
        <v>506.91413566931999</v>
      </c>
      <c r="U127" s="2"/>
      <c r="V127" s="6">
        <f t="shared" si="17"/>
        <v>1.3110433248874173E-3</v>
      </c>
      <c r="W127" s="2"/>
      <c r="X127" s="7">
        <f t="shared" si="18"/>
        <v>-139.87413566931997</v>
      </c>
      <c r="Y127" s="2"/>
      <c r="Z127" s="6">
        <f t="shared" si="19"/>
        <v>-0.27593260046818929</v>
      </c>
    </row>
    <row r="128" spans="1:26" s="24" customFormat="1" hidden="1" outlineLevel="2" x14ac:dyDescent="0.25">
      <c r="A128" s="29"/>
      <c r="B128" s="11" t="str">
        <f>CONCATENATE("          ", "6115", " - ", "P.E.R.S.")</f>
        <v xml:space="preserve">          6115 - P.E.R.S.</v>
      </c>
      <c r="C128" s="11"/>
      <c r="D128" s="7">
        <v>6114.49</v>
      </c>
      <c r="E128" s="2"/>
      <c r="F128" s="6">
        <f t="shared" si="12"/>
        <v>1.737375162095137E-2</v>
      </c>
      <c r="G128" s="2"/>
      <c r="H128" s="7">
        <v>7510.6394099038407</v>
      </c>
      <c r="I128" s="2"/>
      <c r="J128" s="6">
        <f t="shared" si="13"/>
        <v>1.9424934068941094E-2</v>
      </c>
      <c r="K128" s="2"/>
      <c r="L128" s="7">
        <f t="shared" si="14"/>
        <v>-1396.1494099038409</v>
      </c>
      <c r="M128" s="2"/>
      <c r="N128" s="6">
        <f t="shared" si="15"/>
        <v>-0.18588955396564777</v>
      </c>
      <c r="O128" s="11"/>
      <c r="P128" s="7">
        <v>6114.49</v>
      </c>
      <c r="Q128" s="2"/>
      <c r="R128" s="6">
        <f t="shared" si="16"/>
        <v>1.737375162095137E-2</v>
      </c>
      <c r="S128" s="2"/>
      <c r="T128" s="7">
        <v>7510.6394099038407</v>
      </c>
      <c r="U128" s="2"/>
      <c r="V128" s="6">
        <f t="shared" si="17"/>
        <v>1.9424934068941094E-2</v>
      </c>
      <c r="W128" s="2"/>
      <c r="X128" s="7">
        <f t="shared" si="18"/>
        <v>-1396.1494099038409</v>
      </c>
      <c r="Y128" s="2"/>
      <c r="Z128" s="6">
        <f t="shared" si="19"/>
        <v>-0.18588955396564777</v>
      </c>
    </row>
    <row r="129" spans="1:26" s="24" customFormat="1" hidden="1" outlineLevel="2" x14ac:dyDescent="0.25">
      <c r="A129" s="29"/>
      <c r="B129" s="11" t="str">
        <f>CONCATENATE("          ", "6116", " - ", "EDUCATIONAL BENEFITS")</f>
        <v xml:space="preserve">          6116 - EDUCATIONAL BENEFITS</v>
      </c>
      <c r="C129" s="11"/>
      <c r="D129" s="7"/>
      <c r="E129" s="2"/>
      <c r="F129" s="6">
        <f t="shared" si="12"/>
        <v>0</v>
      </c>
      <c r="G129" s="2"/>
      <c r="H129" s="7">
        <v>0</v>
      </c>
      <c r="I129" s="2"/>
      <c r="J129" s="6">
        <f t="shared" si="13"/>
        <v>0</v>
      </c>
      <c r="K129" s="2"/>
      <c r="L129" s="7">
        <f t="shared" si="14"/>
        <v>0</v>
      </c>
      <c r="M129" s="2"/>
      <c r="N129" s="6">
        <f t="shared" si="15"/>
        <v>0</v>
      </c>
      <c r="O129" s="11"/>
      <c r="P129" s="7"/>
      <c r="Q129" s="2"/>
      <c r="R129" s="6">
        <f t="shared" si="16"/>
        <v>0</v>
      </c>
      <c r="S129" s="2"/>
      <c r="T129" s="7">
        <v>0</v>
      </c>
      <c r="U129" s="2"/>
      <c r="V129" s="6">
        <f t="shared" si="17"/>
        <v>0</v>
      </c>
      <c r="W129" s="2"/>
      <c r="X129" s="7">
        <f t="shared" si="18"/>
        <v>0</v>
      </c>
      <c r="Y129" s="2"/>
      <c r="Z129" s="6">
        <f t="shared" si="19"/>
        <v>0</v>
      </c>
    </row>
    <row r="130" spans="1:26" s="24" customFormat="1" hidden="1" outlineLevel="2" x14ac:dyDescent="0.25">
      <c r="A130" s="29"/>
      <c r="B130" s="11" t="str">
        <f>CONCATENATE("          ", "6117", " - ", "RETIREMENT STAFF HOURLY")</f>
        <v xml:space="preserve">          6117 - RETIREMENT STAFF HOURLY</v>
      </c>
      <c r="C130" s="11"/>
      <c r="D130" s="7">
        <v>220.69</v>
      </c>
      <c r="E130" s="2"/>
      <c r="F130" s="6">
        <f t="shared" si="12"/>
        <v>6.2707000015173114E-4</v>
      </c>
      <c r="G130" s="2"/>
      <c r="H130" s="7"/>
      <c r="I130" s="2"/>
      <c r="J130" s="6">
        <f t="shared" si="13"/>
        <v>0</v>
      </c>
      <c r="K130" s="2"/>
      <c r="L130" s="7">
        <f t="shared" si="14"/>
        <v>220.69</v>
      </c>
      <c r="M130" s="2"/>
      <c r="N130" s="6">
        <f t="shared" si="15"/>
        <v>0</v>
      </c>
      <c r="O130" s="11"/>
      <c r="P130" s="7">
        <v>220.69</v>
      </c>
      <c r="Q130" s="2"/>
      <c r="R130" s="6">
        <f t="shared" si="16"/>
        <v>6.2707000015173114E-4</v>
      </c>
      <c r="S130" s="2"/>
      <c r="T130" s="7"/>
      <c r="U130" s="2"/>
      <c r="V130" s="6">
        <f t="shared" si="17"/>
        <v>0</v>
      </c>
      <c r="W130" s="2"/>
      <c r="X130" s="7">
        <f t="shared" si="18"/>
        <v>220.69</v>
      </c>
      <c r="Y130" s="2"/>
      <c r="Z130" s="6">
        <f t="shared" si="19"/>
        <v>0</v>
      </c>
    </row>
    <row r="131" spans="1:26" s="24" customFormat="1" hidden="1" outlineLevel="2" x14ac:dyDescent="0.25">
      <c r="A131" s="29"/>
      <c r="B131" s="11" t="str">
        <f>CONCATENATE("          ", "6118", " - ", "VACATION")</f>
        <v xml:space="preserve">          6118 - VACATION</v>
      </c>
      <c r="C131" s="11"/>
      <c r="D131" s="7">
        <v>7334.91</v>
      </c>
      <c r="E131" s="2"/>
      <c r="F131" s="6">
        <f t="shared" si="12"/>
        <v>2.0841460939838387E-2</v>
      </c>
      <c r="G131" s="2"/>
      <c r="H131" s="7">
        <v>5470.7532486730752</v>
      </c>
      <c r="I131" s="2"/>
      <c r="J131" s="6">
        <f t="shared" si="13"/>
        <v>1.4149131034408208E-2</v>
      </c>
      <c r="K131" s="2"/>
      <c r="L131" s="7">
        <f t="shared" si="14"/>
        <v>1864.1567513269247</v>
      </c>
      <c r="M131" s="2"/>
      <c r="N131" s="6">
        <f t="shared" si="15"/>
        <v>0.34074955798437329</v>
      </c>
      <c r="O131" s="11"/>
      <c r="P131" s="7">
        <v>7334.91</v>
      </c>
      <c r="Q131" s="2"/>
      <c r="R131" s="6">
        <f t="shared" si="16"/>
        <v>2.0841460939838387E-2</v>
      </c>
      <c r="S131" s="2"/>
      <c r="T131" s="7">
        <v>5470.7532486730752</v>
      </c>
      <c r="U131" s="2"/>
      <c r="V131" s="6">
        <f t="shared" si="17"/>
        <v>1.4149131034408208E-2</v>
      </c>
      <c r="W131" s="2"/>
      <c r="X131" s="7">
        <f t="shared" si="18"/>
        <v>1864.1567513269247</v>
      </c>
      <c r="Y131" s="2"/>
      <c r="Z131" s="6">
        <f t="shared" si="19"/>
        <v>0.34074955798437329</v>
      </c>
    </row>
    <row r="132" spans="1:26" s="24" customFormat="1" hidden="1" outlineLevel="2" x14ac:dyDescent="0.25">
      <c r="A132" s="29"/>
      <c r="B132" s="11" t="str">
        <f>CONCATENATE("          ", "6119", " - ", "SICK LEAVE")</f>
        <v xml:space="preserve">          6119 - SICK LEAVE</v>
      </c>
      <c r="C132" s="11"/>
      <c r="D132" s="7">
        <v>8051.08</v>
      </c>
      <c r="E132" s="2"/>
      <c r="F132" s="6">
        <f t="shared" si="12"/>
        <v>2.2876391031861884E-2</v>
      </c>
      <c r="G132" s="2"/>
      <c r="H132" s="7">
        <v>4564.0179373243009</v>
      </c>
      <c r="I132" s="2"/>
      <c r="J132" s="6">
        <f t="shared" si="13"/>
        <v>1.1804021293457907E-2</v>
      </c>
      <c r="K132" s="2"/>
      <c r="L132" s="7">
        <f t="shared" si="14"/>
        <v>3487.0620626756991</v>
      </c>
      <c r="M132" s="2"/>
      <c r="N132" s="6">
        <f t="shared" si="15"/>
        <v>0.76403338255064412</v>
      </c>
      <c r="O132" s="11"/>
      <c r="P132" s="7">
        <v>8051.08</v>
      </c>
      <c r="Q132" s="2"/>
      <c r="R132" s="6">
        <f t="shared" si="16"/>
        <v>2.2876391031861884E-2</v>
      </c>
      <c r="S132" s="2"/>
      <c r="T132" s="7">
        <v>4564.0179373243009</v>
      </c>
      <c r="U132" s="2"/>
      <c r="V132" s="6">
        <f t="shared" si="17"/>
        <v>1.1804021293457907E-2</v>
      </c>
      <c r="W132" s="2"/>
      <c r="X132" s="7">
        <f t="shared" si="18"/>
        <v>3487.0620626756991</v>
      </c>
      <c r="Y132" s="2"/>
      <c r="Z132" s="6">
        <f t="shared" si="19"/>
        <v>0.76403338255064412</v>
      </c>
    </row>
    <row r="133" spans="1:26" s="24" customFormat="1" hidden="1" outlineLevel="2" x14ac:dyDescent="0.25">
      <c r="A133" s="29"/>
      <c r="B133" s="11" t="str">
        <f>CONCATENATE("          ", "6156", " - ", "EMPLOYEE MEALS")</f>
        <v xml:space="preserve">          6156 - EMPLOYEE MEALS</v>
      </c>
      <c r="C133" s="11"/>
      <c r="D133" s="7">
        <v>1729.71</v>
      </c>
      <c r="E133" s="2"/>
      <c r="F133" s="6">
        <f t="shared" si="12"/>
        <v>4.9148092345029266E-3</v>
      </c>
      <c r="G133" s="2"/>
      <c r="H133" s="7">
        <v>1550</v>
      </c>
      <c r="I133" s="2"/>
      <c r="J133" s="6">
        <f t="shared" si="13"/>
        <v>4.008799539378256E-3</v>
      </c>
      <c r="K133" s="2"/>
      <c r="L133" s="7">
        <f t="shared" si="14"/>
        <v>179.71000000000004</v>
      </c>
      <c r="M133" s="2"/>
      <c r="N133" s="6">
        <f t="shared" si="15"/>
        <v>0.11594193548387099</v>
      </c>
      <c r="O133" s="11"/>
      <c r="P133" s="7">
        <v>1729.71</v>
      </c>
      <c r="Q133" s="2"/>
      <c r="R133" s="6">
        <f t="shared" si="16"/>
        <v>4.9148092345029266E-3</v>
      </c>
      <c r="S133" s="2"/>
      <c r="T133" s="7">
        <v>1550</v>
      </c>
      <c r="U133" s="2"/>
      <c r="V133" s="6">
        <f t="shared" si="17"/>
        <v>4.008799539378256E-3</v>
      </c>
      <c r="W133" s="2"/>
      <c r="X133" s="7">
        <f t="shared" si="18"/>
        <v>179.71000000000004</v>
      </c>
      <c r="Y133" s="2"/>
      <c r="Z133" s="6">
        <f t="shared" si="19"/>
        <v>0.11594193548387099</v>
      </c>
    </row>
    <row r="134" spans="1:26" s="27" customFormat="1" outlineLevel="1" collapsed="1" x14ac:dyDescent="0.25">
      <c r="A134" s="28"/>
      <c r="B134" s="14" t="str">
        <f>CONCATENATE("     ","*Payroll                                          ")</f>
        <v xml:space="preserve">     *Payroll                                          </v>
      </c>
      <c r="C134" s="14"/>
      <c r="D134" s="1">
        <f>SUM(OSRRefD22_1x_0)</f>
        <v>170297.77</v>
      </c>
      <c r="E134" s="1"/>
      <c r="F134" s="5">
        <f t="shared" ref="F134:F144" si="20">IF(D$12=0,0,D134/D$12)</f>
        <v>0.48388519035633448</v>
      </c>
      <c r="G134" s="1"/>
      <c r="H134" s="1">
        <f>SUM(OSRRefH22_1x_0)</f>
        <v>186044.35521256537</v>
      </c>
      <c r="I134" s="1"/>
      <c r="J134" s="5">
        <f t="shared" ref="J134:J144" si="21">IF(H$12=0,0,H134/H$12)</f>
        <v>0.48117066160003658</v>
      </c>
      <c r="K134" s="1"/>
      <c r="L134" s="1">
        <f t="shared" ref="L134:L144" si="22">+D134-H134</f>
        <v>-15746.585212565376</v>
      </c>
      <c r="M134" s="1"/>
      <c r="N134" s="5">
        <f t="shared" ref="N134:N144" si="23">IF(H134=0,0,L134/H134)</f>
        <v>-8.4638876544112729E-2</v>
      </c>
      <c r="O134" s="14"/>
      <c r="P134" s="1">
        <f>SUM(OSRRefP22_1x_0)</f>
        <v>170297.77</v>
      </c>
      <c r="Q134" s="1"/>
      <c r="R134" s="5">
        <f t="shared" ref="R134:R144" si="24">IF(P$12=0,0,P134/P$12)</f>
        <v>0.48388519035633448</v>
      </c>
      <c r="S134" s="1"/>
      <c r="T134" s="1">
        <f>SUM(OSRRefT22_1x_0)</f>
        <v>186044.35521256537</v>
      </c>
      <c r="U134" s="1"/>
      <c r="V134" s="5">
        <f t="shared" ref="V134:V144" si="25">IF(T$12=0,0,T134/T$12)</f>
        <v>0.48117066160003658</v>
      </c>
      <c r="W134" s="1"/>
      <c r="X134" s="1">
        <f t="shared" ref="X134:X144" si="26">+P134-T134</f>
        <v>-15746.585212565376</v>
      </c>
      <c r="Y134" s="1"/>
      <c r="Z134" s="5">
        <f t="shared" ref="Z134:Z144" si="27">IF(T134=0,0,X134/T134)</f>
        <v>-8.4638876544112729E-2</v>
      </c>
    </row>
    <row r="135" spans="1:26" s="24" customFormat="1" hidden="1" outlineLevel="2" x14ac:dyDescent="0.25">
      <c r="A135" s="29"/>
      <c r="B135" s="11" t="str">
        <f>CONCATENATE("          ", "6001", " - ", "ADMINISTRATIVE SALARIES")</f>
        <v xml:space="preserve">          6001 - ADMINISTRATIVE SALARIES</v>
      </c>
      <c r="C135" s="11"/>
      <c r="D135" s="7">
        <v>12860.28</v>
      </c>
      <c r="E135" s="2"/>
      <c r="F135" s="6">
        <f t="shared" si="20"/>
        <v>3.6541283164399405E-2</v>
      </c>
      <c r="G135" s="2"/>
      <c r="H135" s="7">
        <v>30633.201127307686</v>
      </c>
      <c r="I135" s="2"/>
      <c r="J135" s="6">
        <f t="shared" si="21"/>
        <v>7.9227330689569372E-2</v>
      </c>
      <c r="K135" s="2"/>
      <c r="L135" s="7">
        <f t="shared" si="22"/>
        <v>-17772.921127307687</v>
      </c>
      <c r="M135" s="2"/>
      <c r="N135" s="6">
        <f t="shared" si="23"/>
        <v>-0.5801849128808213</v>
      </c>
      <c r="O135" s="11"/>
      <c r="P135" s="7">
        <v>12860.28</v>
      </c>
      <c r="Q135" s="2"/>
      <c r="R135" s="6">
        <f t="shared" si="24"/>
        <v>3.6541283164399405E-2</v>
      </c>
      <c r="S135" s="2"/>
      <c r="T135" s="7">
        <v>30633.201127307686</v>
      </c>
      <c r="U135" s="2"/>
      <c r="V135" s="6">
        <f t="shared" si="25"/>
        <v>7.9227330689569372E-2</v>
      </c>
      <c r="W135" s="2"/>
      <c r="X135" s="7">
        <f t="shared" si="26"/>
        <v>-17772.921127307687</v>
      </c>
      <c r="Y135" s="2"/>
      <c r="Z135" s="6">
        <f t="shared" si="27"/>
        <v>-0.5801849128808213</v>
      </c>
    </row>
    <row r="136" spans="1:26" s="24" customFormat="1" hidden="1" outlineLevel="2" x14ac:dyDescent="0.25">
      <c r="A136" s="29"/>
      <c r="B136" s="11" t="str">
        <f>CONCATENATE("          ", "6002", " - ", "STAFF SALARIES")</f>
        <v xml:space="preserve">          6002 - STAFF SALARIES</v>
      </c>
      <c r="C136" s="11"/>
      <c r="D136" s="7">
        <v>64127.61</v>
      </c>
      <c r="E136" s="2"/>
      <c r="F136" s="6">
        <f t="shared" si="20"/>
        <v>0.18221260778662446</v>
      </c>
      <c r="G136" s="2"/>
      <c r="H136" s="7">
        <v>48915.043182057692</v>
      </c>
      <c r="I136" s="2"/>
      <c r="J136" s="6">
        <f t="shared" si="21"/>
        <v>0.12651006617864541</v>
      </c>
      <c r="K136" s="2"/>
      <c r="L136" s="7">
        <f t="shared" si="22"/>
        <v>15212.566817942308</v>
      </c>
      <c r="M136" s="2"/>
      <c r="N136" s="6">
        <f t="shared" si="23"/>
        <v>0.31099976261540668</v>
      </c>
      <c r="O136" s="11"/>
      <c r="P136" s="7">
        <v>64127.61</v>
      </c>
      <c r="Q136" s="2"/>
      <c r="R136" s="6">
        <f t="shared" si="24"/>
        <v>0.18221260778662446</v>
      </c>
      <c r="S136" s="2"/>
      <c r="T136" s="7">
        <v>48915.043182057692</v>
      </c>
      <c r="U136" s="2"/>
      <c r="V136" s="6">
        <f t="shared" si="25"/>
        <v>0.12651006617864541</v>
      </c>
      <c r="W136" s="2"/>
      <c r="X136" s="7">
        <f t="shared" si="26"/>
        <v>15212.566817942308</v>
      </c>
      <c r="Y136" s="2"/>
      <c r="Z136" s="6">
        <f t="shared" si="27"/>
        <v>0.31099976261540668</v>
      </c>
    </row>
    <row r="137" spans="1:26" s="24" customFormat="1" hidden="1" outlineLevel="2" x14ac:dyDescent="0.25">
      <c r="A137" s="29"/>
      <c r="B137" s="11" t="str">
        <f>CONCATENATE("          ", "6003", " - ", "STAFF HOURLY-9 MONTH")</f>
        <v xml:space="preserve">          6003 - STAFF HOURLY-9 MONTH</v>
      </c>
      <c r="C137" s="11"/>
      <c r="D137" s="7"/>
      <c r="E137" s="2"/>
      <c r="F137" s="6">
        <f t="shared" si="20"/>
        <v>0</v>
      </c>
      <c r="G137" s="2"/>
      <c r="H137" s="7">
        <v>0</v>
      </c>
      <c r="I137" s="2"/>
      <c r="J137" s="6">
        <f t="shared" si="21"/>
        <v>0</v>
      </c>
      <c r="K137" s="2"/>
      <c r="L137" s="7">
        <f t="shared" si="22"/>
        <v>0</v>
      </c>
      <c r="M137" s="2"/>
      <c r="N137" s="6">
        <f t="shared" si="23"/>
        <v>0</v>
      </c>
      <c r="O137" s="11"/>
      <c r="P137" s="7"/>
      <c r="Q137" s="2"/>
      <c r="R137" s="6">
        <f t="shared" si="24"/>
        <v>0</v>
      </c>
      <c r="S137" s="2"/>
      <c r="T137" s="7">
        <v>0</v>
      </c>
      <c r="U137" s="2"/>
      <c r="V137" s="6">
        <f t="shared" si="25"/>
        <v>0</v>
      </c>
      <c r="W137" s="2"/>
      <c r="X137" s="7">
        <f t="shared" si="26"/>
        <v>0</v>
      </c>
      <c r="Y137" s="2"/>
      <c r="Z137" s="6">
        <f t="shared" si="27"/>
        <v>0</v>
      </c>
    </row>
    <row r="138" spans="1:26" s="24" customFormat="1" hidden="1" outlineLevel="2" x14ac:dyDescent="0.25">
      <c r="A138" s="29"/>
      <c r="B138" s="11" t="str">
        <f>CONCATENATE("          ", "6004", " - ", "STAFF HOURLY")</f>
        <v xml:space="preserve">          6004 - STAFF HOURLY</v>
      </c>
      <c r="C138" s="11"/>
      <c r="D138" s="7">
        <v>2005.93</v>
      </c>
      <c r="E138" s="2"/>
      <c r="F138" s="6">
        <f t="shared" si="20"/>
        <v>5.6996625375158004E-3</v>
      </c>
      <c r="G138" s="2"/>
      <c r="H138" s="7">
        <v>26069.22954</v>
      </c>
      <c r="I138" s="2"/>
      <c r="J138" s="6">
        <f t="shared" si="21"/>
        <v>6.7423429272192276E-2</v>
      </c>
      <c r="K138" s="2"/>
      <c r="L138" s="7">
        <f t="shared" si="22"/>
        <v>-24063.29954</v>
      </c>
      <c r="M138" s="2"/>
      <c r="N138" s="6">
        <f t="shared" si="23"/>
        <v>-0.92305372903628968</v>
      </c>
      <c r="O138" s="11"/>
      <c r="P138" s="7">
        <v>2005.93</v>
      </c>
      <c r="Q138" s="2"/>
      <c r="R138" s="6">
        <f t="shared" si="24"/>
        <v>5.6996625375158004E-3</v>
      </c>
      <c r="S138" s="2"/>
      <c r="T138" s="7">
        <v>26069.22954</v>
      </c>
      <c r="U138" s="2"/>
      <c r="V138" s="6">
        <f t="shared" si="25"/>
        <v>6.7423429272192276E-2</v>
      </c>
      <c r="W138" s="2"/>
      <c r="X138" s="7">
        <f t="shared" si="26"/>
        <v>-24063.29954</v>
      </c>
      <c r="Y138" s="2"/>
      <c r="Z138" s="6">
        <f t="shared" si="27"/>
        <v>-0.92305372903628968</v>
      </c>
    </row>
    <row r="139" spans="1:26" s="24" customFormat="1" hidden="1" outlineLevel="2" x14ac:dyDescent="0.25">
      <c r="A139" s="29"/>
      <c r="B139" s="11" t="str">
        <f>CONCATENATE("          ", "6005", " - ", "TEMPORARY WAGES-HOURLY")</f>
        <v xml:space="preserve">          6005 - TEMPORARY WAGES-HOURLY</v>
      </c>
      <c r="C139" s="11"/>
      <c r="D139" s="7">
        <v>17378.64</v>
      </c>
      <c r="E139" s="2"/>
      <c r="F139" s="6">
        <f t="shared" si="20"/>
        <v>4.9379780630916123E-2</v>
      </c>
      <c r="G139" s="2"/>
      <c r="H139" s="7">
        <v>3434.16</v>
      </c>
      <c r="I139" s="2"/>
      <c r="J139" s="6">
        <f t="shared" si="21"/>
        <v>8.8818445330007944E-3</v>
      </c>
      <c r="K139" s="2"/>
      <c r="L139" s="7">
        <f t="shared" si="22"/>
        <v>13944.48</v>
      </c>
      <c r="M139" s="2"/>
      <c r="N139" s="6">
        <f t="shared" si="23"/>
        <v>4.060521350199175</v>
      </c>
      <c r="O139" s="11"/>
      <c r="P139" s="7">
        <v>17378.64</v>
      </c>
      <c r="Q139" s="2"/>
      <c r="R139" s="6">
        <f t="shared" si="24"/>
        <v>4.9379780630916123E-2</v>
      </c>
      <c r="S139" s="2"/>
      <c r="T139" s="7">
        <v>3434.16</v>
      </c>
      <c r="U139" s="2"/>
      <c r="V139" s="6">
        <f t="shared" si="25"/>
        <v>8.8818445330007944E-3</v>
      </c>
      <c r="W139" s="2"/>
      <c r="X139" s="7">
        <f t="shared" si="26"/>
        <v>13944.48</v>
      </c>
      <c r="Y139" s="2"/>
      <c r="Z139" s="6">
        <f t="shared" si="27"/>
        <v>4.060521350199175</v>
      </c>
    </row>
    <row r="140" spans="1:26" s="24" customFormat="1" hidden="1" outlineLevel="2" x14ac:dyDescent="0.25">
      <c r="A140" s="29"/>
      <c r="B140" s="11" t="str">
        <f>CONCATENATE("          ", "6006", " - ", "TEMPORARY PART TIME")</f>
        <v xml:space="preserve">          6006 - TEMPORARY PART TIME</v>
      </c>
      <c r="C140" s="11"/>
      <c r="D140" s="7">
        <v>3191.44</v>
      </c>
      <c r="E140" s="2"/>
      <c r="F140" s="6">
        <f t="shared" si="20"/>
        <v>9.0681783555405359E-3</v>
      </c>
      <c r="G140" s="2"/>
      <c r="H140" s="7">
        <v>0</v>
      </c>
      <c r="I140" s="2"/>
      <c r="J140" s="6">
        <f t="shared" si="21"/>
        <v>0</v>
      </c>
      <c r="K140" s="2"/>
      <c r="L140" s="7">
        <f t="shared" si="22"/>
        <v>3191.44</v>
      </c>
      <c r="M140" s="2"/>
      <c r="N140" s="6">
        <f t="shared" si="23"/>
        <v>0</v>
      </c>
      <c r="O140" s="11"/>
      <c r="P140" s="7">
        <v>3191.44</v>
      </c>
      <c r="Q140" s="2"/>
      <c r="R140" s="6">
        <f t="shared" si="24"/>
        <v>9.0681783555405359E-3</v>
      </c>
      <c r="S140" s="2"/>
      <c r="T140" s="7">
        <v>0</v>
      </c>
      <c r="U140" s="2"/>
      <c r="V140" s="6">
        <f t="shared" si="25"/>
        <v>0</v>
      </c>
      <c r="W140" s="2"/>
      <c r="X140" s="7">
        <f t="shared" si="26"/>
        <v>3191.44</v>
      </c>
      <c r="Y140" s="2"/>
      <c r="Z140" s="6">
        <f t="shared" si="27"/>
        <v>0</v>
      </c>
    </row>
    <row r="141" spans="1:26" s="24" customFormat="1" hidden="1" outlineLevel="2" x14ac:dyDescent="0.25">
      <c r="A141" s="29"/>
      <c r="B141" s="11" t="str">
        <f>CONCATENATE("          ", "6007", " - ", "STUDENT HOURLY")</f>
        <v xml:space="preserve">          6007 - STUDENT HOURLY</v>
      </c>
      <c r="C141" s="11"/>
      <c r="D141" s="7">
        <v>70418.87</v>
      </c>
      <c r="E141" s="2"/>
      <c r="F141" s="6">
        <f t="shared" si="20"/>
        <v>0.20008863483431388</v>
      </c>
      <c r="G141" s="2"/>
      <c r="H141" s="7">
        <v>75338.386363199999</v>
      </c>
      <c r="I141" s="2"/>
      <c r="J141" s="6">
        <f t="shared" si="21"/>
        <v>0.19484934745180468</v>
      </c>
      <c r="K141" s="2"/>
      <c r="L141" s="7">
        <f t="shared" si="22"/>
        <v>-4919.516363200004</v>
      </c>
      <c r="M141" s="2"/>
      <c r="N141" s="6">
        <f t="shared" si="23"/>
        <v>-6.529893458937959E-2</v>
      </c>
      <c r="O141" s="11"/>
      <c r="P141" s="7">
        <v>70418.87</v>
      </c>
      <c r="Q141" s="2"/>
      <c r="R141" s="6">
        <f t="shared" si="24"/>
        <v>0.20008863483431388</v>
      </c>
      <c r="S141" s="2"/>
      <c r="T141" s="7">
        <v>75338.386363199999</v>
      </c>
      <c r="U141" s="2"/>
      <c r="V141" s="6">
        <f t="shared" si="25"/>
        <v>0.19484934745180468</v>
      </c>
      <c r="W141" s="2"/>
      <c r="X141" s="7">
        <f t="shared" si="26"/>
        <v>-4919.516363200004</v>
      </c>
      <c r="Y141" s="2"/>
      <c r="Z141" s="6">
        <f t="shared" si="27"/>
        <v>-6.529893458937959E-2</v>
      </c>
    </row>
    <row r="142" spans="1:26" s="24" customFormat="1" hidden="1" outlineLevel="2" x14ac:dyDescent="0.25">
      <c r="A142" s="29"/>
      <c r="B142" s="11" t="str">
        <f>CONCATENATE("          ", "6008", " - ", "STUDENT HOURLY-FICA EXEMPT")</f>
        <v xml:space="preserve">          6008 - STUDENT HOURLY-FICA EXEMPT</v>
      </c>
      <c r="C142" s="11"/>
      <c r="D142" s="7">
        <v>315</v>
      </c>
      <c r="E142" s="2"/>
      <c r="F142" s="6">
        <f t="shared" si="20"/>
        <v>8.9504304702431141E-4</v>
      </c>
      <c r="G142" s="2"/>
      <c r="H142" s="7">
        <v>1654.335</v>
      </c>
      <c r="I142" s="2"/>
      <c r="J142" s="6">
        <f t="shared" si="21"/>
        <v>4.2786434748240823E-3</v>
      </c>
      <c r="K142" s="2"/>
      <c r="L142" s="7">
        <f t="shared" si="22"/>
        <v>-1339.335</v>
      </c>
      <c r="M142" s="2"/>
      <c r="N142" s="6">
        <f t="shared" si="23"/>
        <v>-0.80959116503005735</v>
      </c>
      <c r="O142" s="11"/>
      <c r="P142" s="7">
        <v>315</v>
      </c>
      <c r="Q142" s="2"/>
      <c r="R142" s="6">
        <f t="shared" si="24"/>
        <v>8.9504304702431141E-4</v>
      </c>
      <c r="S142" s="2"/>
      <c r="T142" s="7">
        <v>1654.335</v>
      </c>
      <c r="U142" s="2"/>
      <c r="V142" s="6">
        <f t="shared" si="25"/>
        <v>4.2786434748240823E-3</v>
      </c>
      <c r="W142" s="2"/>
      <c r="X142" s="7">
        <f t="shared" si="26"/>
        <v>-1339.335</v>
      </c>
      <c r="Y142" s="2"/>
      <c r="Z142" s="6">
        <f t="shared" si="27"/>
        <v>-0.80959116503005735</v>
      </c>
    </row>
    <row r="143" spans="1:26" s="24" customFormat="1" hidden="1" outlineLevel="2" x14ac:dyDescent="0.25">
      <c r="A143" s="29"/>
      <c r="B143" s="11" t="str">
        <f>CONCATENATE("          ", "6009", " - ", "TEMPORARY-SEASONAL")</f>
        <v xml:space="preserve">          6009 - TEMPORARY-SEASONAL</v>
      </c>
      <c r="C143" s="11"/>
      <c r="D143" s="7"/>
      <c r="E143" s="2"/>
      <c r="F143" s="6">
        <f t="shared" si="20"/>
        <v>0</v>
      </c>
      <c r="G143" s="2"/>
      <c r="H143" s="7">
        <v>0</v>
      </c>
      <c r="I143" s="2"/>
      <c r="J143" s="6">
        <f t="shared" si="21"/>
        <v>0</v>
      </c>
      <c r="K143" s="2"/>
      <c r="L143" s="7">
        <f t="shared" si="22"/>
        <v>0</v>
      </c>
      <c r="M143" s="2"/>
      <c r="N143" s="6">
        <f t="shared" si="23"/>
        <v>0</v>
      </c>
      <c r="O143" s="11"/>
      <c r="P143" s="7"/>
      <c r="Q143" s="2"/>
      <c r="R143" s="6">
        <f t="shared" si="24"/>
        <v>0</v>
      </c>
      <c r="S143" s="2"/>
      <c r="T143" s="7">
        <v>0</v>
      </c>
      <c r="U143" s="2"/>
      <c r="V143" s="6">
        <f t="shared" si="25"/>
        <v>0</v>
      </c>
      <c r="W143" s="2"/>
      <c r="X143" s="7">
        <f t="shared" si="26"/>
        <v>0</v>
      </c>
      <c r="Y143" s="2"/>
      <c r="Z143" s="6">
        <f t="shared" si="27"/>
        <v>0</v>
      </c>
    </row>
    <row r="144" spans="1:26" s="24" customFormat="1" hidden="1" outlineLevel="2" x14ac:dyDescent="0.25">
      <c r="A144" s="29"/>
      <c r="B144" s="11" t="str">
        <f>CONCATENATE("          ", "6010", " - ", "GRATUITY")</f>
        <v xml:space="preserve">          6010 - GRATUITY</v>
      </c>
      <c r="C144" s="11"/>
      <c r="D144" s="7"/>
      <c r="E144" s="2"/>
      <c r="F144" s="6">
        <f t="shared" si="20"/>
        <v>0</v>
      </c>
      <c r="G144" s="2"/>
      <c r="H144" s="7">
        <v>0</v>
      </c>
      <c r="I144" s="2"/>
      <c r="J144" s="6">
        <f t="shared" si="21"/>
        <v>0</v>
      </c>
      <c r="K144" s="2"/>
      <c r="L144" s="7">
        <f t="shared" si="22"/>
        <v>0</v>
      </c>
      <c r="M144" s="2"/>
      <c r="N144" s="6">
        <f t="shared" si="23"/>
        <v>0</v>
      </c>
      <c r="O144" s="11"/>
      <c r="P144" s="7"/>
      <c r="Q144" s="2"/>
      <c r="R144" s="6">
        <f t="shared" si="24"/>
        <v>0</v>
      </c>
      <c r="S144" s="2"/>
      <c r="T144" s="7">
        <v>0</v>
      </c>
      <c r="U144" s="2"/>
      <c r="V144" s="6">
        <f t="shared" si="25"/>
        <v>0</v>
      </c>
      <c r="W144" s="2"/>
      <c r="X144" s="7">
        <f t="shared" si="26"/>
        <v>0</v>
      </c>
      <c r="Y144" s="2"/>
      <c r="Z144" s="6">
        <f t="shared" si="27"/>
        <v>0</v>
      </c>
    </row>
    <row r="145" spans="1:26" s="27" customFormat="1" outlineLevel="1" collapsed="1" x14ac:dyDescent="0.25">
      <c r="A145" s="28"/>
      <c r="B145" s="14" t="str">
        <f>CONCATENATE("     ","Advertising/Promo                                 ")</f>
        <v xml:space="preserve">     Advertising/Promo                                 </v>
      </c>
      <c r="C145" s="14"/>
      <c r="D145" s="1">
        <f>SUM(OSRRefD22_2x_0)</f>
        <v>532.29999999999995</v>
      </c>
      <c r="E145" s="1"/>
      <c r="F145" s="5">
        <f t="shared" ref="F145:F149" si="28">IF(D$12=0,0,D145/D$12)</f>
        <v>1.5124806791461617E-3</v>
      </c>
      <c r="G145" s="1"/>
      <c r="H145" s="1">
        <f>SUM(OSRRefH22_2x_0)</f>
        <v>4620</v>
      </c>
      <c r="I145" s="1"/>
      <c r="J145" s="5">
        <f t="shared" ref="J145:J149" si="29">IF(H$12=0,0,H145/H$12)</f>
        <v>1.1948808949630673E-2</v>
      </c>
      <c r="K145" s="1"/>
      <c r="L145" s="1">
        <f t="shared" ref="L145:L149" si="30">+D145-H145</f>
        <v>-4087.7</v>
      </c>
      <c r="M145" s="1"/>
      <c r="N145" s="5">
        <f t="shared" ref="N145:N149" si="31">IF(H145=0,0,L145/H145)</f>
        <v>-0.88478354978354978</v>
      </c>
      <c r="O145" s="14"/>
      <c r="P145" s="1">
        <f>SUM(OSRRefP22_2x_0)</f>
        <v>532.29999999999995</v>
      </c>
      <c r="Q145" s="1"/>
      <c r="R145" s="5">
        <f t="shared" ref="R145:R149" si="32">IF(P$12=0,0,P145/P$12)</f>
        <v>1.5124806791461617E-3</v>
      </c>
      <c r="S145" s="1"/>
      <c r="T145" s="1">
        <f>SUM(OSRRefT22_2x_0)</f>
        <v>4620</v>
      </c>
      <c r="U145" s="1"/>
      <c r="V145" s="5">
        <f t="shared" ref="V145:V149" si="33">IF(T$12=0,0,T145/T$12)</f>
        <v>1.1948808949630673E-2</v>
      </c>
      <c r="W145" s="1"/>
      <c r="X145" s="1">
        <f t="shared" ref="X145:X149" si="34">+P145-T145</f>
        <v>-4087.7</v>
      </c>
      <c r="Y145" s="1"/>
      <c r="Z145" s="5">
        <f t="shared" ref="Z145:Z149" si="35">IF(T145=0,0,X145/T145)</f>
        <v>-0.88478354978354978</v>
      </c>
    </row>
    <row r="146" spans="1:26" s="24" customFormat="1" hidden="1" outlineLevel="2" x14ac:dyDescent="0.25">
      <c r="A146" s="29"/>
      <c r="B146" s="11" t="str">
        <f>CONCATENATE("          ", "6362", " - ", "ADVERTISING EXPENSE")</f>
        <v xml:space="preserve">          6362 - ADVERTISING EXPENSE</v>
      </c>
      <c r="C146" s="11"/>
      <c r="D146" s="7">
        <v>532.29999999999995</v>
      </c>
      <c r="E146" s="2"/>
      <c r="F146" s="6">
        <f t="shared" si="28"/>
        <v>1.5124806791461617E-3</v>
      </c>
      <c r="G146" s="2"/>
      <c r="H146" s="7">
        <v>4620</v>
      </c>
      <c r="I146" s="2"/>
      <c r="J146" s="6">
        <f t="shared" si="29"/>
        <v>1.1948808949630673E-2</v>
      </c>
      <c r="K146" s="2"/>
      <c r="L146" s="7">
        <f t="shared" si="30"/>
        <v>-4087.7</v>
      </c>
      <c r="M146" s="2"/>
      <c r="N146" s="6">
        <f t="shared" si="31"/>
        <v>-0.88478354978354978</v>
      </c>
      <c r="O146" s="11"/>
      <c r="P146" s="7">
        <v>532.29999999999995</v>
      </c>
      <c r="Q146" s="2"/>
      <c r="R146" s="6">
        <f t="shared" si="32"/>
        <v>1.5124806791461617E-3</v>
      </c>
      <c r="S146" s="2"/>
      <c r="T146" s="7">
        <v>4620</v>
      </c>
      <c r="U146" s="2"/>
      <c r="V146" s="6">
        <f t="shared" si="33"/>
        <v>1.1948808949630673E-2</v>
      </c>
      <c r="W146" s="2"/>
      <c r="X146" s="7">
        <f t="shared" si="34"/>
        <v>-4087.7</v>
      </c>
      <c r="Y146" s="2"/>
      <c r="Z146" s="6">
        <f t="shared" si="35"/>
        <v>-0.88478354978354978</v>
      </c>
    </row>
    <row r="147" spans="1:26" s="27" customFormat="1" outlineLevel="1" collapsed="1" x14ac:dyDescent="0.25">
      <c r="A147" s="28"/>
      <c r="B147" s="14" t="str">
        <f>CONCATENATE("     ","Bad Debts/Over/Short                              ")</f>
        <v xml:space="preserve">     Bad Debts/Over/Short                              </v>
      </c>
      <c r="C147" s="14"/>
      <c r="D147" s="1">
        <f>SUM(OSRRefD22_3x_0)</f>
        <v>-18.7</v>
      </c>
      <c r="E147" s="1"/>
      <c r="F147" s="5">
        <f t="shared" si="28"/>
        <v>-5.3134301521760708E-5</v>
      </c>
      <c r="G147" s="1"/>
      <c r="H147" s="1">
        <f>SUM(OSRRefH22_3x_0)</f>
        <v>135</v>
      </c>
      <c r="I147" s="1"/>
      <c r="J147" s="5">
        <f t="shared" si="29"/>
        <v>3.4915350826842875E-4</v>
      </c>
      <c r="K147" s="1"/>
      <c r="L147" s="1">
        <f t="shared" si="30"/>
        <v>-153.69999999999999</v>
      </c>
      <c r="M147" s="1"/>
      <c r="N147" s="5">
        <f t="shared" si="31"/>
        <v>-1.1385185185185185</v>
      </c>
      <c r="O147" s="14"/>
      <c r="P147" s="1">
        <f>SUM(OSRRefP22_3x_0)</f>
        <v>-18.7</v>
      </c>
      <c r="Q147" s="1"/>
      <c r="R147" s="5">
        <f t="shared" si="32"/>
        <v>-5.3134301521760708E-5</v>
      </c>
      <c r="S147" s="1"/>
      <c r="T147" s="1">
        <f>SUM(OSRRefT22_3x_0)</f>
        <v>135</v>
      </c>
      <c r="U147" s="1"/>
      <c r="V147" s="5">
        <f t="shared" si="33"/>
        <v>3.4915350826842875E-4</v>
      </c>
      <c r="W147" s="1"/>
      <c r="X147" s="1">
        <f t="shared" si="34"/>
        <v>-153.69999999999999</v>
      </c>
      <c r="Y147" s="1"/>
      <c r="Z147" s="5">
        <f t="shared" si="35"/>
        <v>-1.1385185185185185</v>
      </c>
    </row>
    <row r="148" spans="1:26" s="24" customFormat="1" hidden="1" outlineLevel="2" x14ac:dyDescent="0.25">
      <c r="A148" s="29"/>
      <c r="B148" s="11" t="str">
        <f>CONCATENATE("          ", "6272", " - ", "CASH (OVER/SHORT)")</f>
        <v xml:space="preserve">          6272 - CASH (OVER/SHORT)</v>
      </c>
      <c r="C148" s="11"/>
      <c r="D148" s="7">
        <v>-18.7</v>
      </c>
      <c r="E148" s="2"/>
      <c r="F148" s="6">
        <f t="shared" si="28"/>
        <v>-5.3134301521760708E-5</v>
      </c>
      <c r="G148" s="2"/>
      <c r="H148" s="7">
        <v>125</v>
      </c>
      <c r="I148" s="2"/>
      <c r="J148" s="6">
        <f t="shared" si="29"/>
        <v>3.2329028543373037E-4</v>
      </c>
      <c r="K148" s="2"/>
      <c r="L148" s="7">
        <f t="shared" si="30"/>
        <v>-143.69999999999999</v>
      </c>
      <c r="M148" s="2"/>
      <c r="N148" s="6">
        <f t="shared" si="31"/>
        <v>-1.1496</v>
      </c>
      <c r="O148" s="11"/>
      <c r="P148" s="7">
        <v>-18.7</v>
      </c>
      <c r="Q148" s="2"/>
      <c r="R148" s="6">
        <f t="shared" si="32"/>
        <v>-5.3134301521760708E-5</v>
      </c>
      <c r="S148" s="2"/>
      <c r="T148" s="7">
        <v>125</v>
      </c>
      <c r="U148" s="2"/>
      <c r="V148" s="6">
        <f t="shared" si="33"/>
        <v>3.2329028543373037E-4</v>
      </c>
      <c r="W148" s="2"/>
      <c r="X148" s="7">
        <f t="shared" si="34"/>
        <v>-143.69999999999999</v>
      </c>
      <c r="Y148" s="2"/>
      <c r="Z148" s="6">
        <f t="shared" si="35"/>
        <v>-1.1496</v>
      </c>
    </row>
    <row r="149" spans="1:26" s="24" customFormat="1" hidden="1" outlineLevel="2" x14ac:dyDescent="0.25">
      <c r="A149" s="29"/>
      <c r="B149" s="11" t="str">
        <f>CONCATENATE("          ", "6342", " - ", "BAD DEBT")</f>
        <v xml:space="preserve">          6342 - BAD DEBT</v>
      </c>
      <c r="C149" s="11"/>
      <c r="D149" s="7"/>
      <c r="E149" s="2"/>
      <c r="F149" s="6">
        <f t="shared" si="28"/>
        <v>0</v>
      </c>
      <c r="G149" s="2"/>
      <c r="H149" s="7">
        <v>10</v>
      </c>
      <c r="I149" s="2"/>
      <c r="J149" s="6">
        <f t="shared" si="29"/>
        <v>2.5863222834698427E-5</v>
      </c>
      <c r="K149" s="2"/>
      <c r="L149" s="7">
        <f t="shared" si="30"/>
        <v>-10</v>
      </c>
      <c r="M149" s="2"/>
      <c r="N149" s="6">
        <f t="shared" si="31"/>
        <v>-1</v>
      </c>
      <c r="O149" s="11"/>
      <c r="P149" s="7"/>
      <c r="Q149" s="2"/>
      <c r="R149" s="6">
        <f t="shared" si="32"/>
        <v>0</v>
      </c>
      <c r="S149" s="2"/>
      <c r="T149" s="7">
        <v>10</v>
      </c>
      <c r="U149" s="2"/>
      <c r="V149" s="6">
        <f t="shared" si="33"/>
        <v>2.5863222834698427E-5</v>
      </c>
      <c r="W149" s="2"/>
      <c r="X149" s="7">
        <f t="shared" si="34"/>
        <v>-10</v>
      </c>
      <c r="Y149" s="2"/>
      <c r="Z149" s="6">
        <f t="shared" si="35"/>
        <v>-1</v>
      </c>
    </row>
    <row r="150" spans="1:26" s="27" customFormat="1" outlineLevel="1" collapsed="1" x14ac:dyDescent="0.25">
      <c r="A150" s="28"/>
      <c r="B150" s="14" t="str">
        <f>CONCATENATE("     ","Bank/card Fees                                    ")</f>
        <v xml:space="preserve">     Bank/card Fees                                    </v>
      </c>
      <c r="C150" s="14"/>
      <c r="D150" s="1">
        <f>SUM(OSRRefD22_4x_0)</f>
        <v>5785.89</v>
      </c>
      <c r="E150" s="1"/>
      <c r="F150" s="5">
        <f t="shared" ref="F150:F155" si="36">IF(D$12=0,0,D150/D$12)</f>
        <v>1.6440065445547599E-2</v>
      </c>
      <c r="G150" s="1"/>
      <c r="H150" s="1">
        <f>SUM(OSRRefH22_4x_0)</f>
        <v>5000</v>
      </c>
      <c r="I150" s="1"/>
      <c r="J150" s="5">
        <f t="shared" ref="J150:J155" si="37">IF(H$12=0,0,H150/H$12)</f>
        <v>1.2931611417349213E-2</v>
      </c>
      <c r="K150" s="1"/>
      <c r="L150" s="1">
        <f t="shared" ref="L150:L155" si="38">+D150-H150</f>
        <v>785.89000000000033</v>
      </c>
      <c r="M150" s="1"/>
      <c r="N150" s="5">
        <f t="shared" ref="N150:N155" si="39">IF(H150=0,0,L150/H150)</f>
        <v>0.15717800000000007</v>
      </c>
      <c r="O150" s="14"/>
      <c r="P150" s="1">
        <f>SUM(OSRRefP22_4x_0)</f>
        <v>5785.89</v>
      </c>
      <c r="Q150" s="1"/>
      <c r="R150" s="5">
        <f t="shared" ref="R150:R155" si="40">IF(P$12=0,0,P150/P$12)</f>
        <v>1.6440065445547599E-2</v>
      </c>
      <c r="S150" s="1"/>
      <c r="T150" s="1">
        <f>SUM(OSRRefT22_4x_0)</f>
        <v>5000</v>
      </c>
      <c r="U150" s="1"/>
      <c r="V150" s="5">
        <f t="shared" ref="V150:V155" si="41">IF(T$12=0,0,T150/T$12)</f>
        <v>1.2931611417349213E-2</v>
      </c>
      <c r="W150" s="1"/>
      <c r="X150" s="1">
        <f t="shared" ref="X150:X155" si="42">+P150-T150</f>
        <v>785.89000000000033</v>
      </c>
      <c r="Y150" s="1"/>
      <c r="Z150" s="5">
        <f t="shared" ref="Z150:Z155" si="43">IF(T150=0,0,X150/T150)</f>
        <v>0.15717800000000007</v>
      </c>
    </row>
    <row r="151" spans="1:26" s="24" customFormat="1" hidden="1" outlineLevel="2" x14ac:dyDescent="0.25">
      <c r="A151" s="29"/>
      <c r="B151" s="11" t="str">
        <f>CONCATENATE("          ", "6381", " - ", "BANK/CREDIT CARD FEES")</f>
        <v xml:space="preserve">          6381 - BANK/CREDIT CARD FEES</v>
      </c>
      <c r="C151" s="11"/>
      <c r="D151" s="7">
        <v>5785.89</v>
      </c>
      <c r="E151" s="2"/>
      <c r="F151" s="6">
        <f t="shared" si="36"/>
        <v>1.6440065445547599E-2</v>
      </c>
      <c r="G151" s="2"/>
      <c r="H151" s="7">
        <v>5000</v>
      </c>
      <c r="I151" s="2"/>
      <c r="J151" s="6">
        <f t="shared" si="37"/>
        <v>1.2931611417349213E-2</v>
      </c>
      <c r="K151" s="2"/>
      <c r="L151" s="7">
        <f t="shared" si="38"/>
        <v>785.89000000000033</v>
      </c>
      <c r="M151" s="2"/>
      <c r="N151" s="6">
        <f t="shared" si="39"/>
        <v>0.15717800000000007</v>
      </c>
      <c r="O151" s="11"/>
      <c r="P151" s="7">
        <v>5785.89</v>
      </c>
      <c r="Q151" s="2"/>
      <c r="R151" s="6">
        <f t="shared" si="40"/>
        <v>1.6440065445547599E-2</v>
      </c>
      <c r="S151" s="2"/>
      <c r="T151" s="7">
        <v>5000</v>
      </c>
      <c r="U151" s="2"/>
      <c r="V151" s="6">
        <f t="shared" si="41"/>
        <v>1.2931611417349213E-2</v>
      </c>
      <c r="W151" s="2"/>
      <c r="X151" s="7">
        <f t="shared" si="42"/>
        <v>785.89000000000033</v>
      </c>
      <c r="Y151" s="2"/>
      <c r="Z151" s="6">
        <f t="shared" si="43"/>
        <v>0.15717800000000007</v>
      </c>
    </row>
    <row r="152" spans="1:26" s="27" customFormat="1" outlineLevel="1" collapsed="1" x14ac:dyDescent="0.25">
      <c r="A152" s="28"/>
      <c r="B152" s="14" t="str">
        <f>CONCATENATE("     ","Depreciation                                      ")</f>
        <v xml:space="preserve">     Depreciation                                      </v>
      </c>
      <c r="C152" s="14"/>
      <c r="D152" s="1">
        <f>SUM(OSRRefD22_5x_0)</f>
        <v>29607.43</v>
      </c>
      <c r="E152" s="1"/>
      <c r="F152" s="5">
        <f t="shared" si="36"/>
        <v>8.4126744005584161E-2</v>
      </c>
      <c r="G152" s="1"/>
      <c r="H152" s="1">
        <f>SUM(OSRRefH22_5x_0)</f>
        <v>30202</v>
      </c>
      <c r="I152" s="1"/>
      <c r="J152" s="5">
        <f t="shared" si="37"/>
        <v>7.8112105605356197E-2</v>
      </c>
      <c r="K152" s="1"/>
      <c r="L152" s="1">
        <f t="shared" si="38"/>
        <v>-594.56999999999971</v>
      </c>
      <c r="M152" s="1"/>
      <c r="N152" s="5">
        <f t="shared" si="39"/>
        <v>-1.9686444606317452E-2</v>
      </c>
      <c r="O152" s="14"/>
      <c r="P152" s="1">
        <f>SUM(OSRRefP22_5x_0)</f>
        <v>29607.43</v>
      </c>
      <c r="Q152" s="1"/>
      <c r="R152" s="5">
        <f t="shared" si="40"/>
        <v>8.4126744005584161E-2</v>
      </c>
      <c r="S152" s="1"/>
      <c r="T152" s="1">
        <f>SUM(OSRRefT22_5x_0)</f>
        <v>30202</v>
      </c>
      <c r="U152" s="1"/>
      <c r="V152" s="5">
        <f t="shared" si="41"/>
        <v>7.8112105605356197E-2</v>
      </c>
      <c r="W152" s="1"/>
      <c r="X152" s="1">
        <f t="shared" si="42"/>
        <v>-594.56999999999971</v>
      </c>
      <c r="Y152" s="1"/>
      <c r="Z152" s="5">
        <f t="shared" si="43"/>
        <v>-1.9686444606317452E-2</v>
      </c>
    </row>
    <row r="153" spans="1:26" s="24" customFormat="1" hidden="1" outlineLevel="2" x14ac:dyDescent="0.25">
      <c r="A153" s="29"/>
      <c r="B153" s="11" t="str">
        <f>CONCATENATE("          ", "6321", " - ", "BUILDING DEPRECIATION")</f>
        <v xml:space="preserve">          6321 - BUILDING DEPRECIATION</v>
      </c>
      <c r="C153" s="11"/>
      <c r="D153" s="7">
        <v>16396.52</v>
      </c>
      <c r="E153" s="2"/>
      <c r="F153" s="6">
        <f t="shared" si="36"/>
        <v>4.6589178480619248E-2</v>
      </c>
      <c r="G153" s="2"/>
      <c r="H153" s="7">
        <v>16453</v>
      </c>
      <c r="I153" s="2"/>
      <c r="J153" s="6">
        <f t="shared" si="37"/>
        <v>4.2552760529929325E-2</v>
      </c>
      <c r="K153" s="2"/>
      <c r="L153" s="7">
        <f t="shared" si="38"/>
        <v>-56.479999999999563</v>
      </c>
      <c r="M153" s="2"/>
      <c r="N153" s="6">
        <f t="shared" si="39"/>
        <v>-3.432808606333165E-3</v>
      </c>
      <c r="O153" s="11"/>
      <c r="P153" s="7">
        <v>16396.52</v>
      </c>
      <c r="Q153" s="2"/>
      <c r="R153" s="6">
        <f t="shared" si="40"/>
        <v>4.6589178480619248E-2</v>
      </c>
      <c r="S153" s="2"/>
      <c r="T153" s="7">
        <v>16453</v>
      </c>
      <c r="U153" s="2"/>
      <c r="V153" s="6">
        <f t="shared" si="41"/>
        <v>4.2552760529929325E-2</v>
      </c>
      <c r="W153" s="2"/>
      <c r="X153" s="7">
        <f t="shared" si="42"/>
        <v>-56.479999999999563</v>
      </c>
      <c r="Y153" s="2"/>
      <c r="Z153" s="6">
        <f t="shared" si="43"/>
        <v>-3.432808606333165E-3</v>
      </c>
    </row>
    <row r="154" spans="1:26" s="24" customFormat="1" hidden="1" outlineLevel="2" x14ac:dyDescent="0.25">
      <c r="A154" s="29"/>
      <c r="B154" s="11" t="str">
        <f>CONCATENATE("          ", "6322", " - ", "EQUIPMENT DEPRECIATION EXPENSE")</f>
        <v xml:space="preserve">          6322 - EQUIPMENT DEPRECIATION EXPENSE</v>
      </c>
      <c r="C154" s="11"/>
      <c r="D154" s="7">
        <v>13210.91</v>
      </c>
      <c r="E154" s="2"/>
      <c r="F154" s="6">
        <f t="shared" si="36"/>
        <v>3.7537565524964907E-2</v>
      </c>
      <c r="G154" s="2"/>
      <c r="H154" s="7">
        <v>13049</v>
      </c>
      <c r="I154" s="2"/>
      <c r="J154" s="6">
        <f t="shared" si="37"/>
        <v>3.3748919476997978E-2</v>
      </c>
      <c r="K154" s="2"/>
      <c r="L154" s="7">
        <f t="shared" si="38"/>
        <v>161.90999999999985</v>
      </c>
      <c r="M154" s="2"/>
      <c r="N154" s="6">
        <f t="shared" si="39"/>
        <v>1.2407847344624098E-2</v>
      </c>
      <c r="O154" s="11"/>
      <c r="P154" s="7">
        <v>13210.91</v>
      </c>
      <c r="Q154" s="2"/>
      <c r="R154" s="6">
        <f t="shared" si="40"/>
        <v>3.7537565524964907E-2</v>
      </c>
      <c r="S154" s="2"/>
      <c r="T154" s="7">
        <v>13049</v>
      </c>
      <c r="U154" s="2"/>
      <c r="V154" s="6">
        <f t="shared" si="41"/>
        <v>3.3748919476997978E-2</v>
      </c>
      <c r="W154" s="2"/>
      <c r="X154" s="7">
        <f t="shared" si="42"/>
        <v>161.90999999999985</v>
      </c>
      <c r="Y154" s="2"/>
      <c r="Z154" s="6">
        <f t="shared" si="43"/>
        <v>1.2407847344624098E-2</v>
      </c>
    </row>
    <row r="155" spans="1:26" s="24" customFormat="1" hidden="1" outlineLevel="2" x14ac:dyDescent="0.25">
      <c r="A155" s="29"/>
      <c r="B155" s="11" t="str">
        <f>CONCATENATE("          ", "6324", " - ", "FURNITURE + FIXT DEPRECIATION")</f>
        <v xml:space="preserve">          6324 - FURNITURE + FIXT DEPRECIATION</v>
      </c>
      <c r="C155" s="11"/>
      <c r="D155" s="7"/>
      <c r="E155" s="2"/>
      <c r="F155" s="6">
        <f t="shared" si="36"/>
        <v>0</v>
      </c>
      <c r="G155" s="2"/>
      <c r="H155" s="7">
        <v>700</v>
      </c>
      <c r="I155" s="2"/>
      <c r="J155" s="6">
        <f t="shared" si="37"/>
        <v>1.8104255984288898E-3</v>
      </c>
      <c r="K155" s="2"/>
      <c r="L155" s="7">
        <f t="shared" si="38"/>
        <v>-700</v>
      </c>
      <c r="M155" s="2"/>
      <c r="N155" s="6">
        <f t="shared" si="39"/>
        <v>-1</v>
      </c>
      <c r="O155" s="11"/>
      <c r="P155" s="7"/>
      <c r="Q155" s="2"/>
      <c r="R155" s="6">
        <f t="shared" si="40"/>
        <v>0</v>
      </c>
      <c r="S155" s="2"/>
      <c r="T155" s="7">
        <v>700</v>
      </c>
      <c r="U155" s="2"/>
      <c r="V155" s="6">
        <f t="shared" si="41"/>
        <v>1.8104255984288898E-3</v>
      </c>
      <c r="W155" s="2"/>
      <c r="X155" s="7">
        <f t="shared" si="42"/>
        <v>-700</v>
      </c>
      <c r="Y155" s="2"/>
      <c r="Z155" s="6">
        <f t="shared" si="43"/>
        <v>-1</v>
      </c>
    </row>
    <row r="156" spans="1:26" s="27" customFormat="1" outlineLevel="1" collapsed="1" x14ac:dyDescent="0.25">
      <c r="A156" s="28"/>
      <c r="B156" s="14" t="str">
        <f>CONCATENATE("     ","Discounts and Markdowns                           ")</f>
        <v xml:space="preserve">     Discounts and Markdowns                           </v>
      </c>
      <c r="C156" s="14"/>
      <c r="D156" s="1">
        <f>SUM(OSRRefD22_6x_0)</f>
        <v>24489.05</v>
      </c>
      <c r="E156" s="1"/>
      <c r="F156" s="5">
        <f t="shared" ref="F156:F158" si="44">IF(D$12=0,0,D156/D$12)</f>
        <v>6.9583345811843542E-2</v>
      </c>
      <c r="G156" s="1"/>
      <c r="H156" s="1">
        <f>SUM(OSRRefH22_6x_0)</f>
        <v>20725</v>
      </c>
      <c r="I156" s="1"/>
      <c r="J156" s="5">
        <f t="shared" ref="J156:J158" si="45">IF(H$12=0,0,H156/H$12)</f>
        <v>5.3601529324912488E-2</v>
      </c>
      <c r="K156" s="1"/>
      <c r="L156" s="1">
        <f t="shared" ref="L156:L158" si="46">+D156-H156</f>
        <v>3764.0499999999993</v>
      </c>
      <c r="M156" s="1"/>
      <c r="N156" s="5">
        <f t="shared" ref="N156:N158" si="47">IF(H156=0,0,L156/H156)</f>
        <v>0.18161881785283471</v>
      </c>
      <c r="O156" s="14"/>
      <c r="P156" s="1">
        <f>SUM(OSRRefP22_6x_0)</f>
        <v>24489.05</v>
      </c>
      <c r="Q156" s="1"/>
      <c r="R156" s="5">
        <f t="shared" ref="R156:R158" si="48">IF(P$12=0,0,P156/P$12)</f>
        <v>6.9583345811843542E-2</v>
      </c>
      <c r="S156" s="1"/>
      <c r="T156" s="1">
        <f>SUM(OSRRefT22_6x_0)</f>
        <v>20725</v>
      </c>
      <c r="U156" s="1"/>
      <c r="V156" s="5">
        <f t="shared" ref="V156:V158" si="49">IF(T$12=0,0,T156/T$12)</f>
        <v>5.3601529324912488E-2</v>
      </c>
      <c r="W156" s="1"/>
      <c r="X156" s="1">
        <f t="shared" ref="X156:X158" si="50">+P156-T156</f>
        <v>3764.0499999999993</v>
      </c>
      <c r="Y156" s="1"/>
      <c r="Z156" s="5">
        <f t="shared" ref="Z156:Z158" si="51">IF(T156=0,0,X156/T156)</f>
        <v>0.18161881785283471</v>
      </c>
    </row>
    <row r="157" spans="1:26" s="24" customFormat="1" hidden="1" outlineLevel="2" x14ac:dyDescent="0.25">
      <c r="A157" s="29"/>
      <c r="B157" s="11" t="str">
        <f>CONCATENATE("          ", "6382", " - ", "DISCOUNTS/MARK DOWNS")</f>
        <v xml:space="preserve">          6382 - DISCOUNTS/MARK DOWNS</v>
      </c>
      <c r="C157" s="11"/>
      <c r="D157" s="7">
        <v>24932.76</v>
      </c>
      <c r="E157" s="2"/>
      <c r="F157" s="6">
        <f t="shared" si="44"/>
        <v>7.0844106289288472E-2</v>
      </c>
      <c r="G157" s="2"/>
      <c r="H157" s="7">
        <v>20725</v>
      </c>
      <c r="I157" s="2"/>
      <c r="J157" s="6">
        <f t="shared" si="45"/>
        <v>5.3601529324912488E-2</v>
      </c>
      <c r="K157" s="2"/>
      <c r="L157" s="7">
        <f t="shared" si="46"/>
        <v>4207.7599999999984</v>
      </c>
      <c r="M157" s="2"/>
      <c r="N157" s="6">
        <f t="shared" si="47"/>
        <v>0.20302822677925203</v>
      </c>
      <c r="O157" s="11"/>
      <c r="P157" s="7">
        <v>24932.76</v>
      </c>
      <c r="Q157" s="2"/>
      <c r="R157" s="6">
        <f t="shared" si="48"/>
        <v>7.0844106289288472E-2</v>
      </c>
      <c r="S157" s="2"/>
      <c r="T157" s="7">
        <v>20725</v>
      </c>
      <c r="U157" s="2"/>
      <c r="V157" s="6">
        <f t="shared" si="49"/>
        <v>5.3601529324912488E-2</v>
      </c>
      <c r="W157" s="2"/>
      <c r="X157" s="7">
        <f t="shared" si="50"/>
        <v>4207.7599999999984</v>
      </c>
      <c r="Y157" s="2"/>
      <c r="Z157" s="6">
        <f t="shared" si="51"/>
        <v>0.20302822677925203</v>
      </c>
    </row>
    <row r="158" spans="1:26" s="24" customFormat="1" hidden="1" outlineLevel="2" x14ac:dyDescent="0.25">
      <c r="A158" s="29"/>
      <c r="B158" s="11" t="str">
        <f>CONCATENATE("          ", "9175", " - ", "EARNED DISCOUNTS")</f>
        <v xml:space="preserve">          9175 - EARNED DISCOUNTS</v>
      </c>
      <c r="C158" s="11"/>
      <c r="D158" s="7">
        <v>-443.71</v>
      </c>
      <c r="E158" s="2"/>
      <c r="F158" s="6">
        <f t="shared" si="44"/>
        <v>-1.2607604774449435E-3</v>
      </c>
      <c r="G158" s="2"/>
      <c r="H158" s="7"/>
      <c r="I158" s="2"/>
      <c r="J158" s="6">
        <f t="shared" si="45"/>
        <v>0</v>
      </c>
      <c r="K158" s="2"/>
      <c r="L158" s="7">
        <f t="shared" si="46"/>
        <v>-443.71</v>
      </c>
      <c r="M158" s="2"/>
      <c r="N158" s="6">
        <f t="shared" si="47"/>
        <v>0</v>
      </c>
      <c r="O158" s="11"/>
      <c r="P158" s="7">
        <v>-443.71</v>
      </c>
      <c r="Q158" s="2"/>
      <c r="R158" s="6">
        <f t="shared" si="48"/>
        <v>-1.2607604774449435E-3</v>
      </c>
      <c r="S158" s="2"/>
      <c r="T158" s="7"/>
      <c r="U158" s="2"/>
      <c r="V158" s="6">
        <f t="shared" si="49"/>
        <v>0</v>
      </c>
      <c r="W158" s="2"/>
      <c r="X158" s="7">
        <f t="shared" si="50"/>
        <v>-443.71</v>
      </c>
      <c r="Y158" s="2"/>
      <c r="Z158" s="6">
        <f t="shared" si="51"/>
        <v>0</v>
      </c>
    </row>
    <row r="159" spans="1:26" s="27" customFormat="1" outlineLevel="1" collapsed="1" x14ac:dyDescent="0.25">
      <c r="A159" s="28"/>
      <c r="B159" s="14" t="str">
        <f>CONCATENATE("     ","Donations                                         ")</f>
        <v xml:space="preserve">     Donations                                         </v>
      </c>
      <c r="C159" s="14"/>
      <c r="D159" s="1">
        <f>SUM(OSRRefD22_7x_0)</f>
        <v>925.42</v>
      </c>
      <c r="E159" s="1"/>
      <c r="F159" s="5">
        <f t="shared" ref="F159:F161" si="52">IF(D$12=0,0,D159/D$12)</f>
        <v>2.6294944018325026E-3</v>
      </c>
      <c r="G159" s="1"/>
      <c r="H159" s="1">
        <f>SUM(OSRRefH22_7x_0)</f>
        <v>1100</v>
      </c>
      <c r="I159" s="1"/>
      <c r="J159" s="5">
        <f t="shared" ref="J159:J161" si="53">IF(H$12=0,0,H159/H$12)</f>
        <v>2.844954511816827E-3</v>
      </c>
      <c r="K159" s="1"/>
      <c r="L159" s="1">
        <f t="shared" ref="L159:L161" si="54">+D159-H159</f>
        <v>-174.58000000000004</v>
      </c>
      <c r="M159" s="1"/>
      <c r="N159" s="5">
        <f t="shared" ref="N159:N161" si="55">IF(H159=0,0,L159/H159)</f>
        <v>-0.15870909090909094</v>
      </c>
      <c r="O159" s="14"/>
      <c r="P159" s="1">
        <f>SUM(OSRRefP22_7x_0)</f>
        <v>925.42</v>
      </c>
      <c r="Q159" s="1"/>
      <c r="R159" s="5">
        <f t="shared" ref="R159:R161" si="56">IF(P$12=0,0,P159/P$12)</f>
        <v>2.6294944018325026E-3</v>
      </c>
      <c r="S159" s="1"/>
      <c r="T159" s="1">
        <f>SUM(OSRRefT22_7x_0)</f>
        <v>1100</v>
      </c>
      <c r="U159" s="1"/>
      <c r="V159" s="5">
        <f t="shared" ref="V159:V161" si="57">IF(T$12=0,0,T159/T$12)</f>
        <v>2.844954511816827E-3</v>
      </c>
      <c r="W159" s="1"/>
      <c r="X159" s="1">
        <f t="shared" ref="X159:X161" si="58">+P159-T159</f>
        <v>-174.58000000000004</v>
      </c>
      <c r="Y159" s="1"/>
      <c r="Z159" s="5">
        <f t="shared" ref="Z159:Z161" si="59">IF(T159=0,0,X159/T159)</f>
        <v>-0.15870909090909094</v>
      </c>
    </row>
    <row r="160" spans="1:26" s="24" customFormat="1" hidden="1" outlineLevel="2" x14ac:dyDescent="0.25">
      <c r="A160" s="29"/>
      <c r="B160" s="11" t="str">
        <f>CONCATENATE("          ", "6395", " - ", "DONATION-OFF CAMPUS")</f>
        <v xml:space="preserve">          6395 - DONATION-OFF CAMPUS</v>
      </c>
      <c r="C160" s="11"/>
      <c r="D160" s="7"/>
      <c r="E160" s="2"/>
      <c r="F160" s="6">
        <f t="shared" si="52"/>
        <v>0</v>
      </c>
      <c r="G160" s="2"/>
      <c r="H160" s="7">
        <v>1100</v>
      </c>
      <c r="I160" s="2"/>
      <c r="J160" s="6">
        <f t="shared" si="53"/>
        <v>2.844954511816827E-3</v>
      </c>
      <c r="K160" s="2"/>
      <c r="L160" s="7">
        <f t="shared" si="54"/>
        <v>-1100</v>
      </c>
      <c r="M160" s="2"/>
      <c r="N160" s="6">
        <f t="shared" si="55"/>
        <v>-1</v>
      </c>
      <c r="O160" s="11"/>
      <c r="P160" s="7"/>
      <c r="Q160" s="2"/>
      <c r="R160" s="6">
        <f t="shared" si="56"/>
        <v>0</v>
      </c>
      <c r="S160" s="2"/>
      <c r="T160" s="7">
        <v>1100</v>
      </c>
      <c r="U160" s="2"/>
      <c r="V160" s="6">
        <f t="shared" si="57"/>
        <v>2.844954511816827E-3</v>
      </c>
      <c r="W160" s="2"/>
      <c r="X160" s="7">
        <f t="shared" si="58"/>
        <v>-1100</v>
      </c>
      <c r="Y160" s="2"/>
      <c r="Z160" s="6">
        <f t="shared" si="59"/>
        <v>-1</v>
      </c>
    </row>
    <row r="161" spans="1:26" s="24" customFormat="1" hidden="1" outlineLevel="2" x14ac:dyDescent="0.25">
      <c r="A161" s="29"/>
      <c r="B161" s="11" t="str">
        <f>CONCATENATE("          ", "6399", " - ", "DONATION-ON CAMPUS")</f>
        <v xml:space="preserve">          6399 - DONATION-ON CAMPUS</v>
      </c>
      <c r="C161" s="11"/>
      <c r="D161" s="7">
        <v>925.42</v>
      </c>
      <c r="E161" s="2"/>
      <c r="F161" s="6">
        <f t="shared" si="52"/>
        <v>2.6294944018325026E-3</v>
      </c>
      <c r="G161" s="2"/>
      <c r="H161" s="7"/>
      <c r="I161" s="2"/>
      <c r="J161" s="6">
        <f t="shared" si="53"/>
        <v>0</v>
      </c>
      <c r="K161" s="2"/>
      <c r="L161" s="7">
        <f t="shared" si="54"/>
        <v>925.42</v>
      </c>
      <c r="M161" s="2"/>
      <c r="N161" s="6">
        <f t="shared" si="55"/>
        <v>0</v>
      </c>
      <c r="O161" s="11"/>
      <c r="P161" s="7">
        <v>925.42</v>
      </c>
      <c r="Q161" s="2"/>
      <c r="R161" s="6">
        <f t="shared" si="56"/>
        <v>2.6294944018325026E-3</v>
      </c>
      <c r="S161" s="2"/>
      <c r="T161" s="7"/>
      <c r="U161" s="2"/>
      <c r="V161" s="6">
        <f t="shared" si="57"/>
        <v>0</v>
      </c>
      <c r="W161" s="2"/>
      <c r="X161" s="7">
        <f t="shared" si="58"/>
        <v>925.42</v>
      </c>
      <c r="Y161" s="2"/>
      <c r="Z161" s="6">
        <f t="shared" si="59"/>
        <v>0</v>
      </c>
    </row>
    <row r="162" spans="1:26" s="27" customFormat="1" outlineLevel="1" collapsed="1" x14ac:dyDescent="0.25">
      <c r="A162" s="28"/>
      <c r="B162" s="14" t="str">
        <f>CONCATENATE("     ","Employees' Appreciation                           ")</f>
        <v xml:space="preserve">     Employees' Appreciation                           </v>
      </c>
      <c r="C162" s="14"/>
      <c r="D162" s="1">
        <f>SUM(OSRRefD22_8x_0)</f>
        <v>393.54</v>
      </c>
      <c r="E162" s="1"/>
      <c r="F162" s="5">
        <f t="shared" ref="F162:F168" si="60">IF(D$12=0,0,D162/D$12)</f>
        <v>1.1182071134157065E-3</v>
      </c>
      <c r="G162" s="1"/>
      <c r="H162" s="1">
        <f>SUM(OSRRefH22_8x_0)</f>
        <v>725</v>
      </c>
      <c r="I162" s="1"/>
      <c r="J162" s="5">
        <f t="shared" ref="J162:J168" si="61">IF(H$12=0,0,H162/H$12)</f>
        <v>1.875083655515636E-3</v>
      </c>
      <c r="K162" s="1"/>
      <c r="L162" s="1">
        <f t="shared" ref="L162:L168" si="62">+D162-H162</f>
        <v>-331.46</v>
      </c>
      <c r="M162" s="1"/>
      <c r="N162" s="5">
        <f t="shared" ref="N162:N168" si="63">IF(H162=0,0,L162/H162)</f>
        <v>-0.45718620689655171</v>
      </c>
      <c r="O162" s="14"/>
      <c r="P162" s="1">
        <f>SUM(OSRRefP22_8x_0)</f>
        <v>393.54</v>
      </c>
      <c r="Q162" s="1"/>
      <c r="R162" s="5">
        <f t="shared" ref="R162:R168" si="64">IF(P$12=0,0,P162/P$12)</f>
        <v>1.1182071134157065E-3</v>
      </c>
      <c r="S162" s="1"/>
      <c r="T162" s="1">
        <f>SUM(OSRRefT22_8x_0)</f>
        <v>725</v>
      </c>
      <c r="U162" s="1"/>
      <c r="V162" s="5">
        <f t="shared" ref="V162:V168" si="65">IF(T$12=0,0,T162/T$12)</f>
        <v>1.875083655515636E-3</v>
      </c>
      <c r="W162" s="1"/>
      <c r="X162" s="1">
        <f t="shared" ref="X162:X168" si="66">+P162-T162</f>
        <v>-331.46</v>
      </c>
      <c r="Y162" s="1"/>
      <c r="Z162" s="5">
        <f t="shared" ref="Z162:Z168" si="67">IF(T162=0,0,X162/T162)</f>
        <v>-0.45718620689655171</v>
      </c>
    </row>
    <row r="163" spans="1:26" s="24" customFormat="1" hidden="1" outlineLevel="2" x14ac:dyDescent="0.25">
      <c r="A163" s="29"/>
      <c r="B163" s="11" t="str">
        <f>CONCATENATE("          ", "6277", " - ", "EMPLOYEE APPRECIATION")</f>
        <v xml:space="preserve">          6277 - EMPLOYEE APPRECIATION</v>
      </c>
      <c r="C163" s="11"/>
      <c r="D163" s="7">
        <v>393.54</v>
      </c>
      <c r="E163" s="2"/>
      <c r="F163" s="6">
        <f t="shared" si="60"/>
        <v>1.1182071134157065E-3</v>
      </c>
      <c r="G163" s="2"/>
      <c r="H163" s="7">
        <v>725</v>
      </c>
      <c r="I163" s="2"/>
      <c r="J163" s="6">
        <f t="shared" si="61"/>
        <v>1.875083655515636E-3</v>
      </c>
      <c r="K163" s="2"/>
      <c r="L163" s="7">
        <f t="shared" si="62"/>
        <v>-331.46</v>
      </c>
      <c r="M163" s="2"/>
      <c r="N163" s="6">
        <f t="shared" si="63"/>
        <v>-0.45718620689655171</v>
      </c>
      <c r="O163" s="11"/>
      <c r="P163" s="7">
        <v>393.54</v>
      </c>
      <c r="Q163" s="2"/>
      <c r="R163" s="6">
        <f t="shared" si="64"/>
        <v>1.1182071134157065E-3</v>
      </c>
      <c r="S163" s="2"/>
      <c r="T163" s="7">
        <v>725</v>
      </c>
      <c r="U163" s="2"/>
      <c r="V163" s="6">
        <f t="shared" si="65"/>
        <v>1.875083655515636E-3</v>
      </c>
      <c r="W163" s="2"/>
      <c r="X163" s="7">
        <f t="shared" si="66"/>
        <v>-331.46</v>
      </c>
      <c r="Y163" s="2"/>
      <c r="Z163" s="6">
        <f t="shared" si="67"/>
        <v>-0.45718620689655171</v>
      </c>
    </row>
    <row r="164" spans="1:26" s="27" customFormat="1" outlineLevel="1" collapsed="1" x14ac:dyDescent="0.25">
      <c r="A164" s="28"/>
      <c r="B164" s="14" t="str">
        <f>CONCATENATE("     ","Equipment Rental                                  ")</f>
        <v xml:space="preserve">     Equipment Rental                                  </v>
      </c>
      <c r="C164" s="14"/>
      <c r="D164" s="1">
        <f>SUM(OSRRefD22_9x_0)</f>
        <v>1296.9000000000001</v>
      </c>
      <c r="E164" s="1"/>
      <c r="F164" s="5">
        <f t="shared" si="60"/>
        <v>3.6850200878915224E-3</v>
      </c>
      <c r="G164" s="1"/>
      <c r="H164" s="1">
        <f>SUM(OSRRefH22_9x_0)</f>
        <v>3225</v>
      </c>
      <c r="I164" s="1"/>
      <c r="J164" s="5">
        <f t="shared" si="61"/>
        <v>8.3408893641902428E-3</v>
      </c>
      <c r="K164" s="1"/>
      <c r="L164" s="1">
        <f t="shared" si="62"/>
        <v>-1928.1</v>
      </c>
      <c r="M164" s="1"/>
      <c r="N164" s="5">
        <f t="shared" si="63"/>
        <v>-0.59786046511627899</v>
      </c>
      <c r="O164" s="14"/>
      <c r="P164" s="1">
        <f>SUM(OSRRefP22_9x_0)</f>
        <v>1296.9000000000001</v>
      </c>
      <c r="Q164" s="1"/>
      <c r="R164" s="5">
        <f t="shared" si="64"/>
        <v>3.6850200878915224E-3</v>
      </c>
      <c r="S164" s="1"/>
      <c r="T164" s="1">
        <f>SUM(OSRRefT22_9x_0)</f>
        <v>3225</v>
      </c>
      <c r="U164" s="1"/>
      <c r="V164" s="5">
        <f t="shared" si="65"/>
        <v>8.3408893641902428E-3</v>
      </c>
      <c r="W164" s="1"/>
      <c r="X164" s="1">
        <f t="shared" si="66"/>
        <v>-1928.1</v>
      </c>
      <c r="Y164" s="1"/>
      <c r="Z164" s="5">
        <f t="shared" si="67"/>
        <v>-0.59786046511627899</v>
      </c>
    </row>
    <row r="165" spans="1:26" s="24" customFormat="1" hidden="1" outlineLevel="2" x14ac:dyDescent="0.25">
      <c r="A165" s="29"/>
      <c r="B165" s="11" t="str">
        <f>CONCATENATE("          ", "6351", " - ", "EQUIPMENT RENTAL")</f>
        <v xml:space="preserve">          6351 - EQUIPMENT RENTAL</v>
      </c>
      <c r="C165" s="11"/>
      <c r="D165" s="7">
        <v>1296.9000000000001</v>
      </c>
      <c r="E165" s="2"/>
      <c r="F165" s="6">
        <f t="shared" si="60"/>
        <v>3.6850200878915224E-3</v>
      </c>
      <c r="G165" s="2"/>
      <c r="H165" s="7">
        <v>3225</v>
      </c>
      <c r="I165" s="2"/>
      <c r="J165" s="6">
        <f t="shared" si="61"/>
        <v>8.3408893641902428E-3</v>
      </c>
      <c r="K165" s="2"/>
      <c r="L165" s="7">
        <f t="shared" si="62"/>
        <v>-1928.1</v>
      </c>
      <c r="M165" s="2"/>
      <c r="N165" s="6">
        <f t="shared" si="63"/>
        <v>-0.59786046511627899</v>
      </c>
      <c r="O165" s="11"/>
      <c r="P165" s="7">
        <v>1296.9000000000001</v>
      </c>
      <c r="Q165" s="2"/>
      <c r="R165" s="6">
        <f t="shared" si="64"/>
        <v>3.6850200878915224E-3</v>
      </c>
      <c r="S165" s="2"/>
      <c r="T165" s="7">
        <v>3225</v>
      </c>
      <c r="U165" s="2"/>
      <c r="V165" s="6">
        <f t="shared" si="65"/>
        <v>8.3408893641902428E-3</v>
      </c>
      <c r="W165" s="2"/>
      <c r="X165" s="7">
        <f t="shared" si="66"/>
        <v>-1928.1</v>
      </c>
      <c r="Y165" s="2"/>
      <c r="Z165" s="6">
        <f t="shared" si="67"/>
        <v>-0.59786046511627899</v>
      </c>
    </row>
    <row r="166" spans="1:26" s="27" customFormat="1" outlineLevel="1" collapsed="1" x14ac:dyDescent="0.25">
      <c r="A166" s="28"/>
      <c r="B166" s="14" t="str">
        <f>CONCATENATE("     ","Freight out/Postage                               ")</f>
        <v xml:space="preserve">     Freight out/Postage                               </v>
      </c>
      <c r="C166" s="14"/>
      <c r="D166" s="1">
        <f>SUM(OSRRefD22_10x_0)</f>
        <v>-2231.83</v>
      </c>
      <c r="E166" s="1"/>
      <c r="F166" s="5">
        <f t="shared" si="60"/>
        <v>-6.3415362655246631E-3</v>
      </c>
      <c r="G166" s="1"/>
      <c r="H166" s="1">
        <f>SUM(OSRRefH22_10x_0)</f>
        <v>-710</v>
      </c>
      <c r="I166" s="1"/>
      <c r="J166" s="5">
        <f t="shared" si="61"/>
        <v>-1.8362888212635883E-3</v>
      </c>
      <c r="K166" s="1"/>
      <c r="L166" s="1">
        <f t="shared" si="62"/>
        <v>-1521.83</v>
      </c>
      <c r="M166" s="1"/>
      <c r="N166" s="5">
        <f t="shared" si="63"/>
        <v>2.1434225352112675</v>
      </c>
      <c r="O166" s="14"/>
      <c r="P166" s="1">
        <f>SUM(OSRRefP22_10x_0)</f>
        <v>-2231.83</v>
      </c>
      <c r="Q166" s="1"/>
      <c r="R166" s="5">
        <f t="shared" si="64"/>
        <v>-6.3415362655246631E-3</v>
      </c>
      <c r="S166" s="1"/>
      <c r="T166" s="1">
        <f>SUM(OSRRefT22_10x_0)</f>
        <v>-710</v>
      </c>
      <c r="U166" s="1"/>
      <c r="V166" s="5">
        <f t="shared" si="65"/>
        <v>-1.8362888212635883E-3</v>
      </c>
      <c r="W166" s="1"/>
      <c r="X166" s="1">
        <f t="shared" si="66"/>
        <v>-1521.83</v>
      </c>
      <c r="Y166" s="1"/>
      <c r="Z166" s="5">
        <f t="shared" si="67"/>
        <v>2.1434225352112675</v>
      </c>
    </row>
    <row r="167" spans="1:26" s="24" customFormat="1" hidden="1" outlineLevel="2" x14ac:dyDescent="0.25">
      <c r="A167" s="29"/>
      <c r="B167" s="11" t="str">
        <f>CONCATENATE("          ", "6305", " - ", "FREIGHT OUT")</f>
        <v xml:space="preserve">          6305 - FREIGHT OUT</v>
      </c>
      <c r="C167" s="11"/>
      <c r="D167" s="7">
        <v>1417.72</v>
      </c>
      <c r="E167" s="2"/>
      <c r="F167" s="6">
        <f t="shared" si="60"/>
        <v>4.0283188210390695E-3</v>
      </c>
      <c r="G167" s="2"/>
      <c r="H167" s="7">
        <v>-750</v>
      </c>
      <c r="I167" s="2"/>
      <c r="J167" s="6">
        <f t="shared" si="61"/>
        <v>-1.9397417126023821E-3</v>
      </c>
      <c r="K167" s="2"/>
      <c r="L167" s="7">
        <f t="shared" si="62"/>
        <v>2167.7200000000003</v>
      </c>
      <c r="M167" s="2"/>
      <c r="N167" s="6">
        <f t="shared" si="63"/>
        <v>-2.8902933333333336</v>
      </c>
      <c r="O167" s="11"/>
      <c r="P167" s="7">
        <v>1417.72</v>
      </c>
      <c r="Q167" s="2"/>
      <c r="R167" s="6">
        <f t="shared" si="64"/>
        <v>4.0283188210390695E-3</v>
      </c>
      <c r="S167" s="2"/>
      <c r="T167" s="7">
        <v>-750</v>
      </c>
      <c r="U167" s="2"/>
      <c r="V167" s="6">
        <f t="shared" si="65"/>
        <v>-1.9397417126023821E-3</v>
      </c>
      <c r="W167" s="2"/>
      <c r="X167" s="7">
        <f t="shared" si="66"/>
        <v>2167.7200000000003</v>
      </c>
      <c r="Y167" s="2"/>
      <c r="Z167" s="6">
        <f t="shared" si="67"/>
        <v>-2.8902933333333336</v>
      </c>
    </row>
    <row r="168" spans="1:26" s="24" customFormat="1" hidden="1" outlineLevel="2" x14ac:dyDescent="0.25">
      <c r="A168" s="29"/>
      <c r="B168" s="11" t="str">
        <f>CONCATENATE("          ", "6307", " - ", "POSTAGE")</f>
        <v xml:space="preserve">          6307 - POSTAGE</v>
      </c>
      <c r="C168" s="11"/>
      <c r="D168" s="7">
        <v>-3649.55</v>
      </c>
      <c r="E168" s="2"/>
      <c r="F168" s="6">
        <f t="shared" si="60"/>
        <v>-1.0369855086563734E-2</v>
      </c>
      <c r="G168" s="2"/>
      <c r="H168" s="7">
        <v>40</v>
      </c>
      <c r="I168" s="2"/>
      <c r="J168" s="6">
        <f t="shared" si="61"/>
        <v>1.0345289133879371E-4</v>
      </c>
      <c r="K168" s="2"/>
      <c r="L168" s="7">
        <f t="shared" si="62"/>
        <v>-3689.55</v>
      </c>
      <c r="M168" s="2"/>
      <c r="N168" s="6">
        <f t="shared" si="63"/>
        <v>-92.23875000000001</v>
      </c>
      <c r="O168" s="11"/>
      <c r="P168" s="7">
        <v>-3649.55</v>
      </c>
      <c r="Q168" s="2"/>
      <c r="R168" s="6">
        <f t="shared" si="64"/>
        <v>-1.0369855086563734E-2</v>
      </c>
      <c r="S168" s="2"/>
      <c r="T168" s="7">
        <v>40</v>
      </c>
      <c r="U168" s="2"/>
      <c r="V168" s="6">
        <f t="shared" si="65"/>
        <v>1.0345289133879371E-4</v>
      </c>
      <c r="W168" s="2"/>
      <c r="X168" s="7">
        <f t="shared" si="66"/>
        <v>-3689.55</v>
      </c>
      <c r="Y168" s="2"/>
      <c r="Z168" s="6">
        <f t="shared" si="67"/>
        <v>-92.23875000000001</v>
      </c>
    </row>
    <row r="169" spans="1:26" s="27" customFormat="1" outlineLevel="1" collapsed="1" x14ac:dyDescent="0.25">
      <c r="A169" s="28"/>
      <c r="B169" s="14" t="str">
        <f>CONCATENATE("     ","General                                           ")</f>
        <v xml:space="preserve">     General                                           </v>
      </c>
      <c r="C169" s="14"/>
      <c r="D169" s="1">
        <f>SUM(OSRRefD22_11x_0)</f>
        <v>776.18</v>
      </c>
      <c r="E169" s="1"/>
      <c r="F169" s="5">
        <f t="shared" ref="F169:F182" si="68">IF(D$12=0,0,D169/D$12)</f>
        <v>2.2054428959978733E-3</v>
      </c>
      <c r="G169" s="1"/>
      <c r="H169" s="1">
        <f>SUM(OSRRefH22_11x_0)</f>
        <v>500</v>
      </c>
      <c r="I169" s="1"/>
      <c r="J169" s="5">
        <f t="shared" ref="J169:J182" si="69">IF(H$12=0,0,H169/H$12)</f>
        <v>1.2931611417349215E-3</v>
      </c>
      <c r="K169" s="1"/>
      <c r="L169" s="1">
        <f t="shared" ref="L169:L182" si="70">+D169-H169</f>
        <v>276.17999999999995</v>
      </c>
      <c r="M169" s="1"/>
      <c r="N169" s="5">
        <f t="shared" ref="N169:N182" si="71">IF(H169=0,0,L169/H169)</f>
        <v>0.55235999999999985</v>
      </c>
      <c r="O169" s="14"/>
      <c r="P169" s="1">
        <f>SUM(OSRRefP22_11x_0)</f>
        <v>776.18</v>
      </c>
      <c r="Q169" s="1"/>
      <c r="R169" s="5">
        <f t="shared" ref="R169:R182" si="72">IF(P$12=0,0,P169/P$12)</f>
        <v>2.2054428959978733E-3</v>
      </c>
      <c r="S169" s="1"/>
      <c r="T169" s="1">
        <f>SUM(OSRRefT22_11x_0)</f>
        <v>500</v>
      </c>
      <c r="U169" s="1"/>
      <c r="V169" s="5">
        <f t="shared" ref="V169:V182" si="73">IF(T$12=0,0,T169/T$12)</f>
        <v>1.2931611417349215E-3</v>
      </c>
      <c r="W169" s="1"/>
      <c r="X169" s="1">
        <f t="shared" ref="X169:X182" si="74">+P169-T169</f>
        <v>276.17999999999995</v>
      </c>
      <c r="Y169" s="1"/>
      <c r="Z169" s="5">
        <f t="shared" ref="Z169:Z182" si="75">IF(T169=0,0,X169/T169)</f>
        <v>0.55235999999999985</v>
      </c>
    </row>
    <row r="170" spans="1:26" s="24" customFormat="1" hidden="1" outlineLevel="2" x14ac:dyDescent="0.25">
      <c r="A170" s="29"/>
      <c r="B170" s="11" t="str">
        <f>CONCATENATE("          ", "6279", " - ", "GENERAL EXPENSE")</f>
        <v xml:space="preserve">          6279 - GENERAL EXPENSE</v>
      </c>
      <c r="C170" s="11"/>
      <c r="D170" s="7">
        <v>776.18</v>
      </c>
      <c r="E170" s="2"/>
      <c r="F170" s="6">
        <f t="shared" si="68"/>
        <v>2.2054428959978733E-3</v>
      </c>
      <c r="G170" s="2"/>
      <c r="H170" s="7">
        <v>500</v>
      </c>
      <c r="I170" s="2"/>
      <c r="J170" s="6">
        <f t="shared" si="69"/>
        <v>1.2931611417349215E-3</v>
      </c>
      <c r="K170" s="2"/>
      <c r="L170" s="7">
        <f t="shared" si="70"/>
        <v>276.17999999999995</v>
      </c>
      <c r="M170" s="2"/>
      <c r="N170" s="6">
        <f t="shared" si="71"/>
        <v>0.55235999999999985</v>
      </c>
      <c r="O170" s="11"/>
      <c r="P170" s="7">
        <v>776.18</v>
      </c>
      <c r="Q170" s="2"/>
      <c r="R170" s="6">
        <f t="shared" si="72"/>
        <v>2.2054428959978733E-3</v>
      </c>
      <c r="S170" s="2"/>
      <c r="T170" s="7">
        <v>500</v>
      </c>
      <c r="U170" s="2"/>
      <c r="V170" s="6">
        <f t="shared" si="73"/>
        <v>1.2931611417349215E-3</v>
      </c>
      <c r="W170" s="2"/>
      <c r="X170" s="7">
        <f t="shared" si="74"/>
        <v>276.17999999999995</v>
      </c>
      <c r="Y170" s="2"/>
      <c r="Z170" s="6">
        <f t="shared" si="75"/>
        <v>0.55235999999999985</v>
      </c>
    </row>
    <row r="171" spans="1:26" s="27" customFormat="1" outlineLevel="1" collapsed="1" x14ac:dyDescent="0.25">
      <c r="A171" s="28"/>
      <c r="B171" s="14" t="str">
        <f>CONCATENATE("     ","Insurance                                         ")</f>
        <v xml:space="preserve">     Insurance                                         </v>
      </c>
      <c r="C171" s="14"/>
      <c r="D171" s="1">
        <f>SUM(OSRRefD22_12x_0)</f>
        <v>4044.74</v>
      </c>
      <c r="E171" s="1"/>
      <c r="F171" s="5">
        <f t="shared" si="68"/>
        <v>1.1492750520701946E-2</v>
      </c>
      <c r="G171" s="1"/>
      <c r="H171" s="1">
        <f>SUM(OSRRefH22_12x_0)</f>
        <v>3815</v>
      </c>
      <c r="I171" s="1"/>
      <c r="J171" s="5">
        <f t="shared" si="69"/>
        <v>9.8668195114374503E-3</v>
      </c>
      <c r="K171" s="1"/>
      <c r="L171" s="1">
        <f t="shared" si="70"/>
        <v>229.73999999999978</v>
      </c>
      <c r="M171" s="1"/>
      <c r="N171" s="5">
        <f t="shared" si="71"/>
        <v>6.0220183486238477E-2</v>
      </c>
      <c r="O171" s="14"/>
      <c r="P171" s="1">
        <f>SUM(OSRRefP22_12x_0)</f>
        <v>4044.74</v>
      </c>
      <c r="Q171" s="1"/>
      <c r="R171" s="5">
        <f t="shared" si="72"/>
        <v>1.1492750520701946E-2</v>
      </c>
      <c r="S171" s="1"/>
      <c r="T171" s="1">
        <f>SUM(OSRRefT22_12x_0)</f>
        <v>3815</v>
      </c>
      <c r="U171" s="1"/>
      <c r="V171" s="5">
        <f t="shared" si="73"/>
        <v>9.8668195114374503E-3</v>
      </c>
      <c r="W171" s="1"/>
      <c r="X171" s="1">
        <f t="shared" si="74"/>
        <v>229.73999999999978</v>
      </c>
      <c r="Y171" s="1"/>
      <c r="Z171" s="5">
        <f t="shared" si="75"/>
        <v>6.0220183486238477E-2</v>
      </c>
    </row>
    <row r="172" spans="1:26" s="24" customFormat="1" hidden="1" outlineLevel="2" x14ac:dyDescent="0.25">
      <c r="A172" s="29"/>
      <c r="B172" s="11" t="str">
        <f>CONCATENATE("          ", "6314", " - ", "LIABILITY INSURANCE")</f>
        <v xml:space="preserve">          6314 - LIABILITY INSURANCE</v>
      </c>
      <c r="C172" s="11"/>
      <c r="D172" s="7">
        <v>4044.74</v>
      </c>
      <c r="E172" s="2"/>
      <c r="F172" s="6">
        <f t="shared" si="68"/>
        <v>1.1492750520701946E-2</v>
      </c>
      <c r="G172" s="2"/>
      <c r="H172" s="7">
        <v>3815</v>
      </c>
      <c r="I172" s="2"/>
      <c r="J172" s="6">
        <f t="shared" si="69"/>
        <v>9.8668195114374503E-3</v>
      </c>
      <c r="K172" s="2"/>
      <c r="L172" s="7">
        <f t="shared" si="70"/>
        <v>229.73999999999978</v>
      </c>
      <c r="M172" s="2"/>
      <c r="N172" s="6">
        <f t="shared" si="71"/>
        <v>6.0220183486238477E-2</v>
      </c>
      <c r="O172" s="11"/>
      <c r="P172" s="7">
        <v>4044.74</v>
      </c>
      <c r="Q172" s="2"/>
      <c r="R172" s="6">
        <f t="shared" si="72"/>
        <v>1.1492750520701946E-2</v>
      </c>
      <c r="S172" s="2"/>
      <c r="T172" s="7">
        <v>3815</v>
      </c>
      <c r="U172" s="2"/>
      <c r="V172" s="6">
        <f t="shared" si="73"/>
        <v>9.8668195114374503E-3</v>
      </c>
      <c r="W172" s="2"/>
      <c r="X172" s="7">
        <f t="shared" si="74"/>
        <v>229.73999999999978</v>
      </c>
      <c r="Y172" s="2"/>
      <c r="Z172" s="6">
        <f t="shared" si="75"/>
        <v>6.0220183486238477E-2</v>
      </c>
    </row>
    <row r="173" spans="1:26" s="27" customFormat="1" outlineLevel="1" collapsed="1" x14ac:dyDescent="0.25">
      <c r="A173" s="28"/>
      <c r="B173" s="14" t="str">
        <f>CONCATENATE("     ","Inventory Adjustment                              ")</f>
        <v xml:space="preserve">     Inventory Adjustment                              </v>
      </c>
      <c r="C173" s="14"/>
      <c r="D173" s="1">
        <f>SUM(OSRRefD22_13x_0)</f>
        <v>4150</v>
      </c>
      <c r="E173" s="1"/>
      <c r="F173" s="5">
        <f t="shared" si="68"/>
        <v>1.1791836968732993E-2</v>
      </c>
      <c r="G173" s="1"/>
      <c r="H173" s="1">
        <f>SUM(OSRRefH22_13x_0)</f>
        <v>4150</v>
      </c>
      <c r="I173" s="1"/>
      <c r="J173" s="5">
        <f t="shared" si="69"/>
        <v>1.0733237476399848E-2</v>
      </c>
      <c r="K173" s="1"/>
      <c r="L173" s="1">
        <f t="shared" si="70"/>
        <v>0</v>
      </c>
      <c r="M173" s="1"/>
      <c r="N173" s="5">
        <f t="shared" si="71"/>
        <v>0</v>
      </c>
      <c r="O173" s="14"/>
      <c r="P173" s="1">
        <f>SUM(OSRRefP22_13x_0)</f>
        <v>4150</v>
      </c>
      <c r="Q173" s="1"/>
      <c r="R173" s="5">
        <f t="shared" si="72"/>
        <v>1.1791836968732993E-2</v>
      </c>
      <c r="S173" s="1"/>
      <c r="T173" s="1">
        <f>SUM(OSRRefT22_13x_0)</f>
        <v>4150</v>
      </c>
      <c r="U173" s="1"/>
      <c r="V173" s="5">
        <f t="shared" si="73"/>
        <v>1.0733237476399848E-2</v>
      </c>
      <c r="W173" s="1"/>
      <c r="X173" s="1">
        <f t="shared" si="74"/>
        <v>0</v>
      </c>
      <c r="Y173" s="1"/>
      <c r="Z173" s="5">
        <f t="shared" si="75"/>
        <v>0</v>
      </c>
    </row>
    <row r="174" spans="1:26" s="24" customFormat="1" hidden="1" outlineLevel="2" x14ac:dyDescent="0.25">
      <c r="A174" s="29"/>
      <c r="B174" s="11" t="str">
        <f>CONCATENATE("          ", "6408", " - ", "INVENTORY ADJUSTMENT")</f>
        <v xml:space="preserve">          6408 - INVENTORY ADJUSTMENT</v>
      </c>
      <c r="C174" s="11"/>
      <c r="D174" s="7">
        <v>4150</v>
      </c>
      <c r="E174" s="2"/>
      <c r="F174" s="6">
        <f t="shared" si="68"/>
        <v>1.1791836968732993E-2</v>
      </c>
      <c r="G174" s="2"/>
      <c r="H174" s="7">
        <v>4150</v>
      </c>
      <c r="I174" s="2"/>
      <c r="J174" s="6">
        <f t="shared" si="69"/>
        <v>1.0733237476399848E-2</v>
      </c>
      <c r="K174" s="2"/>
      <c r="L174" s="7">
        <f t="shared" si="70"/>
        <v>0</v>
      </c>
      <c r="M174" s="2"/>
      <c r="N174" s="6">
        <f t="shared" si="71"/>
        <v>0</v>
      </c>
      <c r="O174" s="11"/>
      <c r="P174" s="7">
        <v>4150</v>
      </c>
      <c r="Q174" s="2"/>
      <c r="R174" s="6">
        <f t="shared" si="72"/>
        <v>1.1791836968732993E-2</v>
      </c>
      <c r="S174" s="2"/>
      <c r="T174" s="7">
        <v>4150</v>
      </c>
      <c r="U174" s="2"/>
      <c r="V174" s="6">
        <f t="shared" si="73"/>
        <v>1.0733237476399848E-2</v>
      </c>
      <c r="W174" s="2"/>
      <c r="X174" s="7">
        <f t="shared" si="74"/>
        <v>0</v>
      </c>
      <c r="Y174" s="2"/>
      <c r="Z174" s="6">
        <f t="shared" si="75"/>
        <v>0</v>
      </c>
    </row>
    <row r="175" spans="1:26" s="27" customFormat="1" outlineLevel="1" collapsed="1" x14ac:dyDescent="0.25">
      <c r="A175" s="28"/>
      <c r="B175" s="14" t="str">
        <f>CONCATENATE("     ","Professional Services                             ")</f>
        <v xml:space="preserve">     Professional Services                             </v>
      </c>
      <c r="C175" s="14"/>
      <c r="D175" s="1">
        <f>SUM(OSRRefD22_14x_0)</f>
        <v>6158.41</v>
      </c>
      <c r="E175" s="1"/>
      <c r="F175" s="5">
        <f t="shared" si="68"/>
        <v>1.7498546194365049E-2</v>
      </c>
      <c r="G175" s="1"/>
      <c r="H175" s="1">
        <f>SUM(OSRRefH22_14x_0)</f>
        <v>3415</v>
      </c>
      <c r="I175" s="1"/>
      <c r="J175" s="5">
        <f t="shared" si="69"/>
        <v>8.8322905980495123E-3</v>
      </c>
      <c r="K175" s="1"/>
      <c r="L175" s="1">
        <f t="shared" si="70"/>
        <v>2743.41</v>
      </c>
      <c r="M175" s="1"/>
      <c r="N175" s="5">
        <f t="shared" si="71"/>
        <v>0.80334114202049778</v>
      </c>
      <c r="O175" s="14"/>
      <c r="P175" s="1">
        <f>SUM(OSRRefP22_14x_0)</f>
        <v>6158.41</v>
      </c>
      <c r="Q175" s="1"/>
      <c r="R175" s="5">
        <f t="shared" si="72"/>
        <v>1.7498546194365049E-2</v>
      </c>
      <c r="S175" s="1"/>
      <c r="T175" s="1">
        <f>SUM(OSRRefT22_14x_0)</f>
        <v>3415</v>
      </c>
      <c r="U175" s="1"/>
      <c r="V175" s="5">
        <f t="shared" si="73"/>
        <v>8.8322905980495123E-3</v>
      </c>
      <c r="W175" s="1"/>
      <c r="X175" s="1">
        <f t="shared" si="74"/>
        <v>2743.41</v>
      </c>
      <c r="Y175" s="1"/>
      <c r="Z175" s="5">
        <f t="shared" si="75"/>
        <v>0.80334114202049778</v>
      </c>
    </row>
    <row r="176" spans="1:26" s="24" customFormat="1" hidden="1" outlineLevel="2" x14ac:dyDescent="0.25">
      <c r="A176" s="29"/>
      <c r="B176" s="11" t="str">
        <f>CONCATENATE("          ", "6336", " - ", "PROFESSIONAL SERVICES")</f>
        <v xml:space="preserve">          6336 - PROFESSIONAL SERVICES</v>
      </c>
      <c r="C176" s="11"/>
      <c r="D176" s="7">
        <v>6158.41</v>
      </c>
      <c r="E176" s="2"/>
      <c r="F176" s="6">
        <f t="shared" si="68"/>
        <v>1.7498546194365049E-2</v>
      </c>
      <c r="G176" s="2"/>
      <c r="H176" s="7">
        <v>3415</v>
      </c>
      <c r="I176" s="2"/>
      <c r="J176" s="6">
        <f t="shared" si="69"/>
        <v>8.8322905980495123E-3</v>
      </c>
      <c r="K176" s="2"/>
      <c r="L176" s="7">
        <f t="shared" si="70"/>
        <v>2743.41</v>
      </c>
      <c r="M176" s="2"/>
      <c r="N176" s="6">
        <f t="shared" si="71"/>
        <v>0.80334114202049778</v>
      </c>
      <c r="O176" s="11"/>
      <c r="P176" s="7">
        <v>6158.41</v>
      </c>
      <c r="Q176" s="2"/>
      <c r="R176" s="6">
        <f t="shared" si="72"/>
        <v>1.7498546194365049E-2</v>
      </c>
      <c r="S176" s="2"/>
      <c r="T176" s="7">
        <v>3415</v>
      </c>
      <c r="U176" s="2"/>
      <c r="V176" s="6">
        <f t="shared" si="73"/>
        <v>8.8322905980495123E-3</v>
      </c>
      <c r="W176" s="2"/>
      <c r="X176" s="7">
        <f t="shared" si="74"/>
        <v>2743.41</v>
      </c>
      <c r="Y176" s="2"/>
      <c r="Z176" s="6">
        <f t="shared" si="75"/>
        <v>0.80334114202049778</v>
      </c>
    </row>
    <row r="177" spans="1:26" s="27" customFormat="1" outlineLevel="1" collapsed="1" x14ac:dyDescent="0.25">
      <c r="A177" s="28"/>
      <c r="B177" s="14" t="str">
        <f>CONCATENATE("     ","Rent                                              ")</f>
        <v xml:space="preserve">     Rent                                              </v>
      </c>
      <c r="C177" s="14"/>
      <c r="D177" s="1">
        <f>SUM(OSRRefD22_15x_0)</f>
        <v>6100</v>
      </c>
      <c r="E177" s="1"/>
      <c r="F177" s="5">
        <f t="shared" si="68"/>
        <v>1.7332579640788253E-2</v>
      </c>
      <c r="G177" s="1"/>
      <c r="H177" s="1">
        <f>SUM(OSRRefH22_15x_0)</f>
        <v>6400</v>
      </c>
      <c r="I177" s="1"/>
      <c r="J177" s="5">
        <f t="shared" si="69"/>
        <v>1.6552462614206995E-2</v>
      </c>
      <c r="K177" s="1"/>
      <c r="L177" s="1">
        <f t="shared" si="70"/>
        <v>-300</v>
      </c>
      <c r="M177" s="1"/>
      <c r="N177" s="5">
        <f t="shared" si="71"/>
        <v>-4.6875E-2</v>
      </c>
      <c r="O177" s="14"/>
      <c r="P177" s="1">
        <f>SUM(OSRRefP22_15x_0)</f>
        <v>6100</v>
      </c>
      <c r="Q177" s="1"/>
      <c r="R177" s="5">
        <f t="shared" si="72"/>
        <v>1.7332579640788253E-2</v>
      </c>
      <c r="S177" s="1"/>
      <c r="T177" s="1">
        <f>SUM(OSRRefT22_15x_0)</f>
        <v>6400</v>
      </c>
      <c r="U177" s="1"/>
      <c r="V177" s="5">
        <f t="shared" si="73"/>
        <v>1.6552462614206995E-2</v>
      </c>
      <c r="W177" s="1"/>
      <c r="X177" s="1">
        <f t="shared" si="74"/>
        <v>-300</v>
      </c>
      <c r="Y177" s="1"/>
      <c r="Z177" s="5">
        <f t="shared" si="75"/>
        <v>-4.6875E-2</v>
      </c>
    </row>
    <row r="178" spans="1:26" s="24" customFormat="1" hidden="1" outlineLevel="2" x14ac:dyDescent="0.25">
      <c r="A178" s="29"/>
      <c r="B178" s="11" t="str">
        <f>CONCATENATE("          ", "6273", " - ", "RENT")</f>
        <v xml:space="preserve">          6273 - RENT</v>
      </c>
      <c r="C178" s="11"/>
      <c r="D178" s="7">
        <v>6100</v>
      </c>
      <c r="E178" s="2"/>
      <c r="F178" s="6">
        <f t="shared" si="68"/>
        <v>1.7332579640788253E-2</v>
      </c>
      <c r="G178" s="2"/>
      <c r="H178" s="7">
        <v>6400</v>
      </c>
      <c r="I178" s="2"/>
      <c r="J178" s="6">
        <f t="shared" si="69"/>
        <v>1.6552462614206995E-2</v>
      </c>
      <c r="K178" s="2"/>
      <c r="L178" s="7">
        <f t="shared" si="70"/>
        <v>-300</v>
      </c>
      <c r="M178" s="2"/>
      <c r="N178" s="6">
        <f t="shared" si="71"/>
        <v>-4.6875E-2</v>
      </c>
      <c r="O178" s="11"/>
      <c r="P178" s="7">
        <v>6100</v>
      </c>
      <c r="Q178" s="2"/>
      <c r="R178" s="6">
        <f t="shared" si="72"/>
        <v>1.7332579640788253E-2</v>
      </c>
      <c r="S178" s="2"/>
      <c r="T178" s="7">
        <v>6400</v>
      </c>
      <c r="U178" s="2"/>
      <c r="V178" s="6">
        <f t="shared" si="73"/>
        <v>1.6552462614206995E-2</v>
      </c>
      <c r="W178" s="2"/>
      <c r="X178" s="7">
        <f t="shared" si="74"/>
        <v>-300</v>
      </c>
      <c r="Y178" s="2"/>
      <c r="Z178" s="6">
        <f t="shared" si="75"/>
        <v>-4.6875E-2</v>
      </c>
    </row>
    <row r="179" spans="1:26" s="27" customFormat="1" outlineLevel="1" collapsed="1" x14ac:dyDescent="0.25">
      <c r="A179" s="28"/>
      <c r="B179" s="14" t="str">
        <f>CONCATENATE("     ","Repair and Maintenance                            ")</f>
        <v xml:space="preserve">     Repair and Maintenance                            </v>
      </c>
      <c r="C179" s="14"/>
      <c r="D179" s="1">
        <f>SUM(OSRRefD22_16x_0)</f>
        <v>22745.309999999998</v>
      </c>
      <c r="E179" s="1"/>
      <c r="F179" s="5">
        <f t="shared" si="68"/>
        <v>6.4628671644166788E-2</v>
      </c>
      <c r="G179" s="1"/>
      <c r="H179" s="1">
        <f>SUM(OSRRefH22_16x_0)</f>
        <v>56825</v>
      </c>
      <c r="I179" s="1"/>
      <c r="J179" s="5">
        <f t="shared" si="69"/>
        <v>0.1469677637581738</v>
      </c>
      <c r="K179" s="1"/>
      <c r="L179" s="1">
        <f t="shared" si="70"/>
        <v>-34079.69</v>
      </c>
      <c r="M179" s="1"/>
      <c r="N179" s="5">
        <f t="shared" si="71"/>
        <v>-0.59973057633084037</v>
      </c>
      <c r="O179" s="14"/>
      <c r="P179" s="1">
        <f>SUM(OSRRefP22_16x_0)</f>
        <v>22745.309999999998</v>
      </c>
      <c r="Q179" s="1"/>
      <c r="R179" s="5">
        <f t="shared" si="72"/>
        <v>6.4628671644166788E-2</v>
      </c>
      <c r="S179" s="1"/>
      <c r="T179" s="1">
        <f>SUM(OSRRefT22_16x_0)</f>
        <v>56825</v>
      </c>
      <c r="U179" s="1"/>
      <c r="V179" s="5">
        <f t="shared" si="73"/>
        <v>0.1469677637581738</v>
      </c>
      <c r="W179" s="1"/>
      <c r="X179" s="1">
        <f t="shared" si="74"/>
        <v>-34079.69</v>
      </c>
      <c r="Y179" s="1"/>
      <c r="Z179" s="5">
        <f t="shared" si="75"/>
        <v>-0.59973057633084037</v>
      </c>
    </row>
    <row r="180" spans="1:26" s="24" customFormat="1" hidden="1" outlineLevel="2" x14ac:dyDescent="0.25">
      <c r="A180" s="29"/>
      <c r="B180" s="11" t="str">
        <f>CONCATENATE("          ", "6371", " - ", "COMPUTER SOFTWARE MAINTENANCE")</f>
        <v xml:space="preserve">          6371 - COMPUTER SOFTWARE MAINTENANCE</v>
      </c>
      <c r="C180" s="11"/>
      <c r="D180" s="7">
        <v>601</v>
      </c>
      <c r="E180" s="2"/>
      <c r="F180" s="6">
        <f t="shared" si="68"/>
        <v>1.7076853055924164E-3</v>
      </c>
      <c r="G180" s="2"/>
      <c r="H180" s="7">
        <v>48535</v>
      </c>
      <c r="I180" s="2"/>
      <c r="J180" s="6">
        <f t="shared" si="69"/>
        <v>0.12552715202820883</v>
      </c>
      <c r="K180" s="2"/>
      <c r="L180" s="7">
        <f t="shared" si="70"/>
        <v>-47934</v>
      </c>
      <c r="M180" s="2"/>
      <c r="N180" s="6">
        <f t="shared" si="71"/>
        <v>-0.98761718347584215</v>
      </c>
      <c r="O180" s="11"/>
      <c r="P180" s="7">
        <v>601</v>
      </c>
      <c r="Q180" s="2"/>
      <c r="R180" s="6">
        <f t="shared" si="72"/>
        <v>1.7076853055924164E-3</v>
      </c>
      <c r="S180" s="2"/>
      <c r="T180" s="7">
        <v>48535</v>
      </c>
      <c r="U180" s="2"/>
      <c r="V180" s="6">
        <f t="shared" si="73"/>
        <v>0.12552715202820883</v>
      </c>
      <c r="W180" s="2"/>
      <c r="X180" s="7">
        <f t="shared" si="74"/>
        <v>-47934</v>
      </c>
      <c r="Y180" s="2"/>
      <c r="Z180" s="6">
        <f t="shared" si="75"/>
        <v>-0.98761718347584215</v>
      </c>
    </row>
    <row r="181" spans="1:26" s="24" customFormat="1" hidden="1" outlineLevel="2" x14ac:dyDescent="0.25">
      <c r="A181" s="29"/>
      <c r="B181" s="11" t="str">
        <f>CONCATENATE("          ", "6373", " - ", "MAINTENANCE CONTRACTS")</f>
        <v xml:space="preserve">          6373 - MAINTENANCE CONTRACTS</v>
      </c>
      <c r="C181" s="11"/>
      <c r="D181" s="7">
        <v>6478.86</v>
      </c>
      <c r="E181" s="2"/>
      <c r="F181" s="6">
        <f t="shared" si="68"/>
        <v>1.8409074906806128E-2</v>
      </c>
      <c r="G181" s="2"/>
      <c r="H181" s="7">
        <v>7040</v>
      </c>
      <c r="I181" s="2"/>
      <c r="J181" s="6">
        <f t="shared" si="69"/>
        <v>1.8207708875627691E-2</v>
      </c>
      <c r="K181" s="2"/>
      <c r="L181" s="7">
        <f t="shared" si="70"/>
        <v>-561.14000000000033</v>
      </c>
      <c r="M181" s="2"/>
      <c r="N181" s="6">
        <f t="shared" si="71"/>
        <v>-7.9707386363636404E-2</v>
      </c>
      <c r="O181" s="11"/>
      <c r="P181" s="7">
        <v>6478.86</v>
      </c>
      <c r="Q181" s="2"/>
      <c r="R181" s="6">
        <f t="shared" si="72"/>
        <v>1.8409074906806128E-2</v>
      </c>
      <c r="S181" s="2"/>
      <c r="T181" s="7">
        <v>7040</v>
      </c>
      <c r="U181" s="2"/>
      <c r="V181" s="6">
        <f t="shared" si="73"/>
        <v>1.8207708875627691E-2</v>
      </c>
      <c r="W181" s="2"/>
      <c r="X181" s="7">
        <f t="shared" si="74"/>
        <v>-561.14000000000033</v>
      </c>
      <c r="Y181" s="2"/>
      <c r="Z181" s="6">
        <f t="shared" si="75"/>
        <v>-7.9707386363636404E-2</v>
      </c>
    </row>
    <row r="182" spans="1:26" s="24" customFormat="1" hidden="1" outlineLevel="2" x14ac:dyDescent="0.25">
      <c r="A182" s="29"/>
      <c r="B182" s="11" t="str">
        <f>CONCATENATE("          ", "6375", " - ", "OUTSIDE REPAIRS &amp; MAINTENANCE")</f>
        <v xml:space="preserve">          6375 - OUTSIDE REPAIRS &amp; MAINTENANCE</v>
      </c>
      <c r="C182" s="11"/>
      <c r="D182" s="7">
        <v>15665.449999999999</v>
      </c>
      <c r="E182" s="2"/>
      <c r="F182" s="6">
        <f t="shared" si="68"/>
        <v>4.4511911431768247E-2</v>
      </c>
      <c r="G182" s="2"/>
      <c r="H182" s="7">
        <v>1250</v>
      </c>
      <c r="I182" s="2"/>
      <c r="J182" s="6">
        <f t="shared" si="69"/>
        <v>3.2329028543373033E-3</v>
      </c>
      <c r="K182" s="2"/>
      <c r="L182" s="7">
        <f t="shared" si="70"/>
        <v>14415.449999999999</v>
      </c>
      <c r="M182" s="2"/>
      <c r="N182" s="6">
        <f t="shared" si="71"/>
        <v>11.532359999999999</v>
      </c>
      <c r="O182" s="11"/>
      <c r="P182" s="7">
        <v>15665.449999999999</v>
      </c>
      <c r="Q182" s="2"/>
      <c r="R182" s="6">
        <f t="shared" si="72"/>
        <v>4.4511911431768247E-2</v>
      </c>
      <c r="S182" s="2"/>
      <c r="T182" s="7">
        <v>1250</v>
      </c>
      <c r="U182" s="2"/>
      <c r="V182" s="6">
        <f t="shared" si="73"/>
        <v>3.2329028543373033E-3</v>
      </c>
      <c r="W182" s="2"/>
      <c r="X182" s="7">
        <f t="shared" si="74"/>
        <v>14415.449999999999</v>
      </c>
      <c r="Y182" s="2"/>
      <c r="Z182" s="6">
        <f t="shared" si="75"/>
        <v>11.532359999999999</v>
      </c>
    </row>
    <row r="183" spans="1:26" s="27" customFormat="1" outlineLevel="1" collapsed="1" x14ac:dyDescent="0.25">
      <c r="A183" s="28"/>
      <c r="B183" s="14" t="str">
        <f>CONCATENATE("     ","Royalty &amp; Commissions                             ")</f>
        <v xml:space="preserve">     Royalty &amp; Commissions                             </v>
      </c>
      <c r="C183" s="14"/>
      <c r="D183" s="1">
        <f>SUM(OSRRefD22_17x_0)</f>
        <v>5086.05</v>
      </c>
      <c r="E183" s="1"/>
      <c r="F183" s="5">
        <f t="shared" ref="F183:F187" si="76">IF(D$12=0,0,D183/D$12)</f>
        <v>1.4451535521644443E-2</v>
      </c>
      <c r="G183" s="1"/>
      <c r="H183" s="1">
        <f>SUM(OSRRefH22_17x_0)</f>
        <v>16485</v>
      </c>
      <c r="I183" s="1"/>
      <c r="J183" s="5">
        <f t="shared" ref="J183:J187" si="77">IF(H$12=0,0,H183/H$12)</f>
        <v>4.2635522843000359E-2</v>
      </c>
      <c r="K183" s="1"/>
      <c r="L183" s="1">
        <f t="shared" ref="L183:L187" si="78">+D183-H183</f>
        <v>-11398.95</v>
      </c>
      <c r="M183" s="1"/>
      <c r="N183" s="5">
        <f t="shared" ref="N183:N187" si="79">IF(H183=0,0,L183/H183)</f>
        <v>-0.69147406733394001</v>
      </c>
      <c r="O183" s="14"/>
      <c r="P183" s="1">
        <f>SUM(OSRRefP22_17x_0)</f>
        <v>5086.05</v>
      </c>
      <c r="Q183" s="1"/>
      <c r="R183" s="5">
        <f t="shared" ref="R183:R187" si="80">IF(P$12=0,0,P183/P$12)</f>
        <v>1.4451535521644443E-2</v>
      </c>
      <c r="S183" s="1"/>
      <c r="T183" s="1">
        <f>SUM(OSRRefT22_17x_0)</f>
        <v>16485</v>
      </c>
      <c r="U183" s="1"/>
      <c r="V183" s="5">
        <f t="shared" ref="V183:V187" si="81">IF(T$12=0,0,T183/T$12)</f>
        <v>4.2635522843000359E-2</v>
      </c>
      <c r="W183" s="1"/>
      <c r="X183" s="1">
        <f t="shared" ref="X183:X187" si="82">+P183-T183</f>
        <v>-11398.95</v>
      </c>
      <c r="Y183" s="1"/>
      <c r="Z183" s="5">
        <f t="shared" ref="Z183:Z187" si="83">IF(T183=0,0,X183/T183)</f>
        <v>-0.69147406733394001</v>
      </c>
    </row>
    <row r="184" spans="1:26" s="24" customFormat="1" hidden="1" outlineLevel="2" x14ac:dyDescent="0.25">
      <c r="A184" s="29"/>
      <c r="B184" s="11" t="str">
        <f>CONCATENATE("          ", "6252", " - ", "ROYALTY DUE CSTV")</f>
        <v xml:space="preserve">          6252 - ROYALTY DUE CSTV</v>
      </c>
      <c r="C184" s="11"/>
      <c r="D184" s="7"/>
      <c r="E184" s="2"/>
      <c r="F184" s="6">
        <f t="shared" si="76"/>
        <v>0</v>
      </c>
      <c r="G184" s="2"/>
      <c r="H184" s="7">
        <v>1085</v>
      </c>
      <c r="I184" s="2"/>
      <c r="J184" s="6">
        <f t="shared" si="77"/>
        <v>2.8061596775647794E-3</v>
      </c>
      <c r="K184" s="2"/>
      <c r="L184" s="7">
        <f t="shared" si="78"/>
        <v>-1085</v>
      </c>
      <c r="M184" s="2"/>
      <c r="N184" s="6">
        <f t="shared" si="79"/>
        <v>-1</v>
      </c>
      <c r="O184" s="11"/>
      <c r="P184" s="7"/>
      <c r="Q184" s="2"/>
      <c r="R184" s="6">
        <f t="shared" si="80"/>
        <v>0</v>
      </c>
      <c r="S184" s="2"/>
      <c r="T184" s="7">
        <v>1085</v>
      </c>
      <c r="U184" s="2"/>
      <c r="V184" s="6">
        <f t="shared" si="81"/>
        <v>2.8061596775647794E-3</v>
      </c>
      <c r="W184" s="2"/>
      <c r="X184" s="7">
        <f t="shared" si="82"/>
        <v>-1085</v>
      </c>
      <c r="Y184" s="2"/>
      <c r="Z184" s="6">
        <f t="shared" si="83"/>
        <v>-1</v>
      </c>
    </row>
    <row r="185" spans="1:26" s="24" customFormat="1" hidden="1" outlineLevel="2" x14ac:dyDescent="0.25">
      <c r="A185" s="29"/>
      <c r="B185" s="11" t="str">
        <f>CONCATENATE("          ", "6253", " - ", "ROYALTY DUE ATHLETICS-LRG")</f>
        <v xml:space="preserve">          6253 - ROYALTY DUE ATHLETICS-LRG</v>
      </c>
      <c r="C185" s="11"/>
      <c r="D185" s="7">
        <v>4366.95</v>
      </c>
      <c r="E185" s="2"/>
      <c r="F185" s="6">
        <f t="shared" si="76"/>
        <v>1.2408280108580371E-2</v>
      </c>
      <c r="G185" s="2"/>
      <c r="H185" s="7">
        <v>3700</v>
      </c>
      <c r="I185" s="2"/>
      <c r="J185" s="6">
        <f t="shared" si="77"/>
        <v>9.5693924488384173E-3</v>
      </c>
      <c r="K185" s="2"/>
      <c r="L185" s="7">
        <f t="shared" si="78"/>
        <v>666.94999999999982</v>
      </c>
      <c r="M185" s="2"/>
      <c r="N185" s="6">
        <f t="shared" si="79"/>
        <v>0.1802567567567567</v>
      </c>
      <c r="O185" s="11"/>
      <c r="P185" s="7">
        <v>4366.95</v>
      </c>
      <c r="Q185" s="2"/>
      <c r="R185" s="6">
        <f t="shared" si="80"/>
        <v>1.2408280108580371E-2</v>
      </c>
      <c r="S185" s="2"/>
      <c r="T185" s="7">
        <v>3700</v>
      </c>
      <c r="U185" s="2"/>
      <c r="V185" s="6">
        <f t="shared" si="81"/>
        <v>9.5693924488384173E-3</v>
      </c>
      <c r="W185" s="2"/>
      <c r="X185" s="7">
        <f t="shared" si="82"/>
        <v>666.94999999999982</v>
      </c>
      <c r="Y185" s="2"/>
      <c r="Z185" s="6">
        <f t="shared" si="83"/>
        <v>0.1802567567567567</v>
      </c>
    </row>
    <row r="186" spans="1:26" s="24" customFormat="1" hidden="1" outlineLevel="2" x14ac:dyDescent="0.25">
      <c r="A186" s="29"/>
      <c r="B186" s="11" t="str">
        <f>CONCATENATE("          ", "6254", " - ", "ROYALTY &amp; COMMISSIONS")</f>
        <v xml:space="preserve">          6254 - ROYALTY &amp; COMMISSIONS</v>
      </c>
      <c r="C186" s="11"/>
      <c r="D186" s="7">
        <v>114.09</v>
      </c>
      <c r="E186" s="2"/>
      <c r="F186" s="6">
        <f t="shared" si="76"/>
        <v>3.2417606741271015E-4</v>
      </c>
      <c r="G186" s="2"/>
      <c r="H186" s="7">
        <v>11700</v>
      </c>
      <c r="I186" s="2"/>
      <c r="J186" s="6">
        <f t="shared" si="77"/>
        <v>3.0259970716597161E-2</v>
      </c>
      <c r="K186" s="2"/>
      <c r="L186" s="7">
        <f t="shared" si="78"/>
        <v>-11585.91</v>
      </c>
      <c r="M186" s="2"/>
      <c r="N186" s="6">
        <f t="shared" si="79"/>
        <v>-0.99024871794871794</v>
      </c>
      <c r="O186" s="11"/>
      <c r="P186" s="7">
        <v>114.09</v>
      </c>
      <c r="Q186" s="2"/>
      <c r="R186" s="6">
        <f t="shared" si="80"/>
        <v>3.2417606741271015E-4</v>
      </c>
      <c r="S186" s="2"/>
      <c r="T186" s="7">
        <v>11700</v>
      </c>
      <c r="U186" s="2"/>
      <c r="V186" s="6">
        <f t="shared" si="81"/>
        <v>3.0259970716597161E-2</v>
      </c>
      <c r="W186" s="2"/>
      <c r="X186" s="7">
        <f t="shared" si="82"/>
        <v>-11585.91</v>
      </c>
      <c r="Y186" s="2"/>
      <c r="Z186" s="6">
        <f t="shared" si="83"/>
        <v>-0.99024871794871794</v>
      </c>
    </row>
    <row r="187" spans="1:26" s="24" customFormat="1" hidden="1" outlineLevel="2" x14ac:dyDescent="0.25">
      <c r="A187" s="29"/>
      <c r="B187" s="11" t="str">
        <f>CONCATENATE("          ", "6259", " - ", "ROYALTY &amp; COMMISSIONS")</f>
        <v xml:space="preserve">          6259 - ROYALTY &amp; COMMISSIONS</v>
      </c>
      <c r="C187" s="11"/>
      <c r="D187" s="7">
        <v>605.01</v>
      </c>
      <c r="E187" s="2"/>
      <c r="F187" s="6">
        <f t="shared" si="76"/>
        <v>1.7190793456513609E-3</v>
      </c>
      <c r="G187" s="2"/>
      <c r="H187" s="7"/>
      <c r="I187" s="2"/>
      <c r="J187" s="6">
        <f t="shared" si="77"/>
        <v>0</v>
      </c>
      <c r="K187" s="2"/>
      <c r="L187" s="7">
        <f t="shared" si="78"/>
        <v>605.01</v>
      </c>
      <c r="M187" s="2"/>
      <c r="N187" s="6">
        <f t="shared" si="79"/>
        <v>0</v>
      </c>
      <c r="O187" s="11"/>
      <c r="P187" s="7">
        <v>605.01</v>
      </c>
      <c r="Q187" s="2"/>
      <c r="R187" s="6">
        <f t="shared" si="80"/>
        <v>1.7190793456513609E-3</v>
      </c>
      <c r="S187" s="2"/>
      <c r="T187" s="7"/>
      <c r="U187" s="2"/>
      <c r="V187" s="6">
        <f t="shared" si="81"/>
        <v>0</v>
      </c>
      <c r="W187" s="2"/>
      <c r="X187" s="7">
        <f t="shared" si="82"/>
        <v>605.01</v>
      </c>
      <c r="Y187" s="2"/>
      <c r="Z187" s="6">
        <f t="shared" si="83"/>
        <v>0</v>
      </c>
    </row>
    <row r="188" spans="1:26" s="27" customFormat="1" outlineLevel="1" collapsed="1" x14ac:dyDescent="0.25">
      <c r="A188" s="28"/>
      <c r="B188" s="14" t="str">
        <f>CONCATENATE("     ","Services                                          ")</f>
        <v xml:space="preserve">     Services                                          </v>
      </c>
      <c r="C188" s="14"/>
      <c r="D188" s="1">
        <f>SUM(OSRRefD22_18x_0)</f>
        <v>4629.08</v>
      </c>
      <c r="E188" s="1"/>
      <c r="F188" s="5">
        <f t="shared" ref="F188:F192" si="84">IF(D$12=0,0,D188/D$12)</f>
        <v>1.3153097994029523E-2</v>
      </c>
      <c r="G188" s="1"/>
      <c r="H188" s="1">
        <f>SUM(OSRRefH22_18x_0)</f>
        <v>4432.5</v>
      </c>
      <c r="I188" s="1"/>
      <c r="J188" s="5">
        <f t="shared" ref="J188:J192" si="85">IF(H$12=0,0,H188/H$12)</f>
        <v>1.1463873521480077E-2</v>
      </c>
      <c r="K188" s="1"/>
      <c r="L188" s="1">
        <f t="shared" ref="L188:L192" si="86">+D188-H188</f>
        <v>196.57999999999993</v>
      </c>
      <c r="M188" s="1"/>
      <c r="N188" s="5">
        <f t="shared" ref="N188:N192" si="87">IF(H188=0,0,L188/H188)</f>
        <v>4.4349689791314144E-2</v>
      </c>
      <c r="O188" s="14"/>
      <c r="P188" s="1">
        <f>SUM(OSRRefP22_18x_0)</f>
        <v>4629.08</v>
      </c>
      <c r="Q188" s="1"/>
      <c r="R188" s="5">
        <f t="shared" ref="R188:R192" si="88">IF(P$12=0,0,P188/P$12)</f>
        <v>1.3153097994029523E-2</v>
      </c>
      <c r="S188" s="1"/>
      <c r="T188" s="1">
        <f>SUM(OSRRefT22_18x_0)</f>
        <v>4432.5</v>
      </c>
      <c r="U188" s="1"/>
      <c r="V188" s="5">
        <f t="shared" ref="V188:V192" si="89">IF(T$12=0,0,T188/T$12)</f>
        <v>1.1463873521480077E-2</v>
      </c>
      <c r="W188" s="1"/>
      <c r="X188" s="1">
        <f t="shared" ref="X188:X192" si="90">+P188-T188</f>
        <v>196.57999999999993</v>
      </c>
      <c r="Y188" s="1"/>
      <c r="Z188" s="5">
        <f t="shared" ref="Z188:Z192" si="91">IF(T188=0,0,X188/T188)</f>
        <v>4.4349689791314144E-2</v>
      </c>
    </row>
    <row r="189" spans="1:26" s="24" customFormat="1" hidden="1" outlineLevel="2" x14ac:dyDescent="0.25">
      <c r="A189" s="29"/>
      <c r="B189" s="11" t="str">
        <f>CONCATENATE("          ", "6282", " - ", "JANITORIAL/EXTERMINATOR EXPENS")</f>
        <v xml:space="preserve">          6282 - JANITORIAL/EXTERMINATOR EXPENS</v>
      </c>
      <c r="C189" s="11"/>
      <c r="D189" s="7">
        <v>266.5</v>
      </c>
      <c r="E189" s="2"/>
      <c r="F189" s="6">
        <f t="shared" si="84"/>
        <v>7.572348318475524E-4</v>
      </c>
      <c r="G189" s="2"/>
      <c r="H189" s="7">
        <v>50</v>
      </c>
      <c r="I189" s="2"/>
      <c r="J189" s="6">
        <f t="shared" si="85"/>
        <v>1.2931611417349215E-4</v>
      </c>
      <c r="K189" s="2"/>
      <c r="L189" s="7">
        <f t="shared" si="86"/>
        <v>216.5</v>
      </c>
      <c r="M189" s="2"/>
      <c r="N189" s="6">
        <f t="shared" si="87"/>
        <v>4.33</v>
      </c>
      <c r="O189" s="11"/>
      <c r="P189" s="7">
        <v>266.5</v>
      </c>
      <c r="Q189" s="2"/>
      <c r="R189" s="6">
        <f t="shared" si="88"/>
        <v>7.572348318475524E-4</v>
      </c>
      <c r="S189" s="2"/>
      <c r="T189" s="7">
        <v>50</v>
      </c>
      <c r="U189" s="2"/>
      <c r="V189" s="6">
        <f t="shared" si="89"/>
        <v>1.2931611417349215E-4</v>
      </c>
      <c r="W189" s="2"/>
      <c r="X189" s="7">
        <f t="shared" si="90"/>
        <v>216.5</v>
      </c>
      <c r="Y189" s="2"/>
      <c r="Z189" s="6">
        <f t="shared" si="91"/>
        <v>4.33</v>
      </c>
    </row>
    <row r="190" spans="1:26" s="24" customFormat="1" hidden="1" outlineLevel="2" x14ac:dyDescent="0.25">
      <c r="A190" s="29"/>
      <c r="B190" s="11" t="str">
        <f>CONCATENATE("          ", "6283", " - ", "PLANT SERVICE")</f>
        <v xml:space="preserve">          6283 - PLANT SERVICE</v>
      </c>
      <c r="C190" s="11"/>
      <c r="D190" s="7">
        <v>180.66</v>
      </c>
      <c r="E190" s="2"/>
      <c r="F190" s="6">
        <f t="shared" si="84"/>
        <v>5.1332849801718127E-4</v>
      </c>
      <c r="G190" s="2"/>
      <c r="H190" s="7">
        <v>60</v>
      </c>
      <c r="I190" s="2"/>
      <c r="J190" s="6">
        <f t="shared" si="85"/>
        <v>1.5517933700819056E-4</v>
      </c>
      <c r="K190" s="2"/>
      <c r="L190" s="7">
        <f t="shared" si="86"/>
        <v>120.66</v>
      </c>
      <c r="M190" s="2"/>
      <c r="N190" s="6">
        <f t="shared" si="87"/>
        <v>2.0110000000000001</v>
      </c>
      <c r="O190" s="11"/>
      <c r="P190" s="7">
        <v>180.66</v>
      </c>
      <c r="Q190" s="2"/>
      <c r="R190" s="6">
        <f t="shared" si="88"/>
        <v>5.1332849801718127E-4</v>
      </c>
      <c r="S190" s="2"/>
      <c r="T190" s="7">
        <v>60</v>
      </c>
      <c r="U190" s="2"/>
      <c r="V190" s="6">
        <f t="shared" si="89"/>
        <v>1.5517933700819056E-4</v>
      </c>
      <c r="W190" s="2"/>
      <c r="X190" s="7">
        <f t="shared" si="90"/>
        <v>120.66</v>
      </c>
      <c r="Y190" s="2"/>
      <c r="Z190" s="6">
        <f t="shared" si="91"/>
        <v>2.0110000000000001</v>
      </c>
    </row>
    <row r="191" spans="1:26" s="24" customFormat="1" hidden="1" outlineLevel="2" x14ac:dyDescent="0.25">
      <c r="A191" s="29"/>
      <c r="B191" s="11" t="str">
        <f>CONCATENATE("          ", "6284", " - ", "TRASH REMOVAL EXPENSE")</f>
        <v xml:space="preserve">          6284 - TRASH REMOVAL EXPENSE</v>
      </c>
      <c r="C191" s="11"/>
      <c r="D191" s="7">
        <v>134.82</v>
      </c>
      <c r="E191" s="2"/>
      <c r="F191" s="6">
        <f t="shared" si="84"/>
        <v>3.830784241264053E-4</v>
      </c>
      <c r="G191" s="2"/>
      <c r="H191" s="7">
        <v>62.5</v>
      </c>
      <c r="I191" s="2"/>
      <c r="J191" s="6">
        <f t="shared" si="85"/>
        <v>1.6164514271686518E-4</v>
      </c>
      <c r="K191" s="2"/>
      <c r="L191" s="7">
        <f t="shared" si="86"/>
        <v>72.319999999999993</v>
      </c>
      <c r="M191" s="2"/>
      <c r="N191" s="6">
        <f t="shared" si="87"/>
        <v>1.1571199999999999</v>
      </c>
      <c r="O191" s="11"/>
      <c r="P191" s="7">
        <v>134.82</v>
      </c>
      <c r="Q191" s="2"/>
      <c r="R191" s="6">
        <f t="shared" si="88"/>
        <v>3.830784241264053E-4</v>
      </c>
      <c r="S191" s="2"/>
      <c r="T191" s="7">
        <v>62.5</v>
      </c>
      <c r="U191" s="2"/>
      <c r="V191" s="6">
        <f t="shared" si="89"/>
        <v>1.6164514271686518E-4</v>
      </c>
      <c r="W191" s="2"/>
      <c r="X191" s="7">
        <f t="shared" si="90"/>
        <v>72.319999999999993</v>
      </c>
      <c r="Y191" s="2"/>
      <c r="Z191" s="6">
        <f t="shared" si="91"/>
        <v>1.1571199999999999</v>
      </c>
    </row>
    <row r="192" spans="1:26" s="24" customFormat="1" hidden="1" outlineLevel="2" x14ac:dyDescent="0.25">
      <c r="A192" s="29"/>
      <c r="B192" s="11" t="str">
        <f>CONCATENATE("          ", "6285", " - ", "JANITORIAL SERVICES")</f>
        <v xml:space="preserve">          6285 - JANITORIAL SERVICES</v>
      </c>
      <c r="C192" s="11"/>
      <c r="D192" s="7">
        <v>4047.1</v>
      </c>
      <c r="E192" s="2"/>
      <c r="F192" s="6">
        <f t="shared" si="84"/>
        <v>1.1499456240038383E-2</v>
      </c>
      <c r="G192" s="2"/>
      <c r="H192" s="7">
        <v>4260</v>
      </c>
      <c r="I192" s="2"/>
      <c r="J192" s="6">
        <f t="shared" si="85"/>
        <v>1.101773292758153E-2</v>
      </c>
      <c r="K192" s="2"/>
      <c r="L192" s="7">
        <f t="shared" si="86"/>
        <v>-212.90000000000009</v>
      </c>
      <c r="M192" s="2"/>
      <c r="N192" s="6">
        <f t="shared" si="87"/>
        <v>-4.9976525821596264E-2</v>
      </c>
      <c r="O192" s="11"/>
      <c r="P192" s="7">
        <v>4047.1</v>
      </c>
      <c r="Q192" s="2"/>
      <c r="R192" s="6">
        <f t="shared" si="88"/>
        <v>1.1499456240038383E-2</v>
      </c>
      <c r="S192" s="2"/>
      <c r="T192" s="7">
        <v>4260</v>
      </c>
      <c r="U192" s="2"/>
      <c r="V192" s="6">
        <f t="shared" si="89"/>
        <v>1.101773292758153E-2</v>
      </c>
      <c r="W192" s="2"/>
      <c r="X192" s="7">
        <f t="shared" si="90"/>
        <v>-212.90000000000009</v>
      </c>
      <c r="Y192" s="2"/>
      <c r="Z192" s="6">
        <f t="shared" si="91"/>
        <v>-4.9976525821596264E-2</v>
      </c>
    </row>
    <row r="193" spans="1:26" s="27" customFormat="1" outlineLevel="1" collapsed="1" x14ac:dyDescent="0.25">
      <c r="A193" s="28"/>
      <c r="B193" s="14" t="str">
        <f>CONCATENATE("     ","Subscriptions &amp; Dues                              ")</f>
        <v xml:space="preserve">     Subscriptions &amp; Dues                              </v>
      </c>
      <c r="C193" s="14"/>
      <c r="D193" s="1">
        <f>SUM(OSRRefD22_19x_0)</f>
        <v>462.25</v>
      </c>
      <c r="E193" s="1"/>
      <c r="F193" s="5">
        <f t="shared" ref="F193:F195" si="92">IF(D$12=0,0,D193/D$12)</f>
        <v>1.313440153926946E-3</v>
      </c>
      <c r="G193" s="1"/>
      <c r="H193" s="1">
        <f>SUM(OSRRefH22_19x_0)</f>
        <v>2685</v>
      </c>
      <c r="I193" s="1"/>
      <c r="J193" s="5">
        <f t="shared" ref="J193:J195" si="93">IF(H$12=0,0,H193/H$12)</f>
        <v>6.944275331116528E-3</v>
      </c>
      <c r="K193" s="1"/>
      <c r="L193" s="1">
        <f t="shared" ref="L193:L195" si="94">+D193-H193</f>
        <v>-2222.75</v>
      </c>
      <c r="M193" s="1"/>
      <c r="N193" s="5">
        <f t="shared" ref="N193:N195" si="95">IF(H193=0,0,L193/H193)</f>
        <v>-0.82783985102420854</v>
      </c>
      <c r="O193" s="14"/>
      <c r="P193" s="1">
        <f>SUM(OSRRefP22_19x_0)</f>
        <v>462.25</v>
      </c>
      <c r="Q193" s="1"/>
      <c r="R193" s="5">
        <f t="shared" ref="R193:R195" si="96">IF(P$12=0,0,P193/P$12)</f>
        <v>1.313440153926946E-3</v>
      </c>
      <c r="S193" s="1"/>
      <c r="T193" s="1">
        <f>SUM(OSRRefT22_19x_0)</f>
        <v>2685</v>
      </c>
      <c r="U193" s="1"/>
      <c r="V193" s="5">
        <f t="shared" ref="V193:V195" si="97">IF(T$12=0,0,T193/T$12)</f>
        <v>6.944275331116528E-3</v>
      </c>
      <c r="W193" s="1"/>
      <c r="X193" s="1">
        <f t="shared" ref="X193:X195" si="98">+P193-T193</f>
        <v>-2222.75</v>
      </c>
      <c r="Y193" s="1"/>
      <c r="Z193" s="5">
        <f t="shared" ref="Z193:Z195" si="99">IF(T193=0,0,X193/T193)</f>
        <v>-0.82783985102420854</v>
      </c>
    </row>
    <row r="194" spans="1:26" s="24" customFormat="1" hidden="1" outlineLevel="2" x14ac:dyDescent="0.25">
      <c r="A194" s="29"/>
      <c r="B194" s="11" t="str">
        <f>CONCATENATE("          ", "6258", " - ", "MEMBERSHIP DUES")</f>
        <v xml:space="preserve">          6258 - MEMBERSHIP DUES</v>
      </c>
      <c r="C194" s="11"/>
      <c r="D194" s="7">
        <v>288.85000000000002</v>
      </c>
      <c r="E194" s="2"/>
      <c r="F194" s="6">
        <f t="shared" si="92"/>
        <v>8.207402670888012E-4</v>
      </c>
      <c r="G194" s="2"/>
      <c r="H194" s="7">
        <v>1895</v>
      </c>
      <c r="I194" s="2"/>
      <c r="J194" s="6">
        <f t="shared" si="93"/>
        <v>4.9010807271753516E-3</v>
      </c>
      <c r="K194" s="2"/>
      <c r="L194" s="7">
        <f t="shared" si="94"/>
        <v>-1606.15</v>
      </c>
      <c r="M194" s="2"/>
      <c r="N194" s="6">
        <f t="shared" si="95"/>
        <v>-0.84757255936675469</v>
      </c>
      <c r="O194" s="11"/>
      <c r="P194" s="7">
        <v>288.85000000000002</v>
      </c>
      <c r="Q194" s="2"/>
      <c r="R194" s="6">
        <f t="shared" si="96"/>
        <v>8.207402670888012E-4</v>
      </c>
      <c r="S194" s="2"/>
      <c r="T194" s="7">
        <v>1895</v>
      </c>
      <c r="U194" s="2"/>
      <c r="V194" s="6">
        <f t="shared" si="97"/>
        <v>4.9010807271753516E-3</v>
      </c>
      <c r="W194" s="2"/>
      <c r="X194" s="7">
        <f t="shared" si="98"/>
        <v>-1606.15</v>
      </c>
      <c r="Y194" s="2"/>
      <c r="Z194" s="6">
        <f t="shared" si="99"/>
        <v>-0.84757255936675469</v>
      </c>
    </row>
    <row r="195" spans="1:26" s="24" customFormat="1" hidden="1" outlineLevel="2" x14ac:dyDescent="0.25">
      <c r="A195" s="29"/>
      <c r="B195" s="11" t="str">
        <f>CONCATENATE("          ", "6275", " - ", "SUBSCRIPTIONS")</f>
        <v xml:space="preserve">          6275 - SUBSCRIPTIONS</v>
      </c>
      <c r="C195" s="11"/>
      <c r="D195" s="7">
        <v>173.4</v>
      </c>
      <c r="E195" s="2"/>
      <c r="F195" s="6">
        <f t="shared" si="92"/>
        <v>4.9269988683814478E-4</v>
      </c>
      <c r="G195" s="2"/>
      <c r="H195" s="7">
        <v>790</v>
      </c>
      <c r="I195" s="2"/>
      <c r="J195" s="6">
        <f t="shared" si="93"/>
        <v>2.0431946039411756E-3</v>
      </c>
      <c r="K195" s="2"/>
      <c r="L195" s="7">
        <f t="shared" si="94"/>
        <v>-616.6</v>
      </c>
      <c r="M195" s="2"/>
      <c r="N195" s="6">
        <f t="shared" si="95"/>
        <v>-0.78050632911392404</v>
      </c>
      <c r="O195" s="11"/>
      <c r="P195" s="7">
        <v>173.4</v>
      </c>
      <c r="Q195" s="2"/>
      <c r="R195" s="6">
        <f t="shared" si="96"/>
        <v>4.9269988683814478E-4</v>
      </c>
      <c r="S195" s="2"/>
      <c r="T195" s="7">
        <v>790</v>
      </c>
      <c r="U195" s="2"/>
      <c r="V195" s="6">
        <f t="shared" si="97"/>
        <v>2.0431946039411756E-3</v>
      </c>
      <c r="W195" s="2"/>
      <c r="X195" s="7">
        <f t="shared" si="98"/>
        <v>-616.6</v>
      </c>
      <c r="Y195" s="2"/>
      <c r="Z195" s="6">
        <f t="shared" si="99"/>
        <v>-0.78050632911392404</v>
      </c>
    </row>
    <row r="196" spans="1:26" s="27" customFormat="1" outlineLevel="1" collapsed="1" x14ac:dyDescent="0.25">
      <c r="A196" s="28"/>
      <c r="B196" s="14" t="str">
        <f>CONCATENATE("     ","Supplies                                          ")</f>
        <v xml:space="preserve">     Supplies                                          </v>
      </c>
      <c r="C196" s="14"/>
      <c r="D196" s="1">
        <f>SUM(OSRRefD22_20x_0)</f>
        <v>6945.5300000000007</v>
      </c>
      <c r="E196" s="1"/>
      <c r="F196" s="5">
        <f t="shared" ref="F196:F203" si="100">IF(D$12=0,0,D196/D$12)</f>
        <v>1.9735074077456401E-2</v>
      </c>
      <c r="G196" s="1"/>
      <c r="H196" s="1">
        <f>SUM(OSRRefH22_20x_0)</f>
        <v>11735</v>
      </c>
      <c r="I196" s="1"/>
      <c r="J196" s="5">
        <f t="shared" ref="J196:J203" si="101">IF(H$12=0,0,H196/H$12)</f>
        <v>3.0350491996518604E-2</v>
      </c>
      <c r="K196" s="1"/>
      <c r="L196" s="1">
        <f t="shared" ref="L196:L203" si="102">+D196-H196</f>
        <v>-4789.4699999999993</v>
      </c>
      <c r="M196" s="1"/>
      <c r="N196" s="5">
        <f t="shared" ref="N196:N203" si="103">IF(H196=0,0,L196/H196)</f>
        <v>-0.40813549211759687</v>
      </c>
      <c r="O196" s="14"/>
      <c r="P196" s="1">
        <f>SUM(OSRRefP22_20x_0)</f>
        <v>6945.5300000000007</v>
      </c>
      <c r="Q196" s="1"/>
      <c r="R196" s="5">
        <f t="shared" ref="R196:R203" si="104">IF(P$12=0,0,P196/P$12)</f>
        <v>1.9735074077456401E-2</v>
      </c>
      <c r="S196" s="1"/>
      <c r="T196" s="1">
        <f>SUM(OSRRefT22_20x_0)</f>
        <v>11735</v>
      </c>
      <c r="U196" s="1"/>
      <c r="V196" s="5">
        <f t="shared" ref="V196:V203" si="105">IF(T$12=0,0,T196/T$12)</f>
        <v>3.0350491996518604E-2</v>
      </c>
      <c r="W196" s="1"/>
      <c r="X196" s="1">
        <f t="shared" ref="X196:X203" si="106">+P196-T196</f>
        <v>-4789.4699999999993</v>
      </c>
      <c r="Y196" s="1"/>
      <c r="Z196" s="5">
        <f t="shared" ref="Z196:Z203" si="107">IF(T196=0,0,X196/T196)</f>
        <v>-0.40813549211759687</v>
      </c>
    </row>
    <row r="197" spans="1:26" s="24" customFormat="1" hidden="1" outlineLevel="2" x14ac:dyDescent="0.25">
      <c r="A197" s="29"/>
      <c r="B197" s="11" t="str">
        <f>CONCATENATE("          ", "6234", " - ", "EXPENDABLE SUPPLIES &amp; EQUIPMEN")</f>
        <v xml:space="preserve">          6234 - EXPENDABLE SUPPLIES &amp; EQUIPMEN</v>
      </c>
      <c r="C197" s="11"/>
      <c r="D197" s="7">
        <v>702.08</v>
      </c>
      <c r="E197" s="2"/>
      <c r="F197" s="6">
        <f t="shared" si="100"/>
        <v>1.9948946744597733E-3</v>
      </c>
      <c r="G197" s="2"/>
      <c r="H197" s="7">
        <v>1300</v>
      </c>
      <c r="I197" s="2"/>
      <c r="J197" s="6">
        <f t="shared" si="101"/>
        <v>3.3622189685107956E-3</v>
      </c>
      <c r="K197" s="2"/>
      <c r="L197" s="7">
        <f t="shared" si="102"/>
        <v>-597.91999999999996</v>
      </c>
      <c r="M197" s="2"/>
      <c r="N197" s="6">
        <f t="shared" si="103"/>
        <v>-0.45993846153846152</v>
      </c>
      <c r="O197" s="11"/>
      <c r="P197" s="7">
        <v>702.08</v>
      </c>
      <c r="Q197" s="2"/>
      <c r="R197" s="6">
        <f t="shared" si="104"/>
        <v>1.9948946744597733E-3</v>
      </c>
      <c r="S197" s="2"/>
      <c r="T197" s="7">
        <v>1300</v>
      </c>
      <c r="U197" s="2"/>
      <c r="V197" s="6">
        <f t="shared" si="105"/>
        <v>3.3622189685107956E-3</v>
      </c>
      <c r="W197" s="2"/>
      <c r="X197" s="7">
        <f t="shared" si="106"/>
        <v>-597.91999999999996</v>
      </c>
      <c r="Y197" s="2"/>
      <c r="Z197" s="6">
        <f t="shared" si="107"/>
        <v>-0.45993846153846152</v>
      </c>
    </row>
    <row r="198" spans="1:26" s="24" customFormat="1" hidden="1" outlineLevel="2" x14ac:dyDescent="0.25">
      <c r="A198" s="29"/>
      <c r="B198" s="11" t="str">
        <f>CONCATENATE("          ", "6237", " - ", "JANITORIAL SUPPLIES")</f>
        <v xml:space="preserve">          6237 - JANITORIAL SUPPLIES</v>
      </c>
      <c r="C198" s="11"/>
      <c r="D198" s="7">
        <v>448.83</v>
      </c>
      <c r="E198" s="2"/>
      <c r="F198" s="6">
        <f t="shared" si="100"/>
        <v>1.2753084787172117E-3</v>
      </c>
      <c r="G198" s="2"/>
      <c r="H198" s="7">
        <v>35</v>
      </c>
      <c r="I198" s="2"/>
      <c r="J198" s="6">
        <f t="shared" si="101"/>
        <v>9.05212799214445E-5</v>
      </c>
      <c r="K198" s="2"/>
      <c r="L198" s="7">
        <f t="shared" si="102"/>
        <v>413.83</v>
      </c>
      <c r="M198" s="2"/>
      <c r="N198" s="6">
        <f t="shared" si="103"/>
        <v>11.823714285714285</v>
      </c>
      <c r="O198" s="11"/>
      <c r="P198" s="7">
        <v>448.83</v>
      </c>
      <c r="Q198" s="2"/>
      <c r="R198" s="6">
        <f t="shared" si="104"/>
        <v>1.2753084787172117E-3</v>
      </c>
      <c r="S198" s="2"/>
      <c r="T198" s="7">
        <v>35</v>
      </c>
      <c r="U198" s="2"/>
      <c r="V198" s="6">
        <f t="shared" si="105"/>
        <v>9.05212799214445E-5</v>
      </c>
      <c r="W198" s="2"/>
      <c r="X198" s="7">
        <f t="shared" si="106"/>
        <v>413.83</v>
      </c>
      <c r="Y198" s="2"/>
      <c r="Z198" s="6">
        <f t="shared" si="107"/>
        <v>11.823714285714285</v>
      </c>
    </row>
    <row r="199" spans="1:26" s="24" customFormat="1" hidden="1" outlineLevel="2" x14ac:dyDescent="0.25">
      <c r="A199" s="29"/>
      <c r="B199" s="11" t="str">
        <f>CONCATENATE("          ", "6241", " - ", "OFFICE EXPENSE")</f>
        <v xml:space="preserve">          6241 - OFFICE EXPENSE</v>
      </c>
      <c r="C199" s="11"/>
      <c r="D199" s="7">
        <v>2397.67</v>
      </c>
      <c r="E199" s="2"/>
      <c r="F199" s="6">
        <f t="shared" si="100"/>
        <v>6.8127551192342251E-3</v>
      </c>
      <c r="G199" s="2"/>
      <c r="H199" s="7">
        <v>1225</v>
      </c>
      <c r="I199" s="2"/>
      <c r="J199" s="6">
        <f t="shared" si="101"/>
        <v>3.1682447972505574E-3</v>
      </c>
      <c r="K199" s="2"/>
      <c r="L199" s="7">
        <f t="shared" si="102"/>
        <v>1172.67</v>
      </c>
      <c r="M199" s="2"/>
      <c r="N199" s="6">
        <f t="shared" si="103"/>
        <v>0.95728163265306132</v>
      </c>
      <c r="O199" s="11"/>
      <c r="P199" s="7">
        <v>2397.67</v>
      </c>
      <c r="Q199" s="2"/>
      <c r="R199" s="6">
        <f t="shared" si="104"/>
        <v>6.8127551192342251E-3</v>
      </c>
      <c r="S199" s="2"/>
      <c r="T199" s="7">
        <v>1225</v>
      </c>
      <c r="U199" s="2"/>
      <c r="V199" s="6">
        <f t="shared" si="105"/>
        <v>3.1682447972505574E-3</v>
      </c>
      <c r="W199" s="2"/>
      <c r="X199" s="7">
        <f t="shared" si="106"/>
        <v>1172.67</v>
      </c>
      <c r="Y199" s="2"/>
      <c r="Z199" s="6">
        <f t="shared" si="107"/>
        <v>0.95728163265306132</v>
      </c>
    </row>
    <row r="200" spans="1:26" s="24" customFormat="1" hidden="1" outlineLevel="2" x14ac:dyDescent="0.25">
      <c r="A200" s="29"/>
      <c r="B200" s="11" t="str">
        <f>CONCATENATE("          ", "6243", " - ", "PAPER SUPPLIES")</f>
        <v xml:space="preserve">          6243 - PAPER SUPPLIES</v>
      </c>
      <c r="C200" s="11"/>
      <c r="D200" s="7">
        <v>1161.3399999999999</v>
      </c>
      <c r="E200" s="2"/>
      <c r="F200" s="6">
        <f t="shared" si="100"/>
        <v>3.2998390229562343E-3</v>
      </c>
      <c r="G200" s="2"/>
      <c r="H200" s="7">
        <v>250</v>
      </c>
      <c r="I200" s="2"/>
      <c r="J200" s="6">
        <f t="shared" si="101"/>
        <v>6.4658057086746073E-4</v>
      </c>
      <c r="K200" s="2"/>
      <c r="L200" s="7">
        <f t="shared" si="102"/>
        <v>911.33999999999992</v>
      </c>
      <c r="M200" s="2"/>
      <c r="N200" s="6">
        <f t="shared" si="103"/>
        <v>3.6453599999999997</v>
      </c>
      <c r="O200" s="11"/>
      <c r="P200" s="7">
        <v>1161.3399999999999</v>
      </c>
      <c r="Q200" s="2"/>
      <c r="R200" s="6">
        <f t="shared" si="104"/>
        <v>3.2998390229562343E-3</v>
      </c>
      <c r="S200" s="2"/>
      <c r="T200" s="7">
        <v>250</v>
      </c>
      <c r="U200" s="2"/>
      <c r="V200" s="6">
        <f t="shared" si="105"/>
        <v>6.4658057086746073E-4</v>
      </c>
      <c r="W200" s="2"/>
      <c r="X200" s="7">
        <f t="shared" si="106"/>
        <v>911.33999999999992</v>
      </c>
      <c r="Y200" s="2"/>
      <c r="Z200" s="6">
        <f t="shared" si="107"/>
        <v>3.6453599999999997</v>
      </c>
    </row>
    <row r="201" spans="1:26" s="24" customFormat="1" hidden="1" outlineLevel="2" x14ac:dyDescent="0.25">
      <c r="A201" s="29"/>
      <c r="B201" s="11" t="str">
        <f>CONCATENATE("          ", "6245", " - ", "PRINTING")</f>
        <v xml:space="preserve">          6245 - PRINTING</v>
      </c>
      <c r="C201" s="11"/>
      <c r="D201" s="7"/>
      <c r="E201" s="2"/>
      <c r="F201" s="6">
        <f t="shared" si="100"/>
        <v>0</v>
      </c>
      <c r="G201" s="2"/>
      <c r="H201" s="7">
        <v>100</v>
      </c>
      <c r="I201" s="2"/>
      <c r="J201" s="6">
        <f t="shared" si="101"/>
        <v>2.5863222834698429E-4</v>
      </c>
      <c r="K201" s="2"/>
      <c r="L201" s="7">
        <f t="shared" si="102"/>
        <v>-100</v>
      </c>
      <c r="M201" s="2"/>
      <c r="N201" s="6">
        <f t="shared" si="103"/>
        <v>-1</v>
      </c>
      <c r="O201" s="11"/>
      <c r="P201" s="7"/>
      <c r="Q201" s="2"/>
      <c r="R201" s="6">
        <f t="shared" si="104"/>
        <v>0</v>
      </c>
      <c r="S201" s="2"/>
      <c r="T201" s="7">
        <v>100</v>
      </c>
      <c r="U201" s="2"/>
      <c r="V201" s="6">
        <f t="shared" si="105"/>
        <v>2.5863222834698429E-4</v>
      </c>
      <c r="W201" s="2"/>
      <c r="X201" s="7">
        <f t="shared" si="106"/>
        <v>-100</v>
      </c>
      <c r="Y201" s="2"/>
      <c r="Z201" s="6">
        <f t="shared" si="107"/>
        <v>-1</v>
      </c>
    </row>
    <row r="202" spans="1:26" s="24" customFormat="1" hidden="1" outlineLevel="2" x14ac:dyDescent="0.25">
      <c r="A202" s="29"/>
      <c r="B202" s="11" t="str">
        <f>CONCATENATE("          ", "6247", " - ", "STORE SUPPLIES")</f>
        <v xml:space="preserve">          6247 - STORE SUPPLIES</v>
      </c>
      <c r="C202" s="11"/>
      <c r="D202" s="7">
        <v>2235.61</v>
      </c>
      <c r="E202" s="2"/>
      <c r="F202" s="6">
        <f t="shared" si="100"/>
        <v>6.3522767820889557E-3</v>
      </c>
      <c r="G202" s="2"/>
      <c r="H202" s="7">
        <v>7825</v>
      </c>
      <c r="I202" s="2"/>
      <c r="J202" s="6">
        <f t="shared" si="101"/>
        <v>2.023797186815152E-2</v>
      </c>
      <c r="K202" s="2"/>
      <c r="L202" s="7">
        <f t="shared" si="102"/>
        <v>-5589.3899999999994</v>
      </c>
      <c r="M202" s="2"/>
      <c r="N202" s="6">
        <f t="shared" si="103"/>
        <v>-0.71429904153354629</v>
      </c>
      <c r="O202" s="11"/>
      <c r="P202" s="7">
        <v>2235.61</v>
      </c>
      <c r="Q202" s="2"/>
      <c r="R202" s="6">
        <f t="shared" si="104"/>
        <v>6.3522767820889557E-3</v>
      </c>
      <c r="S202" s="2"/>
      <c r="T202" s="7">
        <v>7825</v>
      </c>
      <c r="U202" s="2"/>
      <c r="V202" s="6">
        <f t="shared" si="105"/>
        <v>2.023797186815152E-2</v>
      </c>
      <c r="W202" s="2"/>
      <c r="X202" s="7">
        <f t="shared" si="106"/>
        <v>-5589.3899999999994</v>
      </c>
      <c r="Y202" s="2"/>
      <c r="Z202" s="6">
        <f t="shared" si="107"/>
        <v>-0.71429904153354629</v>
      </c>
    </row>
    <row r="203" spans="1:26" s="24" customFormat="1" hidden="1" outlineLevel="2" x14ac:dyDescent="0.25">
      <c r="A203" s="29"/>
      <c r="B203" s="11" t="str">
        <f>CONCATENATE("          ", "6248", " - ", "UNIFORMS")</f>
        <v xml:space="preserve">          6248 - UNIFORMS</v>
      </c>
      <c r="C203" s="11"/>
      <c r="D203" s="7"/>
      <c r="E203" s="2"/>
      <c r="F203" s="6">
        <f t="shared" si="100"/>
        <v>0</v>
      </c>
      <c r="G203" s="2"/>
      <c r="H203" s="7">
        <v>1000</v>
      </c>
      <c r="I203" s="2"/>
      <c r="J203" s="6">
        <f t="shared" si="101"/>
        <v>2.5863222834698429E-3</v>
      </c>
      <c r="K203" s="2"/>
      <c r="L203" s="7">
        <f t="shared" si="102"/>
        <v>-1000</v>
      </c>
      <c r="M203" s="2"/>
      <c r="N203" s="6">
        <f t="shared" si="103"/>
        <v>-1</v>
      </c>
      <c r="O203" s="11"/>
      <c r="P203" s="7"/>
      <c r="Q203" s="2"/>
      <c r="R203" s="6">
        <f t="shared" si="104"/>
        <v>0</v>
      </c>
      <c r="S203" s="2"/>
      <c r="T203" s="7">
        <v>1000</v>
      </c>
      <c r="U203" s="2"/>
      <c r="V203" s="6">
        <f t="shared" si="105"/>
        <v>2.5863222834698429E-3</v>
      </c>
      <c r="W203" s="2"/>
      <c r="X203" s="7">
        <f t="shared" si="106"/>
        <v>-1000</v>
      </c>
      <c r="Y203" s="2"/>
      <c r="Z203" s="6">
        <f t="shared" si="107"/>
        <v>-1</v>
      </c>
    </row>
    <row r="204" spans="1:26" s="27" customFormat="1" outlineLevel="1" collapsed="1" x14ac:dyDescent="0.25">
      <c r="A204" s="28"/>
      <c r="B204" s="14" t="str">
        <f>CONCATENATE("     ","Telephone/Data Lines                              ")</f>
        <v xml:space="preserve">     Telephone/Data Lines                              </v>
      </c>
      <c r="C204" s="14"/>
      <c r="D204" s="1">
        <f>SUM(OSRRefD22_21x_0)</f>
        <v>1789.27</v>
      </c>
      <c r="E204" s="1"/>
      <c r="F204" s="5">
        <f t="shared" ref="F204:F206" si="108">IF(D$12=0,0,D204/D$12)</f>
        <v>5.0840434055529835E-3</v>
      </c>
      <c r="G204" s="1"/>
      <c r="H204" s="1">
        <f>SUM(OSRRefH22_21x_0)</f>
        <v>2365</v>
      </c>
      <c r="I204" s="1"/>
      <c r="J204" s="5">
        <f t="shared" ref="J204:J206" si="109">IF(H$12=0,0,H204/H$12)</f>
        <v>6.116652200406178E-3</v>
      </c>
      <c r="K204" s="1"/>
      <c r="L204" s="1">
        <f t="shared" ref="L204:L206" si="110">+D204-H204</f>
        <v>-575.73</v>
      </c>
      <c r="M204" s="1"/>
      <c r="N204" s="5">
        <f t="shared" ref="N204:N206" si="111">IF(H204=0,0,L204/H204)</f>
        <v>-0.24343763213530656</v>
      </c>
      <c r="O204" s="14"/>
      <c r="P204" s="1">
        <f>SUM(OSRRefP22_21x_0)</f>
        <v>1789.27</v>
      </c>
      <c r="Q204" s="1"/>
      <c r="R204" s="5">
        <f t="shared" ref="R204:R206" si="112">IF(P$12=0,0,P204/P$12)</f>
        <v>5.0840434055529835E-3</v>
      </c>
      <c r="S204" s="1"/>
      <c r="T204" s="1">
        <f>SUM(OSRRefT22_21x_0)</f>
        <v>2365</v>
      </c>
      <c r="U204" s="1"/>
      <c r="V204" s="5">
        <f t="shared" ref="V204:V206" si="113">IF(T$12=0,0,T204/T$12)</f>
        <v>6.116652200406178E-3</v>
      </c>
      <c r="W204" s="1"/>
      <c r="X204" s="1">
        <f t="shared" ref="X204:X206" si="114">+P204-T204</f>
        <v>-575.73</v>
      </c>
      <c r="Y204" s="1"/>
      <c r="Z204" s="5">
        <f t="shared" ref="Z204:Z206" si="115">IF(T204=0,0,X204/T204)</f>
        <v>-0.24343763213530656</v>
      </c>
    </row>
    <row r="205" spans="1:26" s="24" customFormat="1" hidden="1" outlineLevel="2" x14ac:dyDescent="0.25">
      <c r="A205" s="29"/>
      <c r="B205" s="11" t="str">
        <f>CONCATENATE("          ", "6303", " - ", "DATA PHONE LINES")</f>
        <v xml:space="preserve">          6303 - DATA PHONE LINES</v>
      </c>
      <c r="C205" s="11"/>
      <c r="D205" s="7">
        <v>295</v>
      </c>
      <c r="E205" s="2"/>
      <c r="F205" s="6">
        <f t="shared" si="108"/>
        <v>8.3821491705451392E-4</v>
      </c>
      <c r="G205" s="2"/>
      <c r="H205" s="7">
        <v>850</v>
      </c>
      <c r="I205" s="2"/>
      <c r="J205" s="6">
        <f t="shared" si="109"/>
        <v>2.1983739409493662E-3</v>
      </c>
      <c r="K205" s="2"/>
      <c r="L205" s="7">
        <f t="shared" si="110"/>
        <v>-555</v>
      </c>
      <c r="M205" s="2"/>
      <c r="N205" s="6">
        <f t="shared" si="111"/>
        <v>-0.65294117647058825</v>
      </c>
      <c r="O205" s="11"/>
      <c r="P205" s="7">
        <v>295</v>
      </c>
      <c r="Q205" s="2"/>
      <c r="R205" s="6">
        <f t="shared" si="112"/>
        <v>8.3821491705451392E-4</v>
      </c>
      <c r="S205" s="2"/>
      <c r="T205" s="7">
        <v>850</v>
      </c>
      <c r="U205" s="2"/>
      <c r="V205" s="6">
        <f t="shared" si="113"/>
        <v>2.1983739409493662E-3</v>
      </c>
      <c r="W205" s="2"/>
      <c r="X205" s="7">
        <f t="shared" si="114"/>
        <v>-555</v>
      </c>
      <c r="Y205" s="2"/>
      <c r="Z205" s="6">
        <f t="shared" si="115"/>
        <v>-0.65294117647058825</v>
      </c>
    </row>
    <row r="206" spans="1:26" s="24" customFormat="1" hidden="1" outlineLevel="2" x14ac:dyDescent="0.25">
      <c r="A206" s="29"/>
      <c r="B206" s="11" t="str">
        <f>CONCATENATE("          ", "6309", " - ", "TELEPHONE")</f>
        <v xml:space="preserve">          6309 - TELEPHONE</v>
      </c>
      <c r="C206" s="11"/>
      <c r="D206" s="7">
        <v>1494.27</v>
      </c>
      <c r="E206" s="2"/>
      <c r="F206" s="6">
        <f t="shared" si="108"/>
        <v>4.2458284884984692E-3</v>
      </c>
      <c r="G206" s="2"/>
      <c r="H206" s="7">
        <v>1515</v>
      </c>
      <c r="I206" s="2"/>
      <c r="J206" s="6">
        <f t="shared" si="109"/>
        <v>3.9182782594568118E-3</v>
      </c>
      <c r="K206" s="2"/>
      <c r="L206" s="7">
        <f t="shared" si="110"/>
        <v>-20.730000000000018</v>
      </c>
      <c r="M206" s="2"/>
      <c r="N206" s="6">
        <f t="shared" si="111"/>
        <v>-1.3683168316831695E-2</v>
      </c>
      <c r="O206" s="11"/>
      <c r="P206" s="7">
        <v>1494.27</v>
      </c>
      <c r="Q206" s="2"/>
      <c r="R206" s="6">
        <f t="shared" si="112"/>
        <v>4.2458284884984692E-3</v>
      </c>
      <c r="S206" s="2"/>
      <c r="T206" s="7">
        <v>1515</v>
      </c>
      <c r="U206" s="2"/>
      <c r="V206" s="6">
        <f t="shared" si="113"/>
        <v>3.9182782594568118E-3</v>
      </c>
      <c r="W206" s="2"/>
      <c r="X206" s="7">
        <f t="shared" si="114"/>
        <v>-20.730000000000018</v>
      </c>
      <c r="Y206" s="2"/>
      <c r="Z206" s="6">
        <f t="shared" si="115"/>
        <v>-1.3683168316831695E-2</v>
      </c>
    </row>
    <row r="207" spans="1:26" s="27" customFormat="1" outlineLevel="1" collapsed="1" x14ac:dyDescent="0.25">
      <c r="A207" s="28"/>
      <c r="B207" s="14" t="str">
        <f>CONCATENATE("     ","Training                                          ")</f>
        <v xml:space="preserve">     Training                                          </v>
      </c>
      <c r="C207" s="14"/>
      <c r="D207" s="1">
        <f>SUM(OSRRefD22_22x_0)</f>
        <v>791.67</v>
      </c>
      <c r="E207" s="1"/>
      <c r="F207" s="5">
        <f t="shared" ref="F207:F212" si="116">IF(D$12=0,0,D207/D$12)</f>
        <v>2.2494562826594813E-3</v>
      </c>
      <c r="G207" s="1"/>
      <c r="H207" s="1">
        <f>SUM(OSRRefH22_22x_0)</f>
        <v>1700</v>
      </c>
      <c r="I207" s="1"/>
      <c r="J207" s="5">
        <f t="shared" ref="J207:J212" si="117">IF(H$12=0,0,H207/H$12)</f>
        <v>4.3967478818987323E-3</v>
      </c>
      <c r="K207" s="1"/>
      <c r="L207" s="1">
        <f t="shared" ref="L207:L212" si="118">+D207-H207</f>
        <v>-908.33</v>
      </c>
      <c r="M207" s="1"/>
      <c r="N207" s="5">
        <f t="shared" ref="N207:N212" si="119">IF(H207=0,0,L207/H207)</f>
        <v>-0.53431176470588237</v>
      </c>
      <c r="O207" s="14"/>
      <c r="P207" s="1">
        <f>SUM(OSRRefP22_22x_0)</f>
        <v>791.67</v>
      </c>
      <c r="Q207" s="1"/>
      <c r="R207" s="5">
        <f t="shared" ref="R207:R212" si="120">IF(P$12=0,0,P207/P$12)</f>
        <v>2.2494562826594813E-3</v>
      </c>
      <c r="S207" s="1"/>
      <c r="T207" s="1">
        <f>SUM(OSRRefT22_22x_0)</f>
        <v>1700</v>
      </c>
      <c r="U207" s="1"/>
      <c r="V207" s="5">
        <f t="shared" ref="V207:V212" si="121">IF(T$12=0,0,T207/T$12)</f>
        <v>4.3967478818987323E-3</v>
      </c>
      <c r="W207" s="1"/>
      <c r="X207" s="1">
        <f t="shared" ref="X207:X212" si="122">+P207-T207</f>
        <v>-908.33</v>
      </c>
      <c r="Y207" s="1"/>
      <c r="Z207" s="5">
        <f t="shared" ref="Z207:Z212" si="123">IF(T207=0,0,X207/T207)</f>
        <v>-0.53431176470588237</v>
      </c>
    </row>
    <row r="208" spans="1:26" s="24" customFormat="1" hidden="1" outlineLevel="2" x14ac:dyDescent="0.25">
      <c r="A208" s="29"/>
      <c r="B208" s="11" t="str">
        <f>CONCATENATE("          ", "6376", " - ", "TRAINING")</f>
        <v xml:space="preserve">          6376 - TRAINING</v>
      </c>
      <c r="C208" s="11"/>
      <c r="D208" s="7">
        <v>791.67</v>
      </c>
      <c r="E208" s="2"/>
      <c r="F208" s="6">
        <f t="shared" si="116"/>
        <v>2.2494562826594813E-3</v>
      </c>
      <c r="G208" s="2"/>
      <c r="H208" s="7">
        <v>1700</v>
      </c>
      <c r="I208" s="2"/>
      <c r="J208" s="6">
        <f t="shared" si="117"/>
        <v>4.3967478818987323E-3</v>
      </c>
      <c r="K208" s="2"/>
      <c r="L208" s="7">
        <f t="shared" si="118"/>
        <v>-908.33</v>
      </c>
      <c r="M208" s="2"/>
      <c r="N208" s="6">
        <f t="shared" si="119"/>
        <v>-0.53431176470588237</v>
      </c>
      <c r="O208" s="11"/>
      <c r="P208" s="7">
        <v>791.67</v>
      </c>
      <c r="Q208" s="2"/>
      <c r="R208" s="6">
        <f t="shared" si="120"/>
        <v>2.2494562826594813E-3</v>
      </c>
      <c r="S208" s="2"/>
      <c r="T208" s="7">
        <v>1700</v>
      </c>
      <c r="U208" s="2"/>
      <c r="V208" s="6">
        <f t="shared" si="121"/>
        <v>4.3967478818987323E-3</v>
      </c>
      <c r="W208" s="2"/>
      <c r="X208" s="7">
        <f t="shared" si="122"/>
        <v>-908.33</v>
      </c>
      <c r="Y208" s="2"/>
      <c r="Z208" s="6">
        <f t="shared" si="123"/>
        <v>-0.53431176470588237</v>
      </c>
    </row>
    <row r="209" spans="1:26" s="27" customFormat="1" outlineLevel="1" collapsed="1" x14ac:dyDescent="0.25">
      <c r="A209" s="28"/>
      <c r="B209" s="14" t="str">
        <f>CONCATENATE("     ","Travel                                            ")</f>
        <v xml:space="preserve">     Travel                                            </v>
      </c>
      <c r="C209" s="14"/>
      <c r="D209" s="1">
        <f>SUM(OSRRefD22_23x_0)</f>
        <v>221.68</v>
      </c>
      <c r="E209" s="1"/>
      <c r="F209" s="5">
        <f t="shared" si="116"/>
        <v>6.2988299258523613E-4</v>
      </c>
      <c r="G209" s="1"/>
      <c r="H209" s="1">
        <f>SUM(OSRRefH22_23x_0)</f>
        <v>560</v>
      </c>
      <c r="I209" s="1"/>
      <c r="J209" s="5">
        <f t="shared" si="117"/>
        <v>1.448340478743112E-3</v>
      </c>
      <c r="K209" s="1"/>
      <c r="L209" s="1">
        <f t="shared" si="118"/>
        <v>-338.32</v>
      </c>
      <c r="M209" s="1"/>
      <c r="N209" s="5">
        <f t="shared" si="119"/>
        <v>-0.60414285714285709</v>
      </c>
      <c r="O209" s="14"/>
      <c r="P209" s="1">
        <f>SUM(OSRRefP22_23x_0)</f>
        <v>221.68</v>
      </c>
      <c r="Q209" s="1"/>
      <c r="R209" s="5">
        <f t="shared" si="120"/>
        <v>6.2988299258523613E-4</v>
      </c>
      <c r="S209" s="1"/>
      <c r="T209" s="1">
        <f>SUM(OSRRefT22_23x_0)</f>
        <v>560</v>
      </c>
      <c r="U209" s="1"/>
      <c r="V209" s="5">
        <f t="shared" si="121"/>
        <v>1.448340478743112E-3</v>
      </c>
      <c r="W209" s="1"/>
      <c r="X209" s="1">
        <f t="shared" si="122"/>
        <v>-338.32</v>
      </c>
      <c r="Y209" s="1"/>
      <c r="Z209" s="5">
        <f t="shared" si="123"/>
        <v>-0.60414285714285709</v>
      </c>
    </row>
    <row r="210" spans="1:26" s="24" customFormat="1" hidden="1" outlineLevel="2" x14ac:dyDescent="0.25">
      <c r="A210" s="29"/>
      <c r="B210" s="11" t="str">
        <f>CONCATENATE("          ", "6292", " - ", "TRAVEL/CONFERENCE")</f>
        <v xml:space="preserve">          6292 - TRAVEL/CONFERENCE</v>
      </c>
      <c r="C210" s="11"/>
      <c r="D210" s="7">
        <v>150.47999999999999</v>
      </c>
      <c r="E210" s="2"/>
      <c r="F210" s="6">
        <f t="shared" si="116"/>
        <v>4.2757484989275677E-4</v>
      </c>
      <c r="G210" s="2"/>
      <c r="H210" s="7"/>
      <c r="I210" s="2"/>
      <c r="J210" s="6">
        <f t="shared" si="117"/>
        <v>0</v>
      </c>
      <c r="K210" s="2"/>
      <c r="L210" s="7">
        <f t="shared" si="118"/>
        <v>150.47999999999999</v>
      </c>
      <c r="M210" s="2"/>
      <c r="N210" s="6">
        <f t="shared" si="119"/>
        <v>0</v>
      </c>
      <c r="O210" s="11"/>
      <c r="P210" s="7">
        <v>150.47999999999999</v>
      </c>
      <c r="Q210" s="2"/>
      <c r="R210" s="6">
        <f t="shared" si="120"/>
        <v>4.2757484989275677E-4</v>
      </c>
      <c r="S210" s="2"/>
      <c r="T210" s="7"/>
      <c r="U210" s="2"/>
      <c r="V210" s="6">
        <f t="shared" si="121"/>
        <v>0</v>
      </c>
      <c r="W210" s="2"/>
      <c r="X210" s="7">
        <f t="shared" si="122"/>
        <v>150.47999999999999</v>
      </c>
      <c r="Y210" s="2"/>
      <c r="Z210" s="6">
        <f t="shared" si="123"/>
        <v>0</v>
      </c>
    </row>
    <row r="211" spans="1:26" s="24" customFormat="1" hidden="1" outlineLevel="2" x14ac:dyDescent="0.25">
      <c r="A211" s="29"/>
      <c r="B211" s="11" t="str">
        <f>CONCATENATE("          ", "6294", " - ", "TRAVEL OPERATIONAL")</f>
        <v xml:space="preserve">          6294 - TRAVEL OPERATIONAL</v>
      </c>
      <c r="C211" s="11"/>
      <c r="D211" s="7"/>
      <c r="E211" s="2"/>
      <c r="F211" s="6">
        <f t="shared" si="116"/>
        <v>0</v>
      </c>
      <c r="G211" s="2"/>
      <c r="H211" s="7">
        <v>110</v>
      </c>
      <c r="I211" s="2"/>
      <c r="J211" s="6">
        <f t="shared" si="117"/>
        <v>2.8449545118168268E-4</v>
      </c>
      <c r="K211" s="2"/>
      <c r="L211" s="7">
        <f t="shared" si="118"/>
        <v>-110</v>
      </c>
      <c r="M211" s="2"/>
      <c r="N211" s="6">
        <f t="shared" si="119"/>
        <v>-1</v>
      </c>
      <c r="O211" s="11"/>
      <c r="P211" s="7"/>
      <c r="Q211" s="2"/>
      <c r="R211" s="6">
        <f t="shared" si="120"/>
        <v>0</v>
      </c>
      <c r="S211" s="2"/>
      <c r="T211" s="7">
        <v>110</v>
      </c>
      <c r="U211" s="2"/>
      <c r="V211" s="6">
        <f t="shared" si="121"/>
        <v>2.8449545118168268E-4</v>
      </c>
      <c r="W211" s="2"/>
      <c r="X211" s="7">
        <f t="shared" si="122"/>
        <v>-110</v>
      </c>
      <c r="Y211" s="2"/>
      <c r="Z211" s="6">
        <f t="shared" si="123"/>
        <v>-1</v>
      </c>
    </row>
    <row r="212" spans="1:26" s="24" customFormat="1" hidden="1" outlineLevel="2" x14ac:dyDescent="0.25">
      <c r="A212" s="29"/>
      <c r="B212" s="11" t="str">
        <f>CONCATENATE("          ", "6298", " - ", "VEHICLE MILEAGE")</f>
        <v xml:space="preserve">          6298 - VEHICLE MILEAGE</v>
      </c>
      <c r="C212" s="11"/>
      <c r="D212" s="7">
        <v>71.2</v>
      </c>
      <c r="E212" s="2"/>
      <c r="F212" s="6">
        <f t="shared" si="116"/>
        <v>2.0230814269247931E-4</v>
      </c>
      <c r="G212" s="2"/>
      <c r="H212" s="7">
        <v>450</v>
      </c>
      <c r="I212" s="2"/>
      <c r="J212" s="6">
        <f t="shared" si="117"/>
        <v>1.1638450275614292E-3</v>
      </c>
      <c r="K212" s="2"/>
      <c r="L212" s="7">
        <f t="shared" si="118"/>
        <v>-378.8</v>
      </c>
      <c r="M212" s="2"/>
      <c r="N212" s="6">
        <f t="shared" si="119"/>
        <v>-0.84177777777777785</v>
      </c>
      <c r="O212" s="11"/>
      <c r="P212" s="7">
        <v>71.2</v>
      </c>
      <c r="Q212" s="2"/>
      <c r="R212" s="6">
        <f t="shared" si="120"/>
        <v>2.0230814269247931E-4</v>
      </c>
      <c r="S212" s="2"/>
      <c r="T212" s="7">
        <v>450</v>
      </c>
      <c r="U212" s="2"/>
      <c r="V212" s="6">
        <f t="shared" si="121"/>
        <v>1.1638450275614292E-3</v>
      </c>
      <c r="W212" s="2"/>
      <c r="X212" s="7">
        <f t="shared" si="122"/>
        <v>-378.8</v>
      </c>
      <c r="Y212" s="2"/>
      <c r="Z212" s="6">
        <f t="shared" si="123"/>
        <v>-0.84177777777777785</v>
      </c>
    </row>
    <row r="213" spans="1:26" s="27" customFormat="1" outlineLevel="1" collapsed="1" x14ac:dyDescent="0.25">
      <c r="A213" s="28"/>
      <c r="B213" s="14" t="str">
        <f>CONCATENATE("     ","Utilities                                         ")</f>
        <v xml:space="preserve">     Utilities                                         </v>
      </c>
      <c r="C213" s="14"/>
      <c r="D213" s="1">
        <f>SUM(OSRRefD22_24x_0)</f>
        <v>5636</v>
      </c>
      <c r="E213" s="1"/>
      <c r="F213" s="5">
        <f t="shared" ref="F213:F214" si="124">IF(D$12=0,0,D213/D$12)</f>
        <v>1.6014167025488951E-2</v>
      </c>
      <c r="G213" s="1"/>
      <c r="H213" s="1">
        <f>SUM(OSRRefH22_24x_0)</f>
        <v>5100</v>
      </c>
      <c r="I213" s="1"/>
      <c r="J213" s="5">
        <f t="shared" ref="J213:J214" si="125">IF(H$12=0,0,H213/H$12)</f>
        <v>1.3190243645696199E-2</v>
      </c>
      <c r="K213" s="1"/>
      <c r="L213" s="1">
        <f t="shared" ref="L213:L214" si="126">+D213-H213</f>
        <v>536</v>
      </c>
      <c r="M213" s="1"/>
      <c r="N213" s="5">
        <f t="shared" ref="N213:N214" si="127">IF(H213=0,0,L213/H213)</f>
        <v>0.10509803921568628</v>
      </c>
      <c r="O213" s="14"/>
      <c r="P213" s="1">
        <f>SUM(OSRRefP22_24x_0)</f>
        <v>5636</v>
      </c>
      <c r="Q213" s="1"/>
      <c r="R213" s="5">
        <f t="shared" ref="R213:R214" si="128">IF(P$12=0,0,P213/P$12)</f>
        <v>1.6014167025488951E-2</v>
      </c>
      <c r="S213" s="1"/>
      <c r="T213" s="1">
        <f>SUM(OSRRefT22_24x_0)</f>
        <v>5100</v>
      </c>
      <c r="U213" s="1"/>
      <c r="V213" s="5">
        <f t="shared" ref="V213:V214" si="129">IF(T$12=0,0,T213/T$12)</f>
        <v>1.3190243645696199E-2</v>
      </c>
      <c r="W213" s="1"/>
      <c r="X213" s="1">
        <f t="shared" ref="X213:X214" si="130">+P213-T213</f>
        <v>536</v>
      </c>
      <c r="Y213" s="1"/>
      <c r="Z213" s="5">
        <f t="shared" ref="Z213:Z214" si="131">IF(T213=0,0,X213/T213)</f>
        <v>0.10509803921568628</v>
      </c>
    </row>
    <row r="214" spans="1:26" s="24" customFormat="1" hidden="1" outlineLevel="2" x14ac:dyDescent="0.25">
      <c r="A214" s="29"/>
      <c r="B214" s="11" t="str">
        <f>CONCATENATE("          ", "6274", " - ", "UTILITIES")</f>
        <v xml:space="preserve">          6274 - UTILITIES</v>
      </c>
      <c r="C214" s="11"/>
      <c r="D214" s="7">
        <v>5636</v>
      </c>
      <c r="E214" s="2"/>
      <c r="F214" s="6">
        <f t="shared" si="124"/>
        <v>1.6014167025488951E-2</v>
      </c>
      <c r="G214" s="2"/>
      <c r="H214" s="7">
        <v>5100</v>
      </c>
      <c r="I214" s="2"/>
      <c r="J214" s="6">
        <f t="shared" si="125"/>
        <v>1.3190243645696199E-2</v>
      </c>
      <c r="K214" s="2"/>
      <c r="L214" s="7">
        <f t="shared" si="126"/>
        <v>536</v>
      </c>
      <c r="M214" s="2"/>
      <c r="N214" s="6">
        <f t="shared" si="127"/>
        <v>0.10509803921568628</v>
      </c>
      <c r="O214" s="11"/>
      <c r="P214" s="7">
        <v>5636</v>
      </c>
      <c r="Q214" s="2"/>
      <c r="R214" s="6">
        <f t="shared" si="128"/>
        <v>1.6014167025488951E-2</v>
      </c>
      <c r="S214" s="2"/>
      <c r="T214" s="7">
        <v>5100</v>
      </c>
      <c r="U214" s="2"/>
      <c r="V214" s="6">
        <f t="shared" si="129"/>
        <v>1.3190243645696199E-2</v>
      </c>
      <c r="W214" s="2"/>
      <c r="X214" s="7">
        <f t="shared" si="130"/>
        <v>536</v>
      </c>
      <c r="Y214" s="2"/>
      <c r="Z214" s="6">
        <f t="shared" si="131"/>
        <v>0.10509803921568628</v>
      </c>
    </row>
    <row r="215" spans="1:26" s="57" customFormat="1" x14ac:dyDescent="0.25">
      <c r="A215" s="36"/>
      <c r="B215" s="36"/>
      <c r="C215" s="36"/>
      <c r="D215" s="1"/>
      <c r="E215" s="1"/>
      <c r="F215" s="5"/>
      <c r="G215" s="1"/>
      <c r="H215" s="1"/>
      <c r="I215" s="1"/>
      <c r="J215" s="5"/>
      <c r="K215" s="1"/>
      <c r="L215" s="1"/>
      <c r="M215" s="1"/>
      <c r="N215" s="5"/>
      <c r="O215" s="36"/>
      <c r="P215" s="1"/>
      <c r="Q215" s="1"/>
      <c r="R215" s="5"/>
      <c r="S215" s="1"/>
      <c r="T215" s="1"/>
      <c r="U215" s="1"/>
      <c r="V215" s="5"/>
      <c r="W215" s="1"/>
      <c r="X215" s="1"/>
      <c r="Y215" s="1"/>
      <c r="Z215" s="5"/>
    </row>
    <row r="216" spans="1:26" s="23" customFormat="1" collapsed="1" x14ac:dyDescent="0.25">
      <c r="A216" s="10"/>
      <c r="B216" s="25" t="s">
        <v>0</v>
      </c>
      <c r="C216" s="10"/>
      <c r="D216" s="4">
        <f>SUM(OSRRefD25x_0)</f>
        <v>70867.109999999986</v>
      </c>
      <c r="E216" s="4"/>
      <c r="F216" s="12">
        <f t="shared" ref="F216:F221" si="132">IF(D$12=0,0,D216/D$12)</f>
        <v>0.20136226688319694</v>
      </c>
      <c r="G216" s="4"/>
      <c r="H216" s="4">
        <f>SUM(OSRRefH25x_0)</f>
        <v>59675</v>
      </c>
      <c r="I216" s="4"/>
      <c r="J216" s="12">
        <f t="shared" ref="J216:J221" si="133">IF(H$12=0,0,H216/H$12)</f>
        <v>0.15433878226606287</v>
      </c>
      <c r="K216" s="4"/>
      <c r="L216" s="4">
        <f t="shared" ref="L216:L221" si="134">+D216-H216</f>
        <v>11192.109999999986</v>
      </c>
      <c r="M216" s="4"/>
      <c r="N216" s="12">
        <f t="shared" ref="N216:N221" si="135">IF(H216=0,0,L216/H216)</f>
        <v>0.18755106828655194</v>
      </c>
      <c r="O216" s="10"/>
      <c r="P216" s="4">
        <f>SUM(OSRRefP25x_0)</f>
        <v>70867.109999999986</v>
      </c>
      <c r="Q216" s="4"/>
      <c r="R216" s="12">
        <f t="shared" ref="R216:R221" si="136">IF(P$12=0,0,P216/P$12)</f>
        <v>0.20136226688319694</v>
      </c>
      <c r="S216" s="4"/>
      <c r="T216" s="4">
        <f>SUM(OSRRefT25x_0)</f>
        <v>59675</v>
      </c>
      <c r="U216" s="4"/>
      <c r="V216" s="12">
        <f t="shared" ref="V216:V221" si="137">IF(T$12=0,0,T216/T$12)</f>
        <v>0.15433878226606287</v>
      </c>
      <c r="W216" s="4"/>
      <c r="X216" s="4">
        <f t="shared" ref="X216:X221" si="138">+P216-T216</f>
        <v>11192.109999999986</v>
      </c>
      <c r="Y216" s="4"/>
      <c r="Z216" s="12">
        <f t="shared" ref="Z216:Z221" si="139">IF(T216=0,0,X216/T216)</f>
        <v>0.18755106828655194</v>
      </c>
    </row>
    <row r="217" spans="1:26" s="24" customFormat="1" hidden="1" outlineLevel="1" x14ac:dyDescent="0.25">
      <c r="A217" s="51"/>
      <c r="B217" s="11" t="str">
        <f>CONCATENATE("          ", "4098", " - ", "TAXABLE SALES-GRAD RENTALS")</f>
        <v xml:space="preserve">          4098 - TAXABLE SALES-GRAD RENTALS</v>
      </c>
      <c r="C217" s="11"/>
      <c r="D217" s="2">
        <f>--74.7</f>
        <v>74.7</v>
      </c>
      <c r="E217" s="2"/>
      <c r="F217" s="22">
        <f t="shared" si="132"/>
        <v>2.1225306543719386E-4</v>
      </c>
      <c r="G217" s="2"/>
      <c r="H217" s="2"/>
      <c r="I217" s="2"/>
      <c r="J217" s="22">
        <f t="shared" si="133"/>
        <v>0</v>
      </c>
      <c r="K217" s="2"/>
      <c r="L217" s="2">
        <f t="shared" si="134"/>
        <v>74.7</v>
      </c>
      <c r="M217" s="2"/>
      <c r="N217" s="22">
        <f t="shared" si="135"/>
        <v>0</v>
      </c>
      <c r="O217" s="11"/>
      <c r="P217" s="2">
        <f>--74.7</f>
        <v>74.7</v>
      </c>
      <c r="Q217" s="2"/>
      <c r="R217" s="22">
        <f t="shared" si="136"/>
        <v>2.1225306543719386E-4</v>
      </c>
      <c r="S217" s="2"/>
      <c r="T217" s="2"/>
      <c r="U217" s="2"/>
      <c r="V217" s="22">
        <f t="shared" si="137"/>
        <v>0</v>
      </c>
      <c r="W217" s="2"/>
      <c r="X217" s="2">
        <f t="shared" si="138"/>
        <v>74.7</v>
      </c>
      <c r="Y217" s="2"/>
      <c r="Z217" s="22">
        <f t="shared" si="139"/>
        <v>0</v>
      </c>
    </row>
    <row r="218" spans="1:26" s="24" customFormat="1" hidden="1" outlineLevel="1" x14ac:dyDescent="0.25">
      <c r="A218" s="51"/>
      <c r="B218" s="11" t="str">
        <f>CONCATENATE("          ", "4198", " - ", "NON-TAXABLE SALES-GRAD RENTALS")</f>
        <v xml:space="preserve">          4198 - NON-TAXABLE SALES-GRAD RENTALS</v>
      </c>
      <c r="C218" s="11"/>
      <c r="D218" s="2">
        <f>--255</f>
        <v>255</v>
      </c>
      <c r="E218" s="2"/>
      <c r="F218" s="22">
        <f t="shared" si="132"/>
        <v>7.2455865711491883E-4</v>
      </c>
      <c r="G218" s="2"/>
      <c r="H218" s="2"/>
      <c r="I218" s="2"/>
      <c r="J218" s="22">
        <f t="shared" si="133"/>
        <v>0</v>
      </c>
      <c r="K218" s="2"/>
      <c r="L218" s="2">
        <f t="shared" si="134"/>
        <v>255</v>
      </c>
      <c r="M218" s="2"/>
      <c r="N218" s="22">
        <f t="shared" si="135"/>
        <v>0</v>
      </c>
      <c r="O218" s="11"/>
      <c r="P218" s="2">
        <f>--255</f>
        <v>255</v>
      </c>
      <c r="Q218" s="2"/>
      <c r="R218" s="22">
        <f t="shared" si="136"/>
        <v>7.2455865711491883E-4</v>
      </c>
      <c r="S218" s="2"/>
      <c r="T218" s="2"/>
      <c r="U218" s="2"/>
      <c r="V218" s="22">
        <f t="shared" si="137"/>
        <v>0</v>
      </c>
      <c r="W218" s="2"/>
      <c r="X218" s="2">
        <f t="shared" si="138"/>
        <v>255</v>
      </c>
      <c r="Y218" s="2"/>
      <c r="Z218" s="22">
        <f t="shared" si="139"/>
        <v>0</v>
      </c>
    </row>
    <row r="219" spans="1:26" s="24" customFormat="1" hidden="1" outlineLevel="1" x14ac:dyDescent="0.25">
      <c r="A219" s="51"/>
      <c r="B219" s="11" t="str">
        <f>CONCATENATE("          ", "9150", " - ", "MISC. INCOME")</f>
        <v xml:space="preserve">          9150 - MISC. INCOME</v>
      </c>
      <c r="C219" s="11"/>
      <c r="D219" s="2">
        <f>--70631.9</f>
        <v>70631.899999999994</v>
      </c>
      <c r="E219" s="2"/>
      <c r="F219" s="22">
        <f t="shared" si="132"/>
        <v>0.20069393966068716</v>
      </c>
      <c r="G219" s="2"/>
      <c r="H219" s="2">
        <v>29225</v>
      </c>
      <c r="I219" s="2"/>
      <c r="J219" s="22">
        <f t="shared" si="133"/>
        <v>7.5585268734406158E-2</v>
      </c>
      <c r="K219" s="2"/>
      <c r="L219" s="2">
        <f t="shared" si="134"/>
        <v>41406.899999999994</v>
      </c>
      <c r="M219" s="2"/>
      <c r="N219" s="22">
        <f t="shared" si="135"/>
        <v>1.416831479897348</v>
      </c>
      <c r="O219" s="11"/>
      <c r="P219" s="2">
        <f>--70631.9</f>
        <v>70631.899999999994</v>
      </c>
      <c r="Q219" s="2"/>
      <c r="R219" s="22">
        <f t="shared" si="136"/>
        <v>0.20069393966068716</v>
      </c>
      <c r="S219" s="2"/>
      <c r="T219" s="2">
        <v>29225</v>
      </c>
      <c r="U219" s="2"/>
      <c r="V219" s="22">
        <f t="shared" si="137"/>
        <v>7.5585268734406158E-2</v>
      </c>
      <c r="W219" s="2"/>
      <c r="X219" s="2">
        <f t="shared" si="138"/>
        <v>41406.899999999994</v>
      </c>
      <c r="Y219" s="2"/>
      <c r="Z219" s="22">
        <f t="shared" si="139"/>
        <v>1.416831479897348</v>
      </c>
    </row>
    <row r="220" spans="1:26" s="24" customFormat="1" hidden="1" outlineLevel="1" x14ac:dyDescent="0.25">
      <c r="A220" s="51"/>
      <c r="B220" s="11" t="str">
        <f>CONCATENATE("          ", "9151", " - ", "MISC. INCOME")</f>
        <v xml:space="preserve">          9151 - MISC. INCOME</v>
      </c>
      <c r="C220" s="11"/>
      <c r="D220" s="2">
        <f>-94.49</f>
        <v>-94.49</v>
      </c>
      <c r="E220" s="2"/>
      <c r="F220" s="22">
        <f t="shared" si="132"/>
        <v>-2.6848450004230854E-4</v>
      </c>
      <c r="G220" s="2"/>
      <c r="H220" s="2">
        <v>12850</v>
      </c>
      <c r="I220" s="2"/>
      <c r="J220" s="22">
        <f t="shared" si="133"/>
        <v>3.3234241342587477E-2</v>
      </c>
      <c r="K220" s="2"/>
      <c r="L220" s="2">
        <f t="shared" si="134"/>
        <v>-12944.49</v>
      </c>
      <c r="M220" s="2"/>
      <c r="N220" s="22">
        <f t="shared" si="135"/>
        <v>-1.0073533073929961</v>
      </c>
      <c r="O220" s="11"/>
      <c r="P220" s="2">
        <f>-94.49</f>
        <v>-94.49</v>
      </c>
      <c r="Q220" s="2"/>
      <c r="R220" s="22">
        <f t="shared" si="136"/>
        <v>-2.6848450004230854E-4</v>
      </c>
      <c r="S220" s="2"/>
      <c r="T220" s="2">
        <v>12850</v>
      </c>
      <c r="U220" s="2"/>
      <c r="V220" s="22">
        <f t="shared" si="137"/>
        <v>3.3234241342587477E-2</v>
      </c>
      <c r="W220" s="2"/>
      <c r="X220" s="2">
        <f t="shared" si="138"/>
        <v>-12944.49</v>
      </c>
      <c r="Y220" s="2"/>
      <c r="Z220" s="22">
        <f t="shared" si="139"/>
        <v>-1.0073533073929961</v>
      </c>
    </row>
    <row r="221" spans="1:26" s="24" customFormat="1" hidden="1" outlineLevel="1" x14ac:dyDescent="0.25">
      <c r="A221" s="51"/>
      <c r="B221" s="11" t="str">
        <f>CONCATENATE("          ", "9160", " - ", "MISC. INCOME")</f>
        <v xml:space="preserve">          9160 - MISC. INCOME</v>
      </c>
      <c r="C221" s="11"/>
      <c r="D221" s="2">
        <f>0</f>
        <v>0</v>
      </c>
      <c r="E221" s="2"/>
      <c r="F221" s="22">
        <f t="shared" si="132"/>
        <v>0</v>
      </c>
      <c r="G221" s="2"/>
      <c r="H221" s="2">
        <v>17600</v>
      </c>
      <c r="I221" s="2"/>
      <c r="J221" s="22">
        <f t="shared" si="133"/>
        <v>4.5519272189069232E-2</v>
      </c>
      <c r="K221" s="2"/>
      <c r="L221" s="2">
        <f t="shared" si="134"/>
        <v>-17600</v>
      </c>
      <c r="M221" s="2"/>
      <c r="N221" s="22">
        <f t="shared" si="135"/>
        <v>-1</v>
      </c>
      <c r="O221" s="11"/>
      <c r="P221" s="2">
        <f>0</f>
        <v>0</v>
      </c>
      <c r="Q221" s="2"/>
      <c r="R221" s="22">
        <f t="shared" si="136"/>
        <v>0</v>
      </c>
      <c r="S221" s="2"/>
      <c r="T221" s="2">
        <v>17600</v>
      </c>
      <c r="U221" s="2"/>
      <c r="V221" s="22">
        <f t="shared" si="137"/>
        <v>4.5519272189069232E-2</v>
      </c>
      <c r="W221" s="2"/>
      <c r="X221" s="2">
        <f t="shared" si="138"/>
        <v>-17600</v>
      </c>
      <c r="Y221" s="2"/>
      <c r="Z221" s="22">
        <f t="shared" si="139"/>
        <v>-1</v>
      </c>
    </row>
    <row r="222" spans="1:26" x14ac:dyDescent="0.25">
      <c r="A222" s="9"/>
      <c r="B222" s="10"/>
      <c r="C222" s="10"/>
      <c r="D222" s="3"/>
      <c r="E222" s="3"/>
      <c r="F222" s="8"/>
      <c r="G222" s="3"/>
      <c r="H222" s="3"/>
      <c r="I222" s="3"/>
      <c r="J222" s="8"/>
      <c r="K222" s="3"/>
      <c r="L222" s="3"/>
      <c r="M222" s="3"/>
      <c r="N222" s="8"/>
      <c r="O222" s="10"/>
      <c r="P222" s="3"/>
      <c r="Q222" s="3"/>
      <c r="R222" s="8"/>
      <c r="S222" s="3"/>
      <c r="T222" s="3"/>
      <c r="U222" s="3"/>
      <c r="V222" s="8"/>
      <c r="W222" s="3"/>
      <c r="X222" s="3"/>
      <c r="Y222" s="3"/>
      <c r="Z222" s="8"/>
    </row>
    <row r="223" spans="1:26" s="23" customFormat="1" x14ac:dyDescent="0.25">
      <c r="A223" s="10"/>
      <c r="B223" s="26" t="s">
        <v>3</v>
      </c>
      <c r="C223" s="26"/>
      <c r="D223" s="21">
        <f>+D120-D122+D216</f>
        <v>-126882.22999999989</v>
      </c>
      <c r="E223" s="13"/>
      <c r="F223" s="19">
        <f>IF(D$12=0,0,D223/D$12)</f>
        <v>-0.36052399286488701</v>
      </c>
      <c r="G223" s="13"/>
      <c r="H223" s="21">
        <f>+H120-H122+H216</f>
        <v>-190783.15036823897</v>
      </c>
      <c r="I223" s="13"/>
      <c r="J223" s="19">
        <f>IF(H$12=0,0,H223/H$12)</f>
        <v>-0.49342671310795416</v>
      </c>
      <c r="K223" s="15"/>
      <c r="L223" s="21">
        <f>+D223-H223</f>
        <v>63900.92036823908</v>
      </c>
      <c r="M223" s="15"/>
      <c r="N223" s="19">
        <f>IF(H223=0,0,L223/H223)</f>
        <v>-0.3349400628142532</v>
      </c>
      <c r="O223" s="25"/>
      <c r="P223" s="21">
        <f>+P120-P122+P216</f>
        <v>-126882.22999999989</v>
      </c>
      <c r="Q223" s="13"/>
      <c r="R223" s="19">
        <f>IF(P$12=0,0,P223/P$12)</f>
        <v>-0.36052399286488701</v>
      </c>
      <c r="S223" s="13"/>
      <c r="T223" s="21">
        <f>+T120-T122+T216</f>
        <v>-190783.15036823897</v>
      </c>
      <c r="U223" s="13"/>
      <c r="V223" s="19">
        <f>IF(T$12=0,0,T223/T$12)</f>
        <v>-0.49342671310795416</v>
      </c>
      <c r="W223" s="15"/>
      <c r="X223" s="21">
        <f>+P223-T223</f>
        <v>63900.92036823908</v>
      </c>
      <c r="Y223" s="15"/>
      <c r="Z223" s="19">
        <f>IF(T223=0,0,X223/T223)</f>
        <v>-0.3349400628142532</v>
      </c>
    </row>
    <row r="224" spans="1:26" x14ac:dyDescent="0.25">
      <c r="A224" s="9"/>
      <c r="B224" s="10"/>
      <c r="C224" s="9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3" customFormat="1" x14ac:dyDescent="0.25">
      <c r="A225" s="52"/>
      <c r="B225" s="10" t="s">
        <v>14</v>
      </c>
      <c r="C225" s="10"/>
      <c r="D225" s="4">
        <v>73178.37000000001</v>
      </c>
      <c r="E225" s="4"/>
      <c r="F225" s="12">
        <f>IF(D$12=0,0,D225/D$12)</f>
        <v>0.20792949606689673</v>
      </c>
      <c r="G225" s="4"/>
      <c r="H225" s="4">
        <v>94229</v>
      </c>
      <c r="I225" s="4"/>
      <c r="J225" s="12">
        <f>IF(H$12=0,0,H225/H$12)</f>
        <v>0.24370656244907982</v>
      </c>
      <c r="K225" s="4"/>
      <c r="L225" s="4">
        <f>+D225-H225</f>
        <v>-21050.62999999999</v>
      </c>
      <c r="M225" s="4"/>
      <c r="N225" s="12">
        <f>IF(H225=0,0,L225/H225)</f>
        <v>-0.22339863523968195</v>
      </c>
      <c r="O225" s="10"/>
      <c r="P225" s="4">
        <v>73178.37000000001</v>
      </c>
      <c r="Q225" s="4"/>
      <c r="R225" s="12">
        <f>IF(P$12=0,0,P225/P$12)</f>
        <v>0.20792949606689673</v>
      </c>
      <c r="S225" s="4"/>
      <c r="T225" s="4">
        <v>94229</v>
      </c>
      <c r="U225" s="4"/>
      <c r="V225" s="12">
        <f>IF(T$12=0,0,T225/T$12)</f>
        <v>0.24370656244907982</v>
      </c>
      <c r="W225" s="4"/>
      <c r="X225" s="4">
        <f>+P225-T225</f>
        <v>-21050.62999999999</v>
      </c>
      <c r="Y225" s="4"/>
      <c r="Z225" s="12">
        <f>IF(T225=0,0,X225/T225)</f>
        <v>-0.22339863523968195</v>
      </c>
    </row>
    <row r="226" spans="1:26" x14ac:dyDescent="0.25">
      <c r="A226" s="9"/>
      <c r="B226" s="10"/>
      <c r="C226" s="10"/>
      <c r="D226" s="3"/>
      <c r="E226" s="3"/>
      <c r="F226" s="8"/>
      <c r="G226" s="3"/>
      <c r="H226" s="3"/>
      <c r="I226" s="3"/>
      <c r="J226" s="8"/>
      <c r="K226" s="3"/>
      <c r="L226" s="3"/>
      <c r="M226" s="3"/>
      <c r="N226" s="8"/>
      <c r="O226" s="10"/>
      <c r="P226" s="3"/>
      <c r="Q226" s="3"/>
      <c r="R226" s="8"/>
      <c r="S226" s="3"/>
      <c r="T226" s="3"/>
      <c r="U226" s="3"/>
      <c r="V226" s="8"/>
      <c r="W226" s="3"/>
      <c r="X226" s="3"/>
      <c r="Y226" s="3"/>
      <c r="Z226" s="8"/>
    </row>
    <row r="227" spans="1:26" s="23" customFormat="1" ht="15.75" thickBot="1" x14ac:dyDescent="0.3">
      <c r="A227" s="10"/>
      <c r="B227" s="26" t="s">
        <v>4</v>
      </c>
      <c r="C227" s="26"/>
      <c r="D227" s="32">
        <f>+D223-D225</f>
        <v>-200060.59999999992</v>
      </c>
      <c r="E227" s="13"/>
      <c r="F227" s="31">
        <f>IF(D$12=0,0,D227/D$12)</f>
        <v>-0.56845348893178382</v>
      </c>
      <c r="G227" s="13"/>
      <c r="H227" s="32">
        <f>+H223-H225</f>
        <v>-285012.15036823897</v>
      </c>
      <c r="I227" s="13"/>
      <c r="J227" s="31">
        <f>IF(H$12=0,0,H227/H$12)</f>
        <v>-0.73713327555703401</v>
      </c>
      <c r="K227" s="15"/>
      <c r="L227" s="32">
        <f>D227-H227</f>
        <v>84951.550368239055</v>
      </c>
      <c r="M227" s="15"/>
      <c r="N227" s="31">
        <f>IF(H227=0,0,L227/H227)</f>
        <v>-0.29806290804964164</v>
      </c>
      <c r="O227" s="25"/>
      <c r="P227" s="32">
        <f>+P223-P225</f>
        <v>-200060.59999999992</v>
      </c>
      <c r="Q227" s="13"/>
      <c r="R227" s="31">
        <f>IF(P$12=0,0,P227/P$12)</f>
        <v>-0.56845348893178382</v>
      </c>
      <c r="S227" s="13"/>
      <c r="T227" s="32">
        <f>+T223-T225</f>
        <v>-285012.15036823897</v>
      </c>
      <c r="U227" s="13"/>
      <c r="V227" s="31">
        <f>IF(T$12=0,0,T227/T$12)</f>
        <v>-0.73713327555703401</v>
      </c>
      <c r="W227" s="15"/>
      <c r="X227" s="32">
        <f>P227-T227</f>
        <v>84951.550368239055</v>
      </c>
      <c r="Y227" s="15"/>
      <c r="Z227" s="31">
        <f>IF(T227=0,0,X227/T227)</f>
        <v>-0.29806290804964164</v>
      </c>
    </row>
    <row r="228" spans="1:26" ht="15.75" thickTop="1" x14ac:dyDescent="0.25">
      <c r="A228" s="9"/>
      <c r="B228" s="9"/>
      <c r="C228" s="9"/>
      <c r="D228" s="3"/>
      <c r="E228" s="3"/>
      <c r="F228" s="8"/>
      <c r="G228" s="3"/>
      <c r="H228" s="3"/>
      <c r="I228" s="3"/>
      <c r="J228" s="8"/>
      <c r="K228" s="3"/>
      <c r="L228" s="3"/>
      <c r="M228" s="3"/>
      <c r="N228" s="8"/>
      <c r="P228" s="3"/>
      <c r="Q228" s="3"/>
      <c r="R228" s="8"/>
      <c r="S228" s="3"/>
      <c r="T228" s="3"/>
      <c r="U228" s="3"/>
      <c r="V228" s="8"/>
      <c r="W228" s="3"/>
      <c r="X228" s="3"/>
      <c r="Y228" s="3"/>
      <c r="Z228" s="8"/>
    </row>
    <row r="229" spans="1:26" x14ac:dyDescent="0.25">
      <c r="A229" s="9"/>
      <c r="B229" s="9"/>
      <c r="C229" s="9"/>
      <c r="D229" s="3"/>
      <c r="E229" s="3"/>
      <c r="F229" s="8"/>
      <c r="G229" s="3"/>
      <c r="H229" s="3"/>
      <c r="I229" s="3"/>
      <c r="J229" s="8"/>
      <c r="K229" s="3"/>
      <c r="L229" s="3"/>
      <c r="M229" s="3"/>
      <c r="N229" s="8"/>
      <c r="P229" s="3"/>
      <c r="Q229" s="3"/>
      <c r="R229" s="8"/>
      <c r="S229" s="3"/>
      <c r="T229" s="3"/>
      <c r="U229" s="3"/>
      <c r="V229" s="8"/>
      <c r="W229" s="3"/>
      <c r="X229" s="3"/>
      <c r="Y229" s="3"/>
      <c r="Z229" s="8"/>
    </row>
    <row r="230" spans="1:26" s="23" customFormat="1" ht="15.75" thickBot="1" x14ac:dyDescent="0.3">
      <c r="A230" s="10"/>
      <c r="B230" s="26" t="s">
        <v>5</v>
      </c>
      <c r="C230" s="26"/>
      <c r="D230" s="33">
        <f>SUM(D227:D229)</f>
        <v>-200060.59999999992</v>
      </c>
      <c r="E230" s="13"/>
      <c r="F230" s="34">
        <f>IF(D$12=0,0,D230/D$12)</f>
        <v>-0.56845348893178382</v>
      </c>
      <c r="G230" s="13"/>
      <c r="H230" s="33">
        <f>SUM(H227:H229)</f>
        <v>-285012.15036823897</v>
      </c>
      <c r="I230" s="13"/>
      <c r="J230" s="34">
        <f>IF(H$12=0,0,H230/H$12)</f>
        <v>-0.73713327555703401</v>
      </c>
      <c r="K230" s="15"/>
      <c r="L230" s="33">
        <f>+D230-H230</f>
        <v>84951.550368239055</v>
      </c>
      <c r="M230" s="15"/>
      <c r="N230" s="34">
        <f>IF(H230=0,0,L230/H230)</f>
        <v>-0.29806290804964164</v>
      </c>
      <c r="O230" s="25"/>
      <c r="P230" s="33">
        <f>SUM(P227:P229)</f>
        <v>-200060.59999999992</v>
      </c>
      <c r="Q230" s="13"/>
      <c r="R230" s="34">
        <f>IF(P$12=0,0,P230/P$12)</f>
        <v>-0.56845348893178382</v>
      </c>
      <c r="S230" s="13"/>
      <c r="T230" s="33">
        <f>SUM(T227:T229)</f>
        <v>-285012.15036823897</v>
      </c>
      <c r="U230" s="13"/>
      <c r="V230" s="34">
        <f>IF(T$12=0,0,T230/T$12)</f>
        <v>-0.73713327555703401</v>
      </c>
      <c r="W230" s="15"/>
      <c r="X230" s="33">
        <f>+P230-T230</f>
        <v>84951.550368239055</v>
      </c>
      <c r="Y230" s="15"/>
      <c r="Z230" s="34">
        <f>IF(T230=0,0,X230/T230)</f>
        <v>-0.29806290804964164</v>
      </c>
    </row>
    <row r="231" spans="1:26" ht="15.75" thickTop="1" x14ac:dyDescent="0.25">
      <c r="A231" s="9"/>
      <c r="C231" s="9"/>
      <c r="D231" s="17"/>
      <c r="E231" s="17"/>
      <c r="G231" s="17"/>
      <c r="H231" s="17"/>
      <c r="I231" s="17"/>
      <c r="J231" s="42"/>
      <c r="K231" s="17"/>
      <c r="L231" s="17"/>
      <c r="M231" s="17"/>
      <c r="P231" s="17"/>
      <c r="Q231" s="17"/>
      <c r="R231" s="42"/>
      <c r="S231" s="17"/>
      <c r="T231" s="17"/>
      <c r="U231" s="17"/>
      <c r="V231" s="42"/>
      <c r="W231" s="17"/>
      <c r="X231" s="17"/>
    </row>
    <row r="232" spans="1:26" x14ac:dyDescent="0.25">
      <c r="A232" s="9"/>
      <c r="B232" s="61">
        <v>43726.678142395831</v>
      </c>
      <c r="D232" s="17"/>
      <c r="E232" s="17"/>
      <c r="G232" s="17"/>
      <c r="H232" s="17"/>
      <c r="I232" s="17"/>
      <c r="J232" s="42"/>
      <c r="K232" s="17"/>
      <c r="L232" s="17"/>
      <c r="M232" s="17"/>
      <c r="P232" s="17"/>
      <c r="Q232" s="17"/>
      <c r="R232" s="42"/>
      <c r="S232" s="17"/>
      <c r="T232" s="17"/>
      <c r="U232" s="17"/>
      <c r="V232" s="42"/>
      <c r="W232" s="17"/>
      <c r="X232" s="17"/>
    </row>
    <row r="233" spans="1:26" x14ac:dyDescent="0.25">
      <c r="A233" s="9"/>
      <c r="B233" s="56" t="s">
        <v>314</v>
      </c>
      <c r="D233" s="17"/>
      <c r="E233" s="17"/>
      <c r="G233" s="17"/>
      <c r="H233" s="17"/>
      <c r="I233" s="17"/>
      <c r="J233" s="42"/>
      <c r="K233" s="17"/>
      <c r="L233" s="17"/>
      <c r="M233" s="17"/>
      <c r="P233" s="17"/>
      <c r="Q233" s="17"/>
      <c r="R233" s="42"/>
      <c r="S233" s="17"/>
      <c r="T233" s="17"/>
      <c r="U233" s="17"/>
      <c r="V233" s="42"/>
      <c r="W233" s="17"/>
      <c r="X233" s="17"/>
    </row>
    <row r="234" spans="1:26" x14ac:dyDescent="0.25">
      <c r="A234" s="9"/>
      <c r="B234" s="53"/>
      <c r="D234" s="17"/>
      <c r="E234" s="17"/>
      <c r="G234" s="17"/>
      <c r="H234" s="17"/>
      <c r="I234" s="17"/>
      <c r="J234" s="42"/>
      <c r="K234" s="17"/>
      <c r="L234" s="17"/>
      <c r="M234" s="17"/>
      <c r="P234" s="17"/>
      <c r="Q234" s="17"/>
      <c r="R234" s="42"/>
      <c r="S234" s="17"/>
      <c r="T234" s="17"/>
      <c r="U234" s="17"/>
      <c r="V234" s="42"/>
      <c r="W234" s="17"/>
      <c r="X234" s="17"/>
    </row>
    <row r="235" spans="1:26" x14ac:dyDescent="0.25">
      <c r="D235" s="17"/>
      <c r="E235" s="17"/>
      <c r="G235" s="17"/>
      <c r="H235" s="17"/>
      <c r="I235" s="17"/>
      <c r="J235" s="42"/>
      <c r="K235" s="17"/>
      <c r="L235" s="17"/>
      <c r="M235" s="17"/>
      <c r="P235" s="17"/>
      <c r="Q235" s="17"/>
      <c r="R235" s="42"/>
      <c r="S235" s="17"/>
      <c r="T235" s="17"/>
      <c r="U235" s="17"/>
      <c r="V235" s="42"/>
      <c r="W235" s="17"/>
      <c r="X235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297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5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722275.75000000012</v>
      </c>
      <c r="E12" s="4"/>
      <c r="F12" s="12"/>
      <c r="G12" s="4"/>
      <c r="H12" s="4">
        <f>SUM(OSRRefH13x_0)</f>
        <v>798482.41581000003</v>
      </c>
      <c r="I12" s="4"/>
      <c r="J12" s="12"/>
      <c r="K12" s="4"/>
      <c r="L12" s="4">
        <f t="shared" ref="L12:L94" si="0">+D12-H12</f>
        <v>-76206.665809999919</v>
      </c>
      <c r="M12" s="4"/>
      <c r="N12" s="12">
        <f t="shared" ref="N12:N94" si="1">IF(H12=0,0,L12/H12)</f>
        <v>-9.543937887811095E-2</v>
      </c>
      <c r="O12" s="10"/>
      <c r="P12" s="4">
        <f>SUM(OSRRefP13x_0)</f>
        <v>722275.75000000012</v>
      </c>
      <c r="Q12" s="4"/>
      <c r="R12" s="12"/>
      <c r="S12" s="4"/>
      <c r="T12" s="4">
        <f>SUM(OSRRefT13x_0)</f>
        <v>798482.41581000003</v>
      </c>
      <c r="U12" s="4"/>
      <c r="V12" s="12"/>
      <c r="W12" s="4"/>
      <c r="X12" s="4">
        <f t="shared" ref="X12:X94" si="2">+P12-T12</f>
        <v>-76206.665809999919</v>
      </c>
      <c r="Y12" s="4"/>
      <c r="Z12" s="12">
        <f t="shared" ref="Z12:Z94" si="3">IF(T12=0,0,X12/T12)</f>
        <v>-9.543937887811095E-2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616722.41581000003</v>
      </c>
      <c r="I13" s="2"/>
      <c r="J13" s="22"/>
      <c r="K13" s="2"/>
      <c r="L13" s="2">
        <f t="shared" si="0"/>
        <v>-616722.41581000003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616722.41581000003</v>
      </c>
      <c r="U13" s="2"/>
      <c r="V13" s="22"/>
      <c r="W13" s="2"/>
      <c r="X13" s="2">
        <f t="shared" si="2"/>
        <v>-616722.41581000003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--36312.25</f>
        <v>36312.25</v>
      </c>
      <c r="E14" s="2"/>
      <c r="F14" s="22"/>
      <c r="G14" s="2"/>
      <c r="H14" s="2"/>
      <c r="I14" s="2"/>
      <c r="J14" s="22"/>
      <c r="K14" s="2"/>
      <c r="L14" s="2">
        <f t="shared" si="0"/>
        <v>36312.25</v>
      </c>
      <c r="M14" s="2"/>
      <c r="N14" s="22">
        <f t="shared" si="1"/>
        <v>0</v>
      </c>
      <c r="O14" s="11"/>
      <c r="P14" s="2">
        <f>--36312.25</f>
        <v>36312.25</v>
      </c>
      <c r="Q14" s="2"/>
      <c r="R14" s="22"/>
      <c r="S14" s="2"/>
      <c r="T14" s="2"/>
      <c r="U14" s="2"/>
      <c r="V14" s="22"/>
      <c r="W14" s="2"/>
      <c r="X14" s="2">
        <f t="shared" si="2"/>
        <v>36312.25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--21794.81</f>
        <v>21794.81</v>
      </c>
      <c r="E15" s="2"/>
      <c r="F15" s="22"/>
      <c r="G15" s="2"/>
      <c r="H15" s="2"/>
      <c r="I15" s="2"/>
      <c r="J15" s="22"/>
      <c r="K15" s="2"/>
      <c r="L15" s="2">
        <f t="shared" si="0"/>
        <v>21794.81</v>
      </c>
      <c r="M15" s="2"/>
      <c r="N15" s="22">
        <f t="shared" si="1"/>
        <v>0</v>
      </c>
      <c r="O15" s="11"/>
      <c r="P15" s="2">
        <f>--21794.81</f>
        <v>21794.81</v>
      </c>
      <c r="Q15" s="2"/>
      <c r="R15" s="22"/>
      <c r="S15" s="2"/>
      <c r="T15" s="2"/>
      <c r="U15" s="2"/>
      <c r="V15" s="22"/>
      <c r="W15" s="2"/>
      <c r="X15" s="2">
        <f t="shared" si="2"/>
        <v>21794.81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--433.98</f>
        <v>433.98</v>
      </c>
      <c r="E16" s="2"/>
      <c r="F16" s="22"/>
      <c r="G16" s="2"/>
      <c r="H16" s="2"/>
      <c r="I16" s="2"/>
      <c r="J16" s="22"/>
      <c r="K16" s="2"/>
      <c r="L16" s="2">
        <f t="shared" si="0"/>
        <v>433.98</v>
      </c>
      <c r="M16" s="2"/>
      <c r="N16" s="22">
        <f t="shared" si="1"/>
        <v>0</v>
      </c>
      <c r="O16" s="11"/>
      <c r="P16" s="2">
        <f>--433.98</f>
        <v>433.98</v>
      </c>
      <c r="Q16" s="2"/>
      <c r="R16" s="22"/>
      <c r="S16" s="2"/>
      <c r="T16" s="2"/>
      <c r="U16" s="2"/>
      <c r="V16" s="22"/>
      <c r="W16" s="2"/>
      <c r="X16" s="2">
        <f t="shared" si="2"/>
        <v>433.98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--133.35</f>
        <v>133.35</v>
      </c>
      <c r="E17" s="2"/>
      <c r="F17" s="22"/>
      <c r="G17" s="2"/>
      <c r="H17" s="2"/>
      <c r="I17" s="2"/>
      <c r="J17" s="22"/>
      <c r="K17" s="2"/>
      <c r="L17" s="2">
        <f t="shared" si="0"/>
        <v>133.35</v>
      </c>
      <c r="M17" s="2"/>
      <c r="N17" s="22">
        <f t="shared" si="1"/>
        <v>0</v>
      </c>
      <c r="O17" s="11"/>
      <c r="P17" s="2">
        <f>--133.35</f>
        <v>133.35</v>
      </c>
      <c r="Q17" s="2"/>
      <c r="R17" s="22"/>
      <c r="S17" s="2"/>
      <c r="T17" s="2"/>
      <c r="U17" s="2"/>
      <c r="V17" s="22"/>
      <c r="W17" s="2"/>
      <c r="X17" s="2">
        <f t="shared" si="2"/>
        <v>133.35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--39.95</f>
        <v>39.950000000000003</v>
      </c>
      <c r="E18" s="2"/>
      <c r="F18" s="22"/>
      <c r="G18" s="2"/>
      <c r="H18" s="2"/>
      <c r="I18" s="2"/>
      <c r="J18" s="22"/>
      <c r="K18" s="2"/>
      <c r="L18" s="2">
        <f t="shared" si="0"/>
        <v>39.950000000000003</v>
      </c>
      <c r="M18" s="2"/>
      <c r="N18" s="22">
        <f t="shared" si="1"/>
        <v>0</v>
      </c>
      <c r="O18" s="11"/>
      <c r="P18" s="2">
        <f>--39.95</f>
        <v>39.950000000000003</v>
      </c>
      <c r="Q18" s="2"/>
      <c r="R18" s="22"/>
      <c r="S18" s="2"/>
      <c r="T18" s="2"/>
      <c r="U18" s="2"/>
      <c r="V18" s="22"/>
      <c r="W18" s="2"/>
      <c r="X18" s="2">
        <f t="shared" si="2"/>
        <v>39.950000000000003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--250.65</f>
        <v>250.65</v>
      </c>
      <c r="E19" s="2"/>
      <c r="F19" s="22"/>
      <c r="G19" s="2"/>
      <c r="H19" s="2"/>
      <c r="I19" s="2"/>
      <c r="J19" s="22"/>
      <c r="K19" s="2"/>
      <c r="L19" s="2">
        <f t="shared" si="0"/>
        <v>250.65</v>
      </c>
      <c r="M19" s="2"/>
      <c r="N19" s="22">
        <f t="shared" si="1"/>
        <v>0</v>
      </c>
      <c r="O19" s="11"/>
      <c r="P19" s="2">
        <f>--250.65</f>
        <v>250.65</v>
      </c>
      <c r="Q19" s="2"/>
      <c r="R19" s="22"/>
      <c r="S19" s="2"/>
      <c r="T19" s="2"/>
      <c r="U19" s="2"/>
      <c r="V19" s="22"/>
      <c r="W19" s="2"/>
      <c r="X19" s="2">
        <f t="shared" si="2"/>
        <v>250.65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--4.47</f>
        <v>4.47</v>
      </c>
      <c r="E20" s="2"/>
      <c r="F20" s="22"/>
      <c r="G20" s="2"/>
      <c r="H20" s="2"/>
      <c r="I20" s="2"/>
      <c r="J20" s="22"/>
      <c r="K20" s="2"/>
      <c r="L20" s="2">
        <f t="shared" si="0"/>
        <v>4.47</v>
      </c>
      <c r="M20" s="2"/>
      <c r="N20" s="22">
        <f t="shared" si="1"/>
        <v>0</v>
      </c>
      <c r="O20" s="11"/>
      <c r="P20" s="2">
        <f>--4.47</f>
        <v>4.47</v>
      </c>
      <c r="Q20" s="2"/>
      <c r="R20" s="22"/>
      <c r="S20" s="2"/>
      <c r="T20" s="2"/>
      <c r="U20" s="2"/>
      <c r="V20" s="22"/>
      <c r="W20" s="2"/>
      <c r="X20" s="2">
        <f t="shared" si="2"/>
        <v>4.47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"4018", " - ", "TAXABLE SALES-STUDY GUIDES")</f>
        <v xml:space="preserve">          4018 - TAXABLE SALES-STUDY GUIDES</v>
      </c>
      <c r="C21" s="11"/>
      <c r="D21" s="2">
        <f>--179.29</f>
        <v>179.29</v>
      </c>
      <c r="E21" s="2"/>
      <c r="F21" s="22"/>
      <c r="G21" s="2"/>
      <c r="H21" s="2"/>
      <c r="I21" s="2"/>
      <c r="J21" s="22"/>
      <c r="K21" s="2"/>
      <c r="L21" s="2">
        <f t="shared" si="0"/>
        <v>179.29</v>
      </c>
      <c r="M21" s="2"/>
      <c r="N21" s="22">
        <f t="shared" si="1"/>
        <v>0</v>
      </c>
      <c r="O21" s="11"/>
      <c r="P21" s="2">
        <f>--179.29</f>
        <v>179.29</v>
      </c>
      <c r="Q21" s="2"/>
      <c r="R21" s="22"/>
      <c r="S21" s="2"/>
      <c r="T21" s="2"/>
      <c r="U21" s="2"/>
      <c r="V21" s="22"/>
      <c r="W21" s="2"/>
      <c r="X21" s="2">
        <f t="shared" si="2"/>
        <v>179.29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"4025", " - ", "TAXABLE SALES-TEST FORMS")</f>
        <v xml:space="preserve">          4025 - TAXABLE SALES-TEST FORMS</v>
      </c>
      <c r="C22" s="11"/>
      <c r="D22" s="2">
        <f>--392.29</f>
        <v>392.29</v>
      </c>
      <c r="E22" s="2"/>
      <c r="F22" s="22"/>
      <c r="G22" s="2"/>
      <c r="H22" s="2"/>
      <c r="I22" s="2"/>
      <c r="J22" s="22"/>
      <c r="K22" s="2"/>
      <c r="L22" s="2">
        <f t="shared" si="0"/>
        <v>392.29</v>
      </c>
      <c r="M22" s="2"/>
      <c r="N22" s="22">
        <f t="shared" si="1"/>
        <v>0</v>
      </c>
      <c r="O22" s="11"/>
      <c r="P22" s="2">
        <f>--392.29</f>
        <v>392.29</v>
      </c>
      <c r="Q22" s="2"/>
      <c r="R22" s="22"/>
      <c r="S22" s="2"/>
      <c r="T22" s="2"/>
      <c r="U22" s="2"/>
      <c r="V22" s="22"/>
      <c r="W22" s="2"/>
      <c r="X22" s="2">
        <f t="shared" si="2"/>
        <v>392.29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"4026", " - ", "TAXABLE SALES-WRITING INSTRUME")</f>
        <v xml:space="preserve">          4026 - TAXABLE SALES-WRITING INSTRUME</v>
      </c>
      <c r="C23" s="11"/>
      <c r="D23" s="2">
        <f>--1935.51</f>
        <v>1935.51</v>
      </c>
      <c r="E23" s="2"/>
      <c r="F23" s="22"/>
      <c r="G23" s="2"/>
      <c r="H23" s="2"/>
      <c r="I23" s="2"/>
      <c r="J23" s="22"/>
      <c r="K23" s="2"/>
      <c r="L23" s="2">
        <f t="shared" si="0"/>
        <v>1935.51</v>
      </c>
      <c r="M23" s="2"/>
      <c r="N23" s="22">
        <f t="shared" si="1"/>
        <v>0</v>
      </c>
      <c r="O23" s="11"/>
      <c r="P23" s="2">
        <f>--1935.51</f>
        <v>1935.51</v>
      </c>
      <c r="Q23" s="2"/>
      <c r="R23" s="22"/>
      <c r="S23" s="2"/>
      <c r="T23" s="2"/>
      <c r="U23" s="2"/>
      <c r="V23" s="22"/>
      <c r="W23" s="2"/>
      <c r="X23" s="2">
        <f t="shared" si="2"/>
        <v>1935.51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"4027", " - ", "TAXABLE SALES-SCHOOL SUPPLIES")</f>
        <v xml:space="preserve">          4027 - TAXABLE SALES-SCHOOL SUPPLIES</v>
      </c>
      <c r="C24" s="11"/>
      <c r="D24" s="2">
        <f>--13150</f>
        <v>13150</v>
      </c>
      <c r="E24" s="2"/>
      <c r="F24" s="22"/>
      <c r="G24" s="2"/>
      <c r="H24" s="2"/>
      <c r="I24" s="2"/>
      <c r="J24" s="22"/>
      <c r="K24" s="2"/>
      <c r="L24" s="2">
        <f t="shared" si="0"/>
        <v>13150</v>
      </c>
      <c r="M24" s="2"/>
      <c r="N24" s="22">
        <f t="shared" si="1"/>
        <v>0</v>
      </c>
      <c r="O24" s="11"/>
      <c r="P24" s="2">
        <f>--13150</f>
        <v>13150</v>
      </c>
      <c r="Q24" s="2"/>
      <c r="R24" s="22"/>
      <c r="S24" s="2"/>
      <c r="T24" s="2"/>
      <c r="U24" s="2"/>
      <c r="V24" s="22"/>
      <c r="W24" s="2"/>
      <c r="X24" s="2">
        <f t="shared" si="2"/>
        <v>13150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"4028", " - ", "TAXABLE SALES-ART/TECH")</f>
        <v xml:space="preserve">          4028 - TAXABLE SALES-ART/TECH</v>
      </c>
      <c r="C25" s="11"/>
      <c r="D25" s="2">
        <f>--2284.16</f>
        <v>2284.16</v>
      </c>
      <c r="E25" s="2"/>
      <c r="F25" s="22"/>
      <c r="G25" s="2"/>
      <c r="H25" s="2"/>
      <c r="I25" s="2"/>
      <c r="J25" s="22"/>
      <c r="K25" s="2"/>
      <c r="L25" s="2">
        <f t="shared" si="0"/>
        <v>2284.16</v>
      </c>
      <c r="M25" s="2"/>
      <c r="N25" s="22">
        <f t="shared" si="1"/>
        <v>0</v>
      </c>
      <c r="O25" s="11"/>
      <c r="P25" s="2">
        <f>--2284.16</f>
        <v>2284.16</v>
      </c>
      <c r="Q25" s="2"/>
      <c r="R25" s="22"/>
      <c r="S25" s="2"/>
      <c r="T25" s="2"/>
      <c r="U25" s="2"/>
      <c r="V25" s="22"/>
      <c r="W25" s="2"/>
      <c r="X25" s="2">
        <f t="shared" si="2"/>
        <v>2284.16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"4031", " - ", "TAXABLE SALES-FOOD")</f>
        <v xml:space="preserve">          4031 - TAXABLE SALES-FOOD</v>
      </c>
      <c r="C26" s="11"/>
      <c r="D26" s="2">
        <f>--1.52</f>
        <v>1.52</v>
      </c>
      <c r="E26" s="2"/>
      <c r="F26" s="22"/>
      <c r="G26" s="2"/>
      <c r="H26" s="2"/>
      <c r="I26" s="2"/>
      <c r="J26" s="22"/>
      <c r="K26" s="2"/>
      <c r="L26" s="2">
        <f t="shared" si="0"/>
        <v>1.52</v>
      </c>
      <c r="M26" s="2"/>
      <c r="N26" s="22">
        <f t="shared" si="1"/>
        <v>0</v>
      </c>
      <c r="O26" s="11"/>
      <c r="P26" s="2">
        <f>--1.52</f>
        <v>1.52</v>
      </c>
      <c r="Q26" s="2"/>
      <c r="R26" s="22"/>
      <c r="S26" s="2"/>
      <c r="T26" s="2"/>
      <c r="U26" s="2"/>
      <c r="V26" s="22"/>
      <c r="W26" s="2"/>
      <c r="X26" s="2">
        <f t="shared" si="2"/>
        <v>1.52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"4032", " - ", "TAXABLE SALES-JUICE")</f>
        <v xml:space="preserve">          4032 - TAXABLE SALES-JUICE</v>
      </c>
      <c r="C27" s="11"/>
      <c r="D27" s="2">
        <f>--1.47</f>
        <v>1.47</v>
      </c>
      <c r="E27" s="2"/>
      <c r="F27" s="22"/>
      <c r="G27" s="2"/>
      <c r="H27" s="2"/>
      <c r="I27" s="2"/>
      <c r="J27" s="22"/>
      <c r="K27" s="2"/>
      <c r="L27" s="2">
        <f t="shared" si="0"/>
        <v>1.47</v>
      </c>
      <c r="M27" s="2"/>
      <c r="N27" s="22">
        <f t="shared" si="1"/>
        <v>0</v>
      </c>
      <c r="O27" s="11"/>
      <c r="P27" s="2">
        <f>--1.47</f>
        <v>1.47</v>
      </c>
      <c r="Q27" s="2"/>
      <c r="R27" s="22"/>
      <c r="S27" s="2"/>
      <c r="T27" s="2"/>
      <c r="U27" s="2"/>
      <c r="V27" s="22"/>
      <c r="W27" s="2"/>
      <c r="X27" s="2">
        <f t="shared" si="2"/>
        <v>1.47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"4033", " - ", "TAXABLE SALES-CANDY")</f>
        <v xml:space="preserve">          4033 - TAXABLE SALES-CANDY</v>
      </c>
      <c r="C28" s="11"/>
      <c r="D28" s="2">
        <f>--3.17</f>
        <v>3.17</v>
      </c>
      <c r="E28" s="2"/>
      <c r="F28" s="22"/>
      <c r="G28" s="2"/>
      <c r="H28" s="2"/>
      <c r="I28" s="2"/>
      <c r="J28" s="22"/>
      <c r="K28" s="2"/>
      <c r="L28" s="2">
        <f t="shared" si="0"/>
        <v>3.17</v>
      </c>
      <c r="M28" s="2"/>
      <c r="N28" s="22">
        <f t="shared" si="1"/>
        <v>0</v>
      </c>
      <c r="O28" s="11"/>
      <c r="P28" s="2">
        <f>--3.17</f>
        <v>3.17</v>
      </c>
      <c r="Q28" s="2"/>
      <c r="R28" s="22"/>
      <c r="S28" s="2"/>
      <c r="T28" s="2"/>
      <c r="U28" s="2"/>
      <c r="V28" s="22"/>
      <c r="W28" s="2"/>
      <c r="X28" s="2">
        <f t="shared" si="2"/>
        <v>3.17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"4034", " - ", "TAXABLE SALES-SODA")</f>
        <v xml:space="preserve">          4034 - TAXABLE SALES-SODA</v>
      </c>
      <c r="C29" s="11"/>
      <c r="D29" s="2">
        <f>--34.74</f>
        <v>34.74</v>
      </c>
      <c r="E29" s="2"/>
      <c r="F29" s="22"/>
      <c r="G29" s="2"/>
      <c r="H29" s="2"/>
      <c r="I29" s="2"/>
      <c r="J29" s="22"/>
      <c r="K29" s="2"/>
      <c r="L29" s="2">
        <f t="shared" si="0"/>
        <v>34.74</v>
      </c>
      <c r="M29" s="2"/>
      <c r="N29" s="22">
        <f t="shared" si="1"/>
        <v>0</v>
      </c>
      <c r="O29" s="11"/>
      <c r="P29" s="2">
        <f>--34.74</f>
        <v>34.74</v>
      </c>
      <c r="Q29" s="2"/>
      <c r="R29" s="22"/>
      <c r="S29" s="2"/>
      <c r="T29" s="2"/>
      <c r="U29" s="2"/>
      <c r="V29" s="22"/>
      <c r="W29" s="2"/>
      <c r="X29" s="2">
        <f t="shared" si="2"/>
        <v>34.74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"4035", " - ", "TAXABLE SALES-HEALTH &amp; BEAUTY")</f>
        <v xml:space="preserve">          4035 - TAXABLE SALES-HEALTH &amp; BEAUTY</v>
      </c>
      <c r="C30" s="11"/>
      <c r="D30" s="2">
        <f>--5.97</f>
        <v>5.97</v>
      </c>
      <c r="E30" s="2"/>
      <c r="F30" s="22"/>
      <c r="G30" s="2"/>
      <c r="H30" s="2"/>
      <c r="I30" s="2"/>
      <c r="J30" s="22"/>
      <c r="K30" s="2"/>
      <c r="L30" s="2">
        <f t="shared" si="0"/>
        <v>5.97</v>
      </c>
      <c r="M30" s="2"/>
      <c r="N30" s="22">
        <f t="shared" si="1"/>
        <v>0</v>
      </c>
      <c r="O30" s="11"/>
      <c r="P30" s="2">
        <f>--5.97</f>
        <v>5.97</v>
      </c>
      <c r="Q30" s="2"/>
      <c r="R30" s="22"/>
      <c r="S30" s="2"/>
      <c r="T30" s="2"/>
      <c r="U30" s="2"/>
      <c r="V30" s="22"/>
      <c r="W30" s="2"/>
      <c r="X30" s="2">
        <f t="shared" si="2"/>
        <v>5.97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"4037", " - ", "TAXABLE SALES-WATER")</f>
        <v xml:space="preserve">          4037 - TAXABLE SALES-WATER</v>
      </c>
      <c r="C31" s="11"/>
      <c r="D31" s="2">
        <f>--5.29</f>
        <v>5.29</v>
      </c>
      <c r="E31" s="2"/>
      <c r="F31" s="22"/>
      <c r="G31" s="2"/>
      <c r="H31" s="2"/>
      <c r="I31" s="2"/>
      <c r="J31" s="22"/>
      <c r="K31" s="2"/>
      <c r="L31" s="2">
        <f t="shared" si="0"/>
        <v>5.29</v>
      </c>
      <c r="M31" s="2"/>
      <c r="N31" s="22">
        <f t="shared" si="1"/>
        <v>0</v>
      </c>
      <c r="O31" s="11"/>
      <c r="P31" s="2">
        <f>--5.29</f>
        <v>5.29</v>
      </c>
      <c r="Q31" s="2"/>
      <c r="R31" s="22"/>
      <c r="S31" s="2"/>
      <c r="T31" s="2"/>
      <c r="U31" s="2"/>
      <c r="V31" s="22"/>
      <c r="W31" s="2"/>
      <c r="X31" s="2">
        <f t="shared" si="2"/>
        <v>5.29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"4040", " - ", "TAXABLE SALES-LOGO CLOTHING")</f>
        <v xml:space="preserve">          4040 - TAXABLE SALES-LOGO CLOTHING</v>
      </c>
      <c r="C32" s="11"/>
      <c r="D32" s="2">
        <f>--170312.02</f>
        <v>170312.02</v>
      </c>
      <c r="E32" s="2"/>
      <c r="F32" s="22"/>
      <c r="G32" s="2"/>
      <c r="H32" s="2"/>
      <c r="I32" s="2"/>
      <c r="J32" s="22"/>
      <c r="K32" s="2"/>
      <c r="L32" s="2">
        <f t="shared" si="0"/>
        <v>170312.02</v>
      </c>
      <c r="M32" s="2"/>
      <c r="N32" s="22">
        <f t="shared" si="1"/>
        <v>0</v>
      </c>
      <c r="O32" s="11"/>
      <c r="P32" s="2">
        <f>--170312.02</f>
        <v>170312.02</v>
      </c>
      <c r="Q32" s="2"/>
      <c r="R32" s="22"/>
      <c r="S32" s="2"/>
      <c r="T32" s="2"/>
      <c r="U32" s="2"/>
      <c r="V32" s="22"/>
      <c r="W32" s="2"/>
      <c r="X32" s="2">
        <f t="shared" si="2"/>
        <v>170312.02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"4041", " - ", "TAXABLE SALES-LOGO GIFTS")</f>
        <v xml:space="preserve">          4041 - TAXABLE SALES-LOGO GIFTS</v>
      </c>
      <c r="C33" s="11"/>
      <c r="D33" s="2">
        <f>--31041.59</f>
        <v>31041.59</v>
      </c>
      <c r="E33" s="2"/>
      <c r="F33" s="22"/>
      <c r="G33" s="2"/>
      <c r="H33" s="2"/>
      <c r="I33" s="2"/>
      <c r="J33" s="22"/>
      <c r="K33" s="2"/>
      <c r="L33" s="2">
        <f t="shared" si="0"/>
        <v>31041.59</v>
      </c>
      <c r="M33" s="2"/>
      <c r="N33" s="22">
        <f t="shared" si="1"/>
        <v>0</v>
      </c>
      <c r="O33" s="11"/>
      <c r="P33" s="2">
        <f>--31041.59</f>
        <v>31041.59</v>
      </c>
      <c r="Q33" s="2"/>
      <c r="R33" s="22"/>
      <c r="S33" s="2"/>
      <c r="T33" s="2"/>
      <c r="U33" s="2"/>
      <c r="V33" s="22"/>
      <c r="W33" s="2"/>
      <c r="X33" s="2">
        <f t="shared" si="2"/>
        <v>31041.59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"4042", " - ", "TAXABLE SALES-EVERYDAY GIFTS")</f>
        <v xml:space="preserve">          4042 - TAXABLE SALES-EVERYDAY GIFTS</v>
      </c>
      <c r="C34" s="11"/>
      <c r="D34" s="2">
        <f>--15593.05</f>
        <v>15593.05</v>
      </c>
      <c r="E34" s="2"/>
      <c r="F34" s="22"/>
      <c r="G34" s="2"/>
      <c r="H34" s="2"/>
      <c r="I34" s="2"/>
      <c r="J34" s="22"/>
      <c r="K34" s="2"/>
      <c r="L34" s="2">
        <f t="shared" si="0"/>
        <v>15593.05</v>
      </c>
      <c r="M34" s="2"/>
      <c r="N34" s="22">
        <f t="shared" si="1"/>
        <v>0</v>
      </c>
      <c r="O34" s="11"/>
      <c r="P34" s="2">
        <f>--15593.05</f>
        <v>15593.05</v>
      </c>
      <c r="Q34" s="2"/>
      <c r="R34" s="22"/>
      <c r="S34" s="2"/>
      <c r="T34" s="2"/>
      <c r="U34" s="2"/>
      <c r="V34" s="22"/>
      <c r="W34" s="2"/>
      <c r="X34" s="2">
        <f t="shared" si="2"/>
        <v>15593.05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"4043", " - ", "TAXABLE SALES-CARDS")</f>
        <v xml:space="preserve">          4043 - TAXABLE SALES-CARDS</v>
      </c>
      <c r="C35" s="11"/>
      <c r="D35" s="2">
        <f>--56.4</f>
        <v>56.4</v>
      </c>
      <c r="E35" s="2"/>
      <c r="F35" s="22"/>
      <c r="G35" s="2"/>
      <c r="H35" s="2"/>
      <c r="I35" s="2"/>
      <c r="J35" s="22"/>
      <c r="K35" s="2"/>
      <c r="L35" s="2">
        <f t="shared" si="0"/>
        <v>56.4</v>
      </c>
      <c r="M35" s="2"/>
      <c r="N35" s="22">
        <f t="shared" si="1"/>
        <v>0</v>
      </c>
      <c r="O35" s="11"/>
      <c r="P35" s="2">
        <f>--56.4</f>
        <v>56.4</v>
      </c>
      <c r="Q35" s="2"/>
      <c r="R35" s="22"/>
      <c r="S35" s="2"/>
      <c r="T35" s="2"/>
      <c r="U35" s="2"/>
      <c r="V35" s="22"/>
      <c r="W35" s="2"/>
      <c r="X35" s="2">
        <f t="shared" si="2"/>
        <v>56.4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"4044", " - ", "TAXABLE SALES-ACCESSORIES")</f>
        <v xml:space="preserve">          4044 - TAXABLE SALES-ACCESSORIES</v>
      </c>
      <c r="C36" s="11"/>
      <c r="D36" s="2">
        <f>--2342.65</f>
        <v>2342.65</v>
      </c>
      <c r="E36" s="2"/>
      <c r="F36" s="22"/>
      <c r="G36" s="2"/>
      <c r="H36" s="2"/>
      <c r="I36" s="2"/>
      <c r="J36" s="22"/>
      <c r="K36" s="2"/>
      <c r="L36" s="2">
        <f t="shared" si="0"/>
        <v>2342.65</v>
      </c>
      <c r="M36" s="2"/>
      <c r="N36" s="22">
        <f t="shared" si="1"/>
        <v>0</v>
      </c>
      <c r="O36" s="11"/>
      <c r="P36" s="2">
        <f>--2342.65</f>
        <v>2342.65</v>
      </c>
      <c r="Q36" s="2"/>
      <c r="R36" s="22"/>
      <c r="S36" s="2"/>
      <c r="T36" s="2"/>
      <c r="U36" s="2"/>
      <c r="V36" s="22"/>
      <c r="W36" s="2"/>
      <c r="X36" s="2">
        <f t="shared" si="2"/>
        <v>2342.65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"4045", " - ", "TAXABLE SALES-SPECIAL ORDERS")</f>
        <v xml:space="preserve">          4045 - TAXABLE SALES-SPECIAL ORDERS</v>
      </c>
      <c r="C37" s="11"/>
      <c r="D37" s="2">
        <f>--19420.72</f>
        <v>19420.72</v>
      </c>
      <c r="E37" s="2"/>
      <c r="F37" s="22"/>
      <c r="G37" s="2"/>
      <c r="H37" s="2"/>
      <c r="I37" s="2"/>
      <c r="J37" s="22"/>
      <c r="K37" s="2"/>
      <c r="L37" s="2">
        <f t="shared" si="0"/>
        <v>19420.72</v>
      </c>
      <c r="M37" s="2"/>
      <c r="N37" s="22">
        <f t="shared" si="1"/>
        <v>0</v>
      </c>
      <c r="O37" s="11"/>
      <c r="P37" s="2">
        <f>--19420.72</f>
        <v>19420.72</v>
      </c>
      <c r="Q37" s="2"/>
      <c r="R37" s="22"/>
      <c r="S37" s="2"/>
      <c r="T37" s="2"/>
      <c r="U37" s="2"/>
      <c r="V37" s="22"/>
      <c r="W37" s="2"/>
      <c r="X37" s="2">
        <f t="shared" si="2"/>
        <v>19420.72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"4047", " - ", "TAXABLE SALES-MISC")</f>
        <v xml:space="preserve">          4047 - TAXABLE SALES-MISC</v>
      </c>
      <c r="C38" s="11"/>
      <c r="D38" s="2">
        <f>--40</f>
        <v>40</v>
      </c>
      <c r="E38" s="2"/>
      <c r="F38" s="22"/>
      <c r="G38" s="2"/>
      <c r="H38" s="2"/>
      <c r="I38" s="2"/>
      <c r="J38" s="22"/>
      <c r="K38" s="2"/>
      <c r="L38" s="2">
        <f t="shared" si="0"/>
        <v>40</v>
      </c>
      <c r="M38" s="2"/>
      <c r="N38" s="22">
        <f t="shared" si="1"/>
        <v>0</v>
      </c>
      <c r="O38" s="11"/>
      <c r="P38" s="2">
        <f>--40</f>
        <v>40</v>
      </c>
      <c r="Q38" s="2"/>
      <c r="R38" s="22"/>
      <c r="S38" s="2"/>
      <c r="T38" s="2"/>
      <c r="U38" s="2"/>
      <c r="V38" s="22"/>
      <c r="W38" s="2"/>
      <c r="X38" s="2">
        <f t="shared" si="2"/>
        <v>40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"4081", " - ", "TAXABLE SALES-ELECTRONICS")</f>
        <v xml:space="preserve">          4081 - TAXABLE SALES-ELECTRONICS</v>
      </c>
      <c r="C39" s="11"/>
      <c r="D39" s="2">
        <f>--20952.57</f>
        <v>20952.57</v>
      </c>
      <c r="E39" s="2"/>
      <c r="F39" s="22"/>
      <c r="G39" s="2"/>
      <c r="H39" s="2"/>
      <c r="I39" s="2"/>
      <c r="J39" s="22"/>
      <c r="K39" s="2"/>
      <c r="L39" s="2">
        <f t="shared" si="0"/>
        <v>20952.57</v>
      </c>
      <c r="M39" s="2"/>
      <c r="N39" s="22">
        <f t="shared" si="1"/>
        <v>0</v>
      </c>
      <c r="O39" s="11"/>
      <c r="P39" s="2">
        <f>--20952.57</f>
        <v>20952.57</v>
      </c>
      <c r="Q39" s="2"/>
      <c r="R39" s="22"/>
      <c r="S39" s="2"/>
      <c r="T39" s="2"/>
      <c r="U39" s="2"/>
      <c r="V39" s="22"/>
      <c r="W39" s="2"/>
      <c r="X39" s="2">
        <f t="shared" si="2"/>
        <v>20952.57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"4082", " - ", "TAXABLE SALES-COMPUTER HARDWAR")</f>
        <v xml:space="preserve">          4082 - TAXABLE SALES-COMPUTER HARDWAR</v>
      </c>
      <c r="C40" s="11"/>
      <c r="D40" s="2">
        <f>--398788.74</f>
        <v>398788.74</v>
      </c>
      <c r="E40" s="2"/>
      <c r="F40" s="22"/>
      <c r="G40" s="2"/>
      <c r="H40" s="2"/>
      <c r="I40" s="2"/>
      <c r="J40" s="22"/>
      <c r="K40" s="2"/>
      <c r="L40" s="2">
        <f t="shared" si="0"/>
        <v>398788.74</v>
      </c>
      <c r="M40" s="2"/>
      <c r="N40" s="22">
        <f t="shared" si="1"/>
        <v>0</v>
      </c>
      <c r="O40" s="11"/>
      <c r="P40" s="2">
        <f>--398788.74</f>
        <v>398788.74</v>
      </c>
      <c r="Q40" s="2"/>
      <c r="R40" s="22"/>
      <c r="S40" s="2"/>
      <c r="T40" s="2"/>
      <c r="U40" s="2"/>
      <c r="V40" s="22"/>
      <c r="W40" s="2"/>
      <c r="X40" s="2">
        <f t="shared" si="2"/>
        <v>398788.74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"4083", " - ", "TAXABLE SALES-COMPUTER EQUIPME")</f>
        <v xml:space="preserve">          4083 - TAXABLE SALES-COMPUTER EQUIPME</v>
      </c>
      <c r="C41" s="11"/>
      <c r="D41" s="2">
        <f>--7906.1</f>
        <v>7906.1</v>
      </c>
      <c r="E41" s="2"/>
      <c r="F41" s="22"/>
      <c r="G41" s="2"/>
      <c r="H41" s="2"/>
      <c r="I41" s="2"/>
      <c r="J41" s="22"/>
      <c r="K41" s="2"/>
      <c r="L41" s="2">
        <f t="shared" si="0"/>
        <v>7906.1</v>
      </c>
      <c r="M41" s="2"/>
      <c r="N41" s="22">
        <f t="shared" si="1"/>
        <v>0</v>
      </c>
      <c r="O41" s="11"/>
      <c r="P41" s="2">
        <f>--7906.1</f>
        <v>7906.1</v>
      </c>
      <c r="Q41" s="2"/>
      <c r="R41" s="22"/>
      <c r="S41" s="2"/>
      <c r="T41" s="2"/>
      <c r="U41" s="2"/>
      <c r="V41" s="22"/>
      <c r="W41" s="2"/>
      <c r="X41" s="2">
        <f t="shared" si="2"/>
        <v>7906.1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"4084", " - ", "TAXABLE SALES-SOFTWARE LICENSE")</f>
        <v xml:space="preserve">          4084 - TAXABLE SALES-SOFTWARE LICENSE</v>
      </c>
      <c r="C42" s="11"/>
      <c r="D42" s="2">
        <f>--129</f>
        <v>129</v>
      </c>
      <c r="E42" s="2"/>
      <c r="F42" s="22"/>
      <c r="G42" s="2"/>
      <c r="H42" s="2"/>
      <c r="I42" s="2"/>
      <c r="J42" s="22"/>
      <c r="K42" s="2"/>
      <c r="L42" s="2">
        <f t="shared" si="0"/>
        <v>129</v>
      </c>
      <c r="M42" s="2"/>
      <c r="N42" s="22">
        <f t="shared" si="1"/>
        <v>0</v>
      </c>
      <c r="O42" s="11"/>
      <c r="P42" s="2">
        <f>--129</f>
        <v>129</v>
      </c>
      <c r="Q42" s="2"/>
      <c r="R42" s="22"/>
      <c r="S42" s="2"/>
      <c r="T42" s="2"/>
      <c r="U42" s="2"/>
      <c r="V42" s="22"/>
      <c r="W42" s="2"/>
      <c r="X42" s="2">
        <f t="shared" si="2"/>
        <v>129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"4085", " - ", "TAXABLE SALES-SOFTWARE")</f>
        <v xml:space="preserve">          4085 - TAXABLE SALES-SOFTWARE</v>
      </c>
      <c r="C43" s="11"/>
      <c r="D43" s="2">
        <f>--493.95</f>
        <v>493.95</v>
      </c>
      <c r="E43" s="2"/>
      <c r="F43" s="22"/>
      <c r="G43" s="2"/>
      <c r="H43" s="2"/>
      <c r="I43" s="2"/>
      <c r="J43" s="22"/>
      <c r="K43" s="2"/>
      <c r="L43" s="2">
        <f t="shared" si="0"/>
        <v>493.95</v>
      </c>
      <c r="M43" s="2"/>
      <c r="N43" s="22">
        <f t="shared" si="1"/>
        <v>0</v>
      </c>
      <c r="O43" s="11"/>
      <c r="P43" s="2">
        <f>--493.95</f>
        <v>493.95</v>
      </c>
      <c r="Q43" s="2"/>
      <c r="R43" s="22"/>
      <c r="S43" s="2"/>
      <c r="T43" s="2"/>
      <c r="U43" s="2"/>
      <c r="V43" s="22"/>
      <c r="W43" s="2"/>
      <c r="X43" s="2">
        <f t="shared" si="2"/>
        <v>493.95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--1995.32</f>
        <v>1995.32</v>
      </c>
      <c r="E44" s="2"/>
      <c r="F44" s="22"/>
      <c r="G44" s="2"/>
      <c r="H44" s="2"/>
      <c r="I44" s="2"/>
      <c r="J44" s="22"/>
      <c r="K44" s="2"/>
      <c r="L44" s="2">
        <f t="shared" si="0"/>
        <v>1995.32</v>
      </c>
      <c r="M44" s="2"/>
      <c r="N44" s="22">
        <f t="shared" si="1"/>
        <v>0</v>
      </c>
      <c r="O44" s="11"/>
      <c r="P44" s="2">
        <f>--1995.32</f>
        <v>1995.32</v>
      </c>
      <c r="Q44" s="2"/>
      <c r="R44" s="22"/>
      <c r="S44" s="2"/>
      <c r="T44" s="2"/>
      <c r="U44" s="2"/>
      <c r="V44" s="22"/>
      <c r="W44" s="2"/>
      <c r="X44" s="2">
        <f t="shared" si="2"/>
        <v>1995.32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"4088", " - ", "TAXABLE SALES-MUSIC")</f>
        <v xml:space="preserve">          4088 - TAXABLE SALES-MUSIC</v>
      </c>
      <c r="C45" s="11"/>
      <c r="D45" s="2">
        <f>--258.99</f>
        <v>258.99</v>
      </c>
      <c r="E45" s="2"/>
      <c r="F45" s="22"/>
      <c r="G45" s="2"/>
      <c r="H45" s="2"/>
      <c r="I45" s="2"/>
      <c r="J45" s="22"/>
      <c r="K45" s="2"/>
      <c r="L45" s="2">
        <f t="shared" si="0"/>
        <v>258.99</v>
      </c>
      <c r="M45" s="2"/>
      <c r="N45" s="22">
        <f t="shared" si="1"/>
        <v>0</v>
      </c>
      <c r="O45" s="11"/>
      <c r="P45" s="2">
        <f>--258.99</f>
        <v>258.99</v>
      </c>
      <c r="Q45" s="2"/>
      <c r="R45" s="22"/>
      <c r="S45" s="2"/>
      <c r="T45" s="2"/>
      <c r="U45" s="2"/>
      <c r="V45" s="22"/>
      <c r="W45" s="2"/>
      <c r="X45" s="2">
        <f t="shared" si="2"/>
        <v>258.99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"4092", " - ", "TAXABLE SALES-GRAD MERCH")</f>
        <v xml:space="preserve">          4092 - TAXABLE SALES-GRAD MERCH</v>
      </c>
      <c r="C46" s="11"/>
      <c r="D46" s="2">
        <f>--2128.63</f>
        <v>2128.63</v>
      </c>
      <c r="E46" s="2"/>
      <c r="F46" s="22"/>
      <c r="G46" s="2"/>
      <c r="H46" s="2"/>
      <c r="I46" s="2"/>
      <c r="J46" s="22"/>
      <c r="K46" s="2"/>
      <c r="L46" s="2">
        <f t="shared" si="0"/>
        <v>2128.63</v>
      </c>
      <c r="M46" s="2"/>
      <c r="N46" s="22">
        <f t="shared" si="1"/>
        <v>0</v>
      </c>
      <c r="O46" s="11"/>
      <c r="P46" s="2">
        <f>--2128.63</f>
        <v>2128.63</v>
      </c>
      <c r="Q46" s="2"/>
      <c r="R46" s="22"/>
      <c r="S46" s="2"/>
      <c r="T46" s="2"/>
      <c r="U46" s="2"/>
      <c r="V46" s="22"/>
      <c r="W46" s="2"/>
      <c r="X46" s="2">
        <f t="shared" si="2"/>
        <v>2128.63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--46.53</f>
        <v>46.53</v>
      </c>
      <c r="E47" s="2"/>
      <c r="F47" s="22"/>
      <c r="G47" s="2"/>
      <c r="H47" s="2"/>
      <c r="I47" s="2"/>
      <c r="J47" s="22"/>
      <c r="K47" s="2"/>
      <c r="L47" s="2">
        <f t="shared" si="0"/>
        <v>46.53</v>
      </c>
      <c r="M47" s="2"/>
      <c r="N47" s="22">
        <f t="shared" si="1"/>
        <v>0</v>
      </c>
      <c r="O47" s="11"/>
      <c r="P47" s="2">
        <f>--46.53</f>
        <v>46.53</v>
      </c>
      <c r="Q47" s="2"/>
      <c r="R47" s="22"/>
      <c r="S47" s="2"/>
      <c r="T47" s="2"/>
      <c r="U47" s="2"/>
      <c r="V47" s="22"/>
      <c r="W47" s="2"/>
      <c r="X47" s="2">
        <f t="shared" si="2"/>
        <v>46.53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"4100", " - ", "NON-TAXABLE SALES")</f>
        <v xml:space="preserve">          4100 - NON-TAXABLE SALES</v>
      </c>
      <c r="C48" s="11"/>
      <c r="D48" s="2">
        <f>--4262.2</f>
        <v>4262.2</v>
      </c>
      <c r="E48" s="2"/>
      <c r="F48" s="22"/>
      <c r="G48" s="2"/>
      <c r="H48" s="2">
        <v>181760</v>
      </c>
      <c r="I48" s="2"/>
      <c r="J48" s="22"/>
      <c r="K48" s="2"/>
      <c r="L48" s="2">
        <f t="shared" si="0"/>
        <v>-177497.8</v>
      </c>
      <c r="M48" s="2"/>
      <c r="N48" s="22">
        <f t="shared" si="1"/>
        <v>-0.97655039612676053</v>
      </c>
      <c r="O48" s="11"/>
      <c r="P48" s="2">
        <f>--4262.2</f>
        <v>4262.2</v>
      </c>
      <c r="Q48" s="2"/>
      <c r="R48" s="22"/>
      <c r="S48" s="2"/>
      <c r="T48" s="2">
        <v>181760</v>
      </c>
      <c r="U48" s="2"/>
      <c r="V48" s="22"/>
      <c r="W48" s="2"/>
      <c r="X48" s="2">
        <f t="shared" si="2"/>
        <v>-177497.8</v>
      </c>
      <c r="Y48" s="2"/>
      <c r="Z48" s="22">
        <f t="shared" si="3"/>
        <v>-0.97655039612676053</v>
      </c>
    </row>
    <row r="49" spans="1:26" s="24" customFormat="1" hidden="1" outlineLevel="1" x14ac:dyDescent="0.25">
      <c r="A49" s="51"/>
      <c r="B49" s="11" t="str">
        <f>CONCATENATE("          ", "4101", " - ", "NON-TAXABLE SALES-NEW TEXT")</f>
        <v xml:space="preserve">          4101 - NON-TAXABLE SALES-NEW TEXT</v>
      </c>
      <c r="C49" s="11"/>
      <c r="D49" s="2">
        <f>--7736.58</f>
        <v>7736.58</v>
      </c>
      <c r="E49" s="2"/>
      <c r="F49" s="22"/>
      <c r="G49" s="2"/>
      <c r="H49" s="2"/>
      <c r="I49" s="2"/>
      <c r="J49" s="22"/>
      <c r="K49" s="2"/>
      <c r="L49" s="2">
        <f t="shared" si="0"/>
        <v>7736.58</v>
      </c>
      <c r="M49" s="2"/>
      <c r="N49" s="22">
        <f t="shared" si="1"/>
        <v>0</v>
      </c>
      <c r="O49" s="11"/>
      <c r="P49" s="2">
        <f>--7736.58</f>
        <v>7736.58</v>
      </c>
      <c r="Q49" s="2"/>
      <c r="R49" s="22"/>
      <c r="S49" s="2"/>
      <c r="T49" s="2"/>
      <c r="U49" s="2"/>
      <c r="V49" s="22"/>
      <c r="W49" s="2"/>
      <c r="X49" s="2">
        <f t="shared" si="2"/>
        <v>7736.58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"4102", " - ", "NON-TAXABLE SALES-USED TEXT")</f>
        <v xml:space="preserve">          4102 - NON-TAXABLE SALES-USED TEXT</v>
      </c>
      <c r="C50" s="11"/>
      <c r="D50" s="2">
        <f>--5359.24</f>
        <v>5359.24</v>
      </c>
      <c r="E50" s="2"/>
      <c r="F50" s="22"/>
      <c r="G50" s="2"/>
      <c r="H50" s="2"/>
      <c r="I50" s="2"/>
      <c r="J50" s="22"/>
      <c r="K50" s="2"/>
      <c r="L50" s="2">
        <f t="shared" si="0"/>
        <v>5359.24</v>
      </c>
      <c r="M50" s="2"/>
      <c r="N50" s="22">
        <f t="shared" si="1"/>
        <v>0</v>
      </c>
      <c r="O50" s="11"/>
      <c r="P50" s="2">
        <f>--5359.24</f>
        <v>5359.24</v>
      </c>
      <c r="Q50" s="2"/>
      <c r="R50" s="22"/>
      <c r="S50" s="2"/>
      <c r="T50" s="2"/>
      <c r="U50" s="2"/>
      <c r="V50" s="22"/>
      <c r="W50" s="2"/>
      <c r="X50" s="2">
        <f t="shared" si="2"/>
        <v>5359.24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--13424.17</f>
        <v>13424.17</v>
      </c>
      <c r="E51" s="2"/>
      <c r="F51" s="22"/>
      <c r="G51" s="2"/>
      <c r="H51" s="2"/>
      <c r="I51" s="2"/>
      <c r="J51" s="22"/>
      <c r="K51" s="2"/>
      <c r="L51" s="2">
        <f t="shared" si="0"/>
        <v>13424.17</v>
      </c>
      <c r="M51" s="2"/>
      <c r="N51" s="22">
        <f t="shared" si="1"/>
        <v>0</v>
      </c>
      <c r="O51" s="11"/>
      <c r="P51" s="2">
        <f>--13424.17</f>
        <v>13424.17</v>
      </c>
      <c r="Q51" s="2"/>
      <c r="R51" s="22"/>
      <c r="S51" s="2"/>
      <c r="T51" s="2"/>
      <c r="U51" s="2"/>
      <c r="V51" s="22"/>
      <c r="W51" s="2"/>
      <c r="X51" s="2">
        <f t="shared" si="2"/>
        <v>13424.17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--2680.95</f>
        <v>2680.95</v>
      </c>
      <c r="E52" s="2"/>
      <c r="F52" s="22"/>
      <c r="G52" s="2"/>
      <c r="H52" s="2"/>
      <c r="I52" s="2"/>
      <c r="J52" s="22"/>
      <c r="K52" s="2"/>
      <c r="L52" s="2">
        <f t="shared" si="0"/>
        <v>2680.95</v>
      </c>
      <c r="M52" s="2"/>
      <c r="N52" s="22">
        <f t="shared" si="1"/>
        <v>0</v>
      </c>
      <c r="O52" s="11"/>
      <c r="P52" s="2">
        <f>--2680.95</f>
        <v>2680.95</v>
      </c>
      <c r="Q52" s="2"/>
      <c r="R52" s="22"/>
      <c r="S52" s="2"/>
      <c r="T52" s="2"/>
      <c r="U52" s="2"/>
      <c r="V52" s="22"/>
      <c r="W52" s="2"/>
      <c r="X52" s="2">
        <f t="shared" si="2"/>
        <v>2680.95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--1134</f>
        <v>1134</v>
      </c>
      <c r="E53" s="2"/>
      <c r="F53" s="22"/>
      <c r="G53" s="2"/>
      <c r="H53" s="2"/>
      <c r="I53" s="2"/>
      <c r="J53" s="22"/>
      <c r="K53" s="2"/>
      <c r="L53" s="2">
        <f t="shared" si="0"/>
        <v>1134</v>
      </c>
      <c r="M53" s="2"/>
      <c r="N53" s="22">
        <f t="shared" si="1"/>
        <v>0</v>
      </c>
      <c r="O53" s="11"/>
      <c r="P53" s="2">
        <f>--1134</f>
        <v>1134</v>
      </c>
      <c r="Q53" s="2"/>
      <c r="R53" s="22"/>
      <c r="S53" s="2"/>
      <c r="T53" s="2"/>
      <c r="U53" s="2"/>
      <c r="V53" s="22"/>
      <c r="W53" s="2"/>
      <c r="X53" s="2">
        <f t="shared" si="2"/>
        <v>1134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--6.95</f>
        <v>6.95</v>
      </c>
      <c r="E54" s="2"/>
      <c r="F54" s="22"/>
      <c r="G54" s="2"/>
      <c r="H54" s="2"/>
      <c r="I54" s="2"/>
      <c r="J54" s="22"/>
      <c r="K54" s="2"/>
      <c r="L54" s="2">
        <f t="shared" si="0"/>
        <v>6.95</v>
      </c>
      <c r="M54" s="2"/>
      <c r="N54" s="22">
        <f t="shared" si="1"/>
        <v>0</v>
      </c>
      <c r="O54" s="11"/>
      <c r="P54" s="2">
        <f>--6.95</f>
        <v>6.95</v>
      </c>
      <c r="Q54" s="2"/>
      <c r="R54" s="22"/>
      <c r="S54" s="2"/>
      <c r="T54" s="2"/>
      <c r="U54" s="2"/>
      <c r="V54" s="22"/>
      <c r="W54" s="2"/>
      <c r="X54" s="2">
        <f t="shared" si="2"/>
        <v>6.95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"4125", " - ", "NON-TAXABLE SALES-TEST FORMS")</f>
        <v xml:space="preserve">          4125 - NON-TAXABLE SALES-TEST FORMS</v>
      </c>
      <c r="C55" s="11"/>
      <c r="D55" s="2">
        <f>--4.98</f>
        <v>4.9800000000000004</v>
      </c>
      <c r="E55" s="2"/>
      <c r="F55" s="22"/>
      <c r="G55" s="2"/>
      <c r="H55" s="2"/>
      <c r="I55" s="2"/>
      <c r="J55" s="22"/>
      <c r="K55" s="2"/>
      <c r="L55" s="2">
        <f t="shared" si="0"/>
        <v>4.9800000000000004</v>
      </c>
      <c r="M55" s="2"/>
      <c r="N55" s="22">
        <f t="shared" si="1"/>
        <v>0</v>
      </c>
      <c r="O55" s="11"/>
      <c r="P55" s="2">
        <f>--4.98</f>
        <v>4.9800000000000004</v>
      </c>
      <c r="Q55" s="2"/>
      <c r="R55" s="22"/>
      <c r="S55" s="2"/>
      <c r="T55" s="2"/>
      <c r="U55" s="2"/>
      <c r="V55" s="22"/>
      <c r="W55" s="2"/>
      <c r="X55" s="2">
        <f t="shared" si="2"/>
        <v>4.9800000000000004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--167.03</f>
        <v>167.03</v>
      </c>
      <c r="E56" s="2"/>
      <c r="F56" s="22"/>
      <c r="G56" s="2"/>
      <c r="H56" s="2"/>
      <c r="I56" s="2"/>
      <c r="J56" s="22"/>
      <c r="K56" s="2"/>
      <c r="L56" s="2">
        <f t="shared" si="0"/>
        <v>167.03</v>
      </c>
      <c r="M56" s="2"/>
      <c r="N56" s="22">
        <f t="shared" si="1"/>
        <v>0</v>
      </c>
      <c r="O56" s="11"/>
      <c r="P56" s="2">
        <f>--167.03</f>
        <v>167.03</v>
      </c>
      <c r="Q56" s="2"/>
      <c r="R56" s="22"/>
      <c r="S56" s="2"/>
      <c r="T56" s="2"/>
      <c r="U56" s="2"/>
      <c r="V56" s="22"/>
      <c r="W56" s="2"/>
      <c r="X56" s="2">
        <f t="shared" si="2"/>
        <v>167.03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--177.89</f>
        <v>177.89</v>
      </c>
      <c r="E57" s="2"/>
      <c r="F57" s="22"/>
      <c r="G57" s="2"/>
      <c r="H57" s="2"/>
      <c r="I57" s="2"/>
      <c r="J57" s="22"/>
      <c r="K57" s="2"/>
      <c r="L57" s="2">
        <f t="shared" si="0"/>
        <v>177.89</v>
      </c>
      <c r="M57" s="2"/>
      <c r="N57" s="22">
        <f t="shared" si="1"/>
        <v>0</v>
      </c>
      <c r="O57" s="11"/>
      <c r="P57" s="2">
        <f>--177.89</f>
        <v>177.89</v>
      </c>
      <c r="Q57" s="2"/>
      <c r="R57" s="22"/>
      <c r="S57" s="2"/>
      <c r="T57" s="2"/>
      <c r="U57" s="2"/>
      <c r="V57" s="22"/>
      <c r="W57" s="2"/>
      <c r="X57" s="2">
        <f t="shared" si="2"/>
        <v>177.89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"4128", " - ", "NON-TAXABLE SALES-ART/TECH")</f>
        <v xml:space="preserve">          4128 - NON-TAXABLE SALES-ART/TECH</v>
      </c>
      <c r="C58" s="11"/>
      <c r="D58" s="2">
        <f>--1.49</f>
        <v>1.49</v>
      </c>
      <c r="E58" s="2"/>
      <c r="F58" s="22"/>
      <c r="G58" s="2"/>
      <c r="H58" s="2"/>
      <c r="I58" s="2"/>
      <c r="J58" s="22"/>
      <c r="K58" s="2"/>
      <c r="L58" s="2">
        <f t="shared" si="0"/>
        <v>1.49</v>
      </c>
      <c r="M58" s="2"/>
      <c r="N58" s="22">
        <f t="shared" si="1"/>
        <v>0</v>
      </c>
      <c r="O58" s="11"/>
      <c r="P58" s="2">
        <f>--1.49</f>
        <v>1.49</v>
      </c>
      <c r="Q58" s="2"/>
      <c r="R58" s="22"/>
      <c r="S58" s="2"/>
      <c r="T58" s="2"/>
      <c r="U58" s="2"/>
      <c r="V58" s="22"/>
      <c r="W58" s="2"/>
      <c r="X58" s="2">
        <f t="shared" si="2"/>
        <v>1.49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"4131", " - ", "NON-TAXABLE SALES-FOOD")</f>
        <v xml:space="preserve">          4131 - NON-TAXABLE SALES-FOOD</v>
      </c>
      <c r="C59" s="11"/>
      <c r="D59" s="2">
        <f>--269.62</f>
        <v>269.62</v>
      </c>
      <c r="E59" s="2"/>
      <c r="F59" s="22"/>
      <c r="G59" s="2"/>
      <c r="H59" s="2"/>
      <c r="I59" s="2"/>
      <c r="J59" s="22"/>
      <c r="K59" s="2"/>
      <c r="L59" s="2">
        <f t="shared" si="0"/>
        <v>269.62</v>
      </c>
      <c r="M59" s="2"/>
      <c r="N59" s="22">
        <f t="shared" si="1"/>
        <v>0</v>
      </c>
      <c r="O59" s="11"/>
      <c r="P59" s="2">
        <f>--269.62</f>
        <v>269.62</v>
      </c>
      <c r="Q59" s="2"/>
      <c r="R59" s="22"/>
      <c r="S59" s="2"/>
      <c r="T59" s="2"/>
      <c r="U59" s="2"/>
      <c r="V59" s="22"/>
      <c r="W59" s="2"/>
      <c r="X59" s="2">
        <f t="shared" si="2"/>
        <v>269.62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"4132", " - ", "NON-TAXABLE SALES-JUICE")</f>
        <v xml:space="preserve">          4132 - NON-TAXABLE SALES-JUICE</v>
      </c>
      <c r="C60" s="11"/>
      <c r="D60" s="2">
        <f>--45.31</f>
        <v>45.31</v>
      </c>
      <c r="E60" s="2"/>
      <c r="F60" s="22"/>
      <c r="G60" s="2"/>
      <c r="H60" s="2"/>
      <c r="I60" s="2"/>
      <c r="J60" s="22"/>
      <c r="K60" s="2"/>
      <c r="L60" s="2">
        <f t="shared" si="0"/>
        <v>45.31</v>
      </c>
      <c r="M60" s="2"/>
      <c r="N60" s="22">
        <f t="shared" si="1"/>
        <v>0</v>
      </c>
      <c r="O60" s="11"/>
      <c r="P60" s="2">
        <f>--45.31</f>
        <v>45.31</v>
      </c>
      <c r="Q60" s="2"/>
      <c r="R60" s="22"/>
      <c r="S60" s="2"/>
      <c r="T60" s="2"/>
      <c r="U60" s="2"/>
      <c r="V60" s="22"/>
      <c r="W60" s="2"/>
      <c r="X60" s="2">
        <f t="shared" si="2"/>
        <v>45.31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"4133", " - ", "NON-TAXABLE SALES-CANDY")</f>
        <v xml:space="preserve">          4133 - NON-TAXABLE SALES-CANDY</v>
      </c>
      <c r="C61" s="11"/>
      <c r="D61" s="2">
        <f>--472.22</f>
        <v>472.22</v>
      </c>
      <c r="E61" s="2"/>
      <c r="F61" s="22"/>
      <c r="G61" s="2"/>
      <c r="H61" s="2"/>
      <c r="I61" s="2"/>
      <c r="J61" s="22"/>
      <c r="K61" s="2"/>
      <c r="L61" s="2">
        <f t="shared" si="0"/>
        <v>472.22</v>
      </c>
      <c r="M61" s="2"/>
      <c r="N61" s="22">
        <f t="shared" si="1"/>
        <v>0</v>
      </c>
      <c r="O61" s="11"/>
      <c r="P61" s="2">
        <f>--472.22</f>
        <v>472.22</v>
      </c>
      <c r="Q61" s="2"/>
      <c r="R61" s="22"/>
      <c r="S61" s="2"/>
      <c r="T61" s="2"/>
      <c r="U61" s="2"/>
      <c r="V61" s="22"/>
      <c r="W61" s="2"/>
      <c r="X61" s="2">
        <f t="shared" si="2"/>
        <v>472.22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"4135", " - ", "NON-TAXABLE SALES")</f>
        <v xml:space="preserve">          4135 - NON-TAXABLE SALES</v>
      </c>
      <c r="C62" s="11"/>
      <c r="D62" s="2">
        <f>--21.54</f>
        <v>21.54</v>
      </c>
      <c r="E62" s="2"/>
      <c r="F62" s="22"/>
      <c r="G62" s="2"/>
      <c r="H62" s="2"/>
      <c r="I62" s="2"/>
      <c r="J62" s="22"/>
      <c r="K62" s="2"/>
      <c r="L62" s="2">
        <f t="shared" si="0"/>
        <v>21.54</v>
      </c>
      <c r="M62" s="2"/>
      <c r="N62" s="22">
        <f t="shared" si="1"/>
        <v>0</v>
      </c>
      <c r="O62" s="11"/>
      <c r="P62" s="2">
        <f>--21.54</f>
        <v>21.54</v>
      </c>
      <c r="Q62" s="2"/>
      <c r="R62" s="22"/>
      <c r="S62" s="2"/>
      <c r="T62" s="2"/>
      <c r="U62" s="2"/>
      <c r="V62" s="22"/>
      <c r="W62" s="2"/>
      <c r="X62" s="2">
        <f t="shared" si="2"/>
        <v>21.54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"4137", " - ", "NON-TAXABLE SALES-WATER")</f>
        <v xml:space="preserve">          4137 - NON-TAXABLE SALES-WATER</v>
      </c>
      <c r="C63" s="11"/>
      <c r="D63" s="2">
        <f>--53.02</f>
        <v>53.02</v>
      </c>
      <c r="E63" s="2"/>
      <c r="F63" s="22"/>
      <c r="G63" s="2"/>
      <c r="H63" s="2"/>
      <c r="I63" s="2"/>
      <c r="J63" s="22"/>
      <c r="K63" s="2"/>
      <c r="L63" s="2">
        <f t="shared" si="0"/>
        <v>53.02</v>
      </c>
      <c r="M63" s="2"/>
      <c r="N63" s="22">
        <f t="shared" si="1"/>
        <v>0</v>
      </c>
      <c r="O63" s="11"/>
      <c r="P63" s="2">
        <f>--53.02</f>
        <v>53.02</v>
      </c>
      <c r="Q63" s="2"/>
      <c r="R63" s="22"/>
      <c r="S63" s="2"/>
      <c r="T63" s="2"/>
      <c r="U63" s="2"/>
      <c r="V63" s="22"/>
      <c r="W63" s="2"/>
      <c r="X63" s="2">
        <f t="shared" si="2"/>
        <v>53.02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"4140", " - ", "NON-TAXABLE SALES-LOGO CLOTHIN")</f>
        <v xml:space="preserve">          4140 - NON-TAXABLE SALES-LOGO CLOTHIN</v>
      </c>
      <c r="C64" s="11"/>
      <c r="D64" s="2">
        <f>--3163.67</f>
        <v>3163.67</v>
      </c>
      <c r="E64" s="2"/>
      <c r="F64" s="22"/>
      <c r="G64" s="2"/>
      <c r="H64" s="2"/>
      <c r="I64" s="2"/>
      <c r="J64" s="22"/>
      <c r="K64" s="2"/>
      <c r="L64" s="2">
        <f t="shared" si="0"/>
        <v>3163.67</v>
      </c>
      <c r="M64" s="2"/>
      <c r="N64" s="22">
        <f t="shared" si="1"/>
        <v>0</v>
      </c>
      <c r="O64" s="11"/>
      <c r="P64" s="2">
        <f>--3163.67</f>
        <v>3163.67</v>
      </c>
      <c r="Q64" s="2"/>
      <c r="R64" s="22"/>
      <c r="S64" s="2"/>
      <c r="T64" s="2"/>
      <c r="U64" s="2"/>
      <c r="V64" s="22"/>
      <c r="W64" s="2"/>
      <c r="X64" s="2">
        <f t="shared" si="2"/>
        <v>3163.67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"4141", " - ", "NON-TAXABLE SALES-LOGO GIFTS")</f>
        <v xml:space="preserve">          4141 - NON-TAXABLE SALES-LOGO GIFTS</v>
      </c>
      <c r="C65" s="11"/>
      <c r="D65" s="2">
        <f>--262.15</f>
        <v>262.14999999999998</v>
      </c>
      <c r="E65" s="2"/>
      <c r="F65" s="22"/>
      <c r="G65" s="2"/>
      <c r="H65" s="2"/>
      <c r="I65" s="2"/>
      <c r="J65" s="22"/>
      <c r="K65" s="2"/>
      <c r="L65" s="2">
        <f t="shared" si="0"/>
        <v>262.14999999999998</v>
      </c>
      <c r="M65" s="2"/>
      <c r="N65" s="22">
        <f t="shared" si="1"/>
        <v>0</v>
      </c>
      <c r="O65" s="11"/>
      <c r="P65" s="2">
        <f>--262.15</f>
        <v>262.14999999999998</v>
      </c>
      <c r="Q65" s="2"/>
      <c r="R65" s="22"/>
      <c r="S65" s="2"/>
      <c r="T65" s="2"/>
      <c r="U65" s="2"/>
      <c r="V65" s="22"/>
      <c r="W65" s="2"/>
      <c r="X65" s="2">
        <f t="shared" si="2"/>
        <v>262.14999999999998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"4142", " - ", "NON-TAXABLE SALES-EVERYDAY GIF")</f>
        <v xml:space="preserve">          4142 - NON-TAXABLE SALES-EVERYDAY GIF</v>
      </c>
      <c r="C66" s="11"/>
      <c r="D66" s="2">
        <f>--342.44</f>
        <v>342.44</v>
      </c>
      <c r="E66" s="2"/>
      <c r="F66" s="22"/>
      <c r="G66" s="2"/>
      <c r="H66" s="2"/>
      <c r="I66" s="2"/>
      <c r="J66" s="22"/>
      <c r="K66" s="2"/>
      <c r="L66" s="2">
        <f t="shared" si="0"/>
        <v>342.44</v>
      </c>
      <c r="M66" s="2"/>
      <c r="N66" s="22">
        <f t="shared" si="1"/>
        <v>0</v>
      </c>
      <c r="O66" s="11"/>
      <c r="P66" s="2">
        <f>--342.44</f>
        <v>342.44</v>
      </c>
      <c r="Q66" s="2"/>
      <c r="R66" s="22"/>
      <c r="S66" s="2"/>
      <c r="T66" s="2"/>
      <c r="U66" s="2"/>
      <c r="V66" s="22"/>
      <c r="W66" s="2"/>
      <c r="X66" s="2">
        <f t="shared" si="2"/>
        <v>342.44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"4144", " - ", "NON-TAXABLE SALES-ACCESSORIES")</f>
        <v xml:space="preserve">          4144 - NON-TAXABLE SALES-ACCESSORIES</v>
      </c>
      <c r="C67" s="11"/>
      <c r="D67" s="2">
        <f>--21.9</f>
        <v>21.9</v>
      </c>
      <c r="E67" s="2"/>
      <c r="F67" s="22"/>
      <c r="G67" s="2"/>
      <c r="H67" s="2"/>
      <c r="I67" s="2"/>
      <c r="J67" s="22"/>
      <c r="K67" s="2"/>
      <c r="L67" s="2">
        <f t="shared" si="0"/>
        <v>21.9</v>
      </c>
      <c r="M67" s="2"/>
      <c r="N67" s="22">
        <f t="shared" si="1"/>
        <v>0</v>
      </c>
      <c r="O67" s="11"/>
      <c r="P67" s="2">
        <f>--21.9</f>
        <v>21.9</v>
      </c>
      <c r="Q67" s="2"/>
      <c r="R67" s="22"/>
      <c r="S67" s="2"/>
      <c r="T67" s="2"/>
      <c r="U67" s="2"/>
      <c r="V67" s="22"/>
      <c r="W67" s="2"/>
      <c r="X67" s="2">
        <f t="shared" si="2"/>
        <v>21.9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"4146", " - ", "NON-TAXABLE SALES-COIN OP MACH")</f>
        <v xml:space="preserve">          4146 - NON-TAXABLE SALES-COIN OP MACH</v>
      </c>
      <c r="C68" s="11"/>
      <c r="D68" s="2">
        <f>--2067.1</f>
        <v>2067.1</v>
      </c>
      <c r="E68" s="2"/>
      <c r="F68" s="22"/>
      <c r="G68" s="2"/>
      <c r="H68" s="2"/>
      <c r="I68" s="2"/>
      <c r="J68" s="22"/>
      <c r="K68" s="2"/>
      <c r="L68" s="2">
        <f t="shared" si="0"/>
        <v>2067.1</v>
      </c>
      <c r="M68" s="2"/>
      <c r="N68" s="22">
        <f t="shared" si="1"/>
        <v>0</v>
      </c>
      <c r="O68" s="11"/>
      <c r="P68" s="2">
        <f>--2067.1</f>
        <v>2067.1</v>
      </c>
      <c r="Q68" s="2"/>
      <c r="R68" s="22"/>
      <c r="S68" s="2"/>
      <c r="T68" s="2"/>
      <c r="U68" s="2"/>
      <c r="V68" s="22"/>
      <c r="W68" s="2"/>
      <c r="X68" s="2">
        <f t="shared" si="2"/>
        <v>2067.1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"4147", " - ", "NON-TAXABLE SALES-MISC")</f>
        <v xml:space="preserve">          4147 - NON-TAXABLE SALES-MISC</v>
      </c>
      <c r="C69" s="11"/>
      <c r="D69" s="2">
        <f>--16.5</f>
        <v>16.5</v>
      </c>
      <c r="E69" s="2"/>
      <c r="F69" s="22"/>
      <c r="G69" s="2"/>
      <c r="H69" s="2"/>
      <c r="I69" s="2"/>
      <c r="J69" s="22"/>
      <c r="K69" s="2"/>
      <c r="L69" s="2">
        <f t="shared" si="0"/>
        <v>16.5</v>
      </c>
      <c r="M69" s="2"/>
      <c r="N69" s="22">
        <f t="shared" si="1"/>
        <v>0</v>
      </c>
      <c r="O69" s="11"/>
      <c r="P69" s="2">
        <f>--16.5</f>
        <v>16.5</v>
      </c>
      <c r="Q69" s="2"/>
      <c r="R69" s="22"/>
      <c r="S69" s="2"/>
      <c r="T69" s="2"/>
      <c r="U69" s="2"/>
      <c r="V69" s="22"/>
      <c r="W69" s="2"/>
      <c r="X69" s="2">
        <f t="shared" si="2"/>
        <v>16.5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"4181", " - ", "NON-TAXABLE SALES-ELECTRONICS")</f>
        <v xml:space="preserve">          4181 - NON-TAXABLE SALES-ELECTRONICS</v>
      </c>
      <c r="C70" s="11"/>
      <c r="D70" s="2">
        <f>--1302.61</f>
        <v>1302.6099999999999</v>
      </c>
      <c r="E70" s="2"/>
      <c r="F70" s="22"/>
      <c r="G70" s="2"/>
      <c r="H70" s="2"/>
      <c r="I70" s="2"/>
      <c r="J70" s="22"/>
      <c r="K70" s="2"/>
      <c r="L70" s="2">
        <f t="shared" si="0"/>
        <v>1302.6099999999999</v>
      </c>
      <c r="M70" s="2"/>
      <c r="N70" s="22">
        <f t="shared" si="1"/>
        <v>0</v>
      </c>
      <c r="O70" s="11"/>
      <c r="P70" s="2">
        <f>--1302.61</f>
        <v>1302.6099999999999</v>
      </c>
      <c r="Q70" s="2"/>
      <c r="R70" s="22"/>
      <c r="S70" s="2"/>
      <c r="T70" s="2"/>
      <c r="U70" s="2"/>
      <c r="V70" s="22"/>
      <c r="W70" s="2"/>
      <c r="X70" s="2">
        <f t="shared" si="2"/>
        <v>1302.6099999999999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"4182", " - ", "NON-TAXABLE SALES-COMPUTER HAR")</f>
        <v xml:space="preserve">          4182 - NON-TAXABLE SALES-COMPUTER HAR</v>
      </c>
      <c r="C71" s="11"/>
      <c r="D71" s="2">
        <f>--10618</f>
        <v>10618</v>
      </c>
      <c r="E71" s="2"/>
      <c r="F71" s="22"/>
      <c r="G71" s="2"/>
      <c r="H71" s="2"/>
      <c r="I71" s="2"/>
      <c r="J71" s="22"/>
      <c r="K71" s="2"/>
      <c r="L71" s="2">
        <f t="shared" si="0"/>
        <v>10618</v>
      </c>
      <c r="M71" s="2"/>
      <c r="N71" s="22">
        <f t="shared" si="1"/>
        <v>0</v>
      </c>
      <c r="O71" s="11"/>
      <c r="P71" s="2">
        <f>--10618</f>
        <v>10618</v>
      </c>
      <c r="Q71" s="2"/>
      <c r="R71" s="22"/>
      <c r="S71" s="2"/>
      <c r="T71" s="2"/>
      <c r="U71" s="2"/>
      <c r="V71" s="22"/>
      <c r="W71" s="2"/>
      <c r="X71" s="2">
        <f t="shared" si="2"/>
        <v>10618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"4183", " - ", "NON-TAXABLE SALES-COMPUTER EQU")</f>
        <v xml:space="preserve">          4183 - NON-TAXABLE SALES-COMPUTER EQU</v>
      </c>
      <c r="C72" s="11"/>
      <c r="D72" s="2">
        <f>--181.9</f>
        <v>181.9</v>
      </c>
      <c r="E72" s="2"/>
      <c r="F72" s="22"/>
      <c r="G72" s="2"/>
      <c r="H72" s="2"/>
      <c r="I72" s="2"/>
      <c r="J72" s="22"/>
      <c r="K72" s="2"/>
      <c r="L72" s="2">
        <f t="shared" si="0"/>
        <v>181.9</v>
      </c>
      <c r="M72" s="2"/>
      <c r="N72" s="22">
        <f t="shared" si="1"/>
        <v>0</v>
      </c>
      <c r="O72" s="11"/>
      <c r="P72" s="2">
        <f>--181.9</f>
        <v>181.9</v>
      </c>
      <c r="Q72" s="2"/>
      <c r="R72" s="22"/>
      <c r="S72" s="2"/>
      <c r="T72" s="2"/>
      <c r="U72" s="2"/>
      <c r="V72" s="22"/>
      <c r="W72" s="2"/>
      <c r="X72" s="2">
        <f t="shared" si="2"/>
        <v>181.9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"4185", " - ", "NON-TAXABLE SALES-SOFTWARE")</f>
        <v xml:space="preserve">          4185 - NON-TAXABLE SALES-SOFTWARE</v>
      </c>
      <c r="C73" s="11"/>
      <c r="D73" s="2">
        <f>--752</f>
        <v>752</v>
      </c>
      <c r="E73" s="2"/>
      <c r="F73" s="22"/>
      <c r="G73" s="2"/>
      <c r="H73" s="2"/>
      <c r="I73" s="2"/>
      <c r="J73" s="22"/>
      <c r="K73" s="2"/>
      <c r="L73" s="2">
        <f t="shared" si="0"/>
        <v>752</v>
      </c>
      <c r="M73" s="2"/>
      <c r="N73" s="22">
        <f t="shared" si="1"/>
        <v>0</v>
      </c>
      <c r="O73" s="11"/>
      <c r="P73" s="2">
        <f>--752</f>
        <v>752</v>
      </c>
      <c r="Q73" s="2"/>
      <c r="R73" s="22"/>
      <c r="S73" s="2"/>
      <c r="T73" s="2"/>
      <c r="U73" s="2"/>
      <c r="V73" s="22"/>
      <c r="W73" s="2"/>
      <c r="X73" s="2">
        <f t="shared" si="2"/>
        <v>752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"4186", " - ", "NON-TAXABLE SALES-COMPUTER SUP")</f>
        <v xml:space="preserve">          4186 - NON-TAXABLE SALES-COMPUTER SUP</v>
      </c>
      <c r="C74" s="11"/>
      <c r="D74" s="2">
        <f>--79.97</f>
        <v>79.97</v>
      </c>
      <c r="E74" s="2"/>
      <c r="F74" s="22"/>
      <c r="G74" s="2"/>
      <c r="H74" s="2"/>
      <c r="I74" s="2"/>
      <c r="J74" s="22"/>
      <c r="K74" s="2"/>
      <c r="L74" s="2">
        <f t="shared" si="0"/>
        <v>79.97</v>
      </c>
      <c r="M74" s="2"/>
      <c r="N74" s="22">
        <f t="shared" si="1"/>
        <v>0</v>
      </c>
      <c r="O74" s="11"/>
      <c r="P74" s="2">
        <f>--79.97</f>
        <v>79.97</v>
      </c>
      <c r="Q74" s="2"/>
      <c r="R74" s="22"/>
      <c r="S74" s="2"/>
      <c r="T74" s="2"/>
      <c r="U74" s="2"/>
      <c r="V74" s="22"/>
      <c r="W74" s="2"/>
      <c r="X74" s="2">
        <f t="shared" si="2"/>
        <v>79.97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"4188", " - ", "NON-TAXABLE SALES-MUSIC")</f>
        <v xml:space="preserve">          4188 - NON-TAXABLE SALES-MUSIC</v>
      </c>
      <c r="C75" s="11"/>
      <c r="D75" s="2">
        <f>--99.98</f>
        <v>99.98</v>
      </c>
      <c r="E75" s="2"/>
      <c r="F75" s="22"/>
      <c r="G75" s="2"/>
      <c r="H75" s="2"/>
      <c r="I75" s="2"/>
      <c r="J75" s="22"/>
      <c r="K75" s="2"/>
      <c r="L75" s="2">
        <f t="shared" si="0"/>
        <v>99.98</v>
      </c>
      <c r="M75" s="2"/>
      <c r="N75" s="22">
        <f t="shared" si="1"/>
        <v>0</v>
      </c>
      <c r="O75" s="11"/>
      <c r="P75" s="2">
        <f>--99.98</f>
        <v>99.98</v>
      </c>
      <c r="Q75" s="2"/>
      <c r="R75" s="22"/>
      <c r="S75" s="2"/>
      <c r="T75" s="2"/>
      <c r="U75" s="2"/>
      <c r="V75" s="22"/>
      <c r="W75" s="2"/>
      <c r="X75" s="2">
        <f t="shared" si="2"/>
        <v>99.98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>-607.15</f>
        <v>-607.15</v>
      </c>
      <c r="E76" s="2"/>
      <c r="F76" s="22"/>
      <c r="G76" s="2"/>
      <c r="H76" s="2"/>
      <c r="I76" s="2"/>
      <c r="J76" s="22"/>
      <c r="K76" s="2"/>
      <c r="L76" s="2">
        <f t="shared" si="0"/>
        <v>-607.15</v>
      </c>
      <c r="M76" s="2"/>
      <c r="N76" s="22">
        <f t="shared" si="1"/>
        <v>0</v>
      </c>
      <c r="O76" s="11"/>
      <c r="P76" s="2">
        <f>-607.15</f>
        <v>-607.15</v>
      </c>
      <c r="Q76" s="2"/>
      <c r="R76" s="22"/>
      <c r="S76" s="2"/>
      <c r="T76" s="2"/>
      <c r="U76" s="2"/>
      <c r="V76" s="22"/>
      <c r="W76" s="2"/>
      <c r="X76" s="2">
        <f t="shared" si="2"/>
        <v>-607.15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-721.45</f>
        <v>-721.45</v>
      </c>
      <c r="E77" s="2"/>
      <c r="F77" s="22"/>
      <c r="G77" s="2"/>
      <c r="H77" s="2"/>
      <c r="I77" s="2"/>
      <c r="J77" s="22"/>
      <c r="K77" s="2"/>
      <c r="L77" s="2">
        <f t="shared" si="0"/>
        <v>-721.45</v>
      </c>
      <c r="M77" s="2"/>
      <c r="N77" s="22">
        <f t="shared" si="1"/>
        <v>0</v>
      </c>
      <c r="O77" s="11"/>
      <c r="P77" s="2">
        <f>-721.45</f>
        <v>-721.45</v>
      </c>
      <c r="Q77" s="2"/>
      <c r="R77" s="22"/>
      <c r="S77" s="2"/>
      <c r="T77" s="2"/>
      <c r="U77" s="2"/>
      <c r="V77" s="22"/>
      <c r="W77" s="2"/>
      <c r="X77" s="2">
        <f t="shared" si="2"/>
        <v>-721.45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"4225", " - ", "SALES RETURN TAXABLE-TEST FORM")</f>
        <v xml:space="preserve">          4225 - SALES RETURN TAXABLE-TEST FORM</v>
      </c>
      <c r="C78" s="11"/>
      <c r="D78" s="2">
        <f>-4.08</f>
        <v>-4.08</v>
      </c>
      <c r="E78" s="2"/>
      <c r="F78" s="22"/>
      <c r="G78" s="2"/>
      <c r="H78" s="2"/>
      <c r="I78" s="2"/>
      <c r="J78" s="22"/>
      <c r="K78" s="2"/>
      <c r="L78" s="2">
        <f t="shared" si="0"/>
        <v>-4.08</v>
      </c>
      <c r="M78" s="2"/>
      <c r="N78" s="22">
        <f t="shared" si="1"/>
        <v>0</v>
      </c>
      <c r="O78" s="11"/>
      <c r="P78" s="2">
        <f>-4.08</f>
        <v>-4.08</v>
      </c>
      <c r="Q78" s="2"/>
      <c r="R78" s="22"/>
      <c r="S78" s="2"/>
      <c r="T78" s="2"/>
      <c r="U78" s="2"/>
      <c r="V78" s="22"/>
      <c r="W78" s="2"/>
      <c r="X78" s="2">
        <f t="shared" si="2"/>
        <v>-4.08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"4226", " - ", "SALES RETURN TAXABLE-WRITING I")</f>
        <v xml:space="preserve">          4226 - SALES RETURN TAXABLE-WRITING I</v>
      </c>
      <c r="C79" s="11"/>
      <c r="D79" s="2">
        <f>-63.93</f>
        <v>-63.93</v>
      </c>
      <c r="E79" s="2"/>
      <c r="F79" s="22"/>
      <c r="G79" s="2"/>
      <c r="H79" s="2"/>
      <c r="I79" s="2"/>
      <c r="J79" s="22"/>
      <c r="K79" s="2"/>
      <c r="L79" s="2">
        <f t="shared" si="0"/>
        <v>-63.93</v>
      </c>
      <c r="M79" s="2"/>
      <c r="N79" s="22">
        <f t="shared" si="1"/>
        <v>0</v>
      </c>
      <c r="O79" s="11"/>
      <c r="P79" s="2">
        <f>-63.93</f>
        <v>-63.93</v>
      </c>
      <c r="Q79" s="2"/>
      <c r="R79" s="22"/>
      <c r="S79" s="2"/>
      <c r="T79" s="2"/>
      <c r="U79" s="2"/>
      <c r="V79" s="22"/>
      <c r="W79" s="2"/>
      <c r="X79" s="2">
        <f t="shared" si="2"/>
        <v>-63.93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"4227", " - ", "SALES RETURN TAXABLE-SCHOOL SU")</f>
        <v xml:space="preserve">          4227 - SALES RETURN TAXABLE-SCHOOL SU</v>
      </c>
      <c r="C80" s="11"/>
      <c r="D80" s="2">
        <f>-165.44</f>
        <v>-165.44</v>
      </c>
      <c r="E80" s="2"/>
      <c r="F80" s="22"/>
      <c r="G80" s="2"/>
      <c r="H80" s="2"/>
      <c r="I80" s="2"/>
      <c r="J80" s="22"/>
      <c r="K80" s="2"/>
      <c r="L80" s="2">
        <f t="shared" si="0"/>
        <v>-165.44</v>
      </c>
      <c r="M80" s="2"/>
      <c r="N80" s="22">
        <f t="shared" si="1"/>
        <v>0</v>
      </c>
      <c r="O80" s="11"/>
      <c r="P80" s="2">
        <f>-165.44</f>
        <v>-165.44</v>
      </c>
      <c r="Q80" s="2"/>
      <c r="R80" s="22"/>
      <c r="S80" s="2"/>
      <c r="T80" s="2"/>
      <c r="U80" s="2"/>
      <c r="V80" s="22"/>
      <c r="W80" s="2"/>
      <c r="X80" s="2">
        <f t="shared" si="2"/>
        <v>-165.44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"4228", " - ", "SALES RETURN TAXABLE-ART/TECH")</f>
        <v xml:space="preserve">          4228 - SALES RETURN TAXABLE-ART/TECH</v>
      </c>
      <c r="C81" s="11"/>
      <c r="D81" s="2">
        <f>-10.37</f>
        <v>-10.37</v>
      </c>
      <c r="E81" s="2"/>
      <c r="F81" s="22"/>
      <c r="G81" s="2"/>
      <c r="H81" s="2"/>
      <c r="I81" s="2"/>
      <c r="J81" s="22"/>
      <c r="K81" s="2"/>
      <c r="L81" s="2">
        <f t="shared" si="0"/>
        <v>-10.37</v>
      </c>
      <c r="M81" s="2"/>
      <c r="N81" s="22">
        <f t="shared" si="1"/>
        <v>0</v>
      </c>
      <c r="O81" s="11"/>
      <c r="P81" s="2">
        <f>-10.37</f>
        <v>-10.37</v>
      </c>
      <c r="Q81" s="2"/>
      <c r="R81" s="22"/>
      <c r="S81" s="2"/>
      <c r="T81" s="2"/>
      <c r="U81" s="2"/>
      <c r="V81" s="22"/>
      <c r="W81" s="2"/>
      <c r="X81" s="2">
        <f t="shared" si="2"/>
        <v>-10.37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"4240", " - ", "SALES RETURN TAXABLE-LOGO CLOT")</f>
        <v xml:space="preserve">          4240 - SALES RETURN TAXABLE-LOGO CLOT</v>
      </c>
      <c r="C82" s="11"/>
      <c r="D82" s="2">
        <f>-4446.84</f>
        <v>-4446.84</v>
      </c>
      <c r="E82" s="2"/>
      <c r="F82" s="22"/>
      <c r="G82" s="2"/>
      <c r="H82" s="2"/>
      <c r="I82" s="2"/>
      <c r="J82" s="22"/>
      <c r="K82" s="2"/>
      <c r="L82" s="2">
        <f t="shared" si="0"/>
        <v>-4446.84</v>
      </c>
      <c r="M82" s="2"/>
      <c r="N82" s="22">
        <f t="shared" si="1"/>
        <v>0</v>
      </c>
      <c r="O82" s="11"/>
      <c r="P82" s="2">
        <f>-4446.84</f>
        <v>-4446.84</v>
      </c>
      <c r="Q82" s="2"/>
      <c r="R82" s="22"/>
      <c r="S82" s="2"/>
      <c r="T82" s="2"/>
      <c r="U82" s="2"/>
      <c r="V82" s="22"/>
      <c r="W82" s="2"/>
      <c r="X82" s="2">
        <f t="shared" si="2"/>
        <v>-4446.84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"4241", " - ", "SALES RETURN TAXABLE-LOGO GIFT")</f>
        <v xml:space="preserve">          4241 - SALES RETURN TAXABLE-LOGO GIFT</v>
      </c>
      <c r="C83" s="11"/>
      <c r="D83" s="2">
        <f>-718.9</f>
        <v>-718.9</v>
      </c>
      <c r="E83" s="2"/>
      <c r="F83" s="22"/>
      <c r="G83" s="2"/>
      <c r="H83" s="2"/>
      <c r="I83" s="2"/>
      <c r="J83" s="22"/>
      <c r="K83" s="2"/>
      <c r="L83" s="2">
        <f t="shared" si="0"/>
        <v>-718.9</v>
      </c>
      <c r="M83" s="2"/>
      <c r="N83" s="22">
        <f t="shared" si="1"/>
        <v>0</v>
      </c>
      <c r="O83" s="11"/>
      <c r="P83" s="2">
        <f>-718.9</f>
        <v>-718.9</v>
      </c>
      <c r="Q83" s="2"/>
      <c r="R83" s="22"/>
      <c r="S83" s="2"/>
      <c r="T83" s="2"/>
      <c r="U83" s="2"/>
      <c r="V83" s="22"/>
      <c r="W83" s="2"/>
      <c r="X83" s="2">
        <f t="shared" si="2"/>
        <v>-718.9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"4242", " - ", "SALES RETURN TAXABLE-EVERYDAY")</f>
        <v xml:space="preserve">          4242 - SALES RETURN TAXABLE-EVERYDAY</v>
      </c>
      <c r="C84" s="11"/>
      <c r="D84" s="2">
        <f>-373.98</f>
        <v>-373.98</v>
      </c>
      <c r="E84" s="2"/>
      <c r="F84" s="22"/>
      <c r="G84" s="2"/>
      <c r="H84" s="2"/>
      <c r="I84" s="2"/>
      <c r="J84" s="22"/>
      <c r="K84" s="2"/>
      <c r="L84" s="2">
        <f t="shared" si="0"/>
        <v>-373.98</v>
      </c>
      <c r="M84" s="2"/>
      <c r="N84" s="22">
        <f t="shared" si="1"/>
        <v>0</v>
      </c>
      <c r="O84" s="11"/>
      <c r="P84" s="2">
        <f>-373.98</f>
        <v>-373.98</v>
      </c>
      <c r="Q84" s="2"/>
      <c r="R84" s="22"/>
      <c r="S84" s="2"/>
      <c r="T84" s="2"/>
      <c r="U84" s="2"/>
      <c r="V84" s="22"/>
      <c r="W84" s="2"/>
      <c r="X84" s="2">
        <f t="shared" si="2"/>
        <v>-373.98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"4244", " - ", "SALES RETURN TAXABLE-ACCESSORI")</f>
        <v xml:space="preserve">          4244 - SALES RETURN TAXABLE-ACCESSORI</v>
      </c>
      <c r="C85" s="11"/>
      <c r="D85" s="2">
        <f>-106.79</f>
        <v>-106.79</v>
      </c>
      <c r="E85" s="2"/>
      <c r="F85" s="22"/>
      <c r="G85" s="2"/>
      <c r="H85" s="2"/>
      <c r="I85" s="2"/>
      <c r="J85" s="22"/>
      <c r="K85" s="2"/>
      <c r="L85" s="2">
        <f t="shared" si="0"/>
        <v>-106.79</v>
      </c>
      <c r="M85" s="2"/>
      <c r="N85" s="22">
        <f t="shared" si="1"/>
        <v>0</v>
      </c>
      <c r="O85" s="11"/>
      <c r="P85" s="2">
        <f>-106.79</f>
        <v>-106.79</v>
      </c>
      <c r="Q85" s="2"/>
      <c r="R85" s="22"/>
      <c r="S85" s="2"/>
      <c r="T85" s="2"/>
      <c r="U85" s="2"/>
      <c r="V85" s="22"/>
      <c r="W85" s="2"/>
      <c r="X85" s="2">
        <f t="shared" si="2"/>
        <v>-106.79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"4281", " - ", "SALES RETURN TAXABLE-ELECTRONI")</f>
        <v xml:space="preserve">          4281 - SALES RETURN TAXABLE-ELECTRONI</v>
      </c>
      <c r="C86" s="11"/>
      <c r="D86" s="2">
        <f>-1658.99</f>
        <v>-1658.99</v>
      </c>
      <c r="E86" s="2"/>
      <c r="F86" s="22"/>
      <c r="G86" s="2"/>
      <c r="H86" s="2"/>
      <c r="I86" s="2"/>
      <c r="J86" s="22"/>
      <c r="K86" s="2"/>
      <c r="L86" s="2">
        <f t="shared" si="0"/>
        <v>-1658.99</v>
      </c>
      <c r="M86" s="2"/>
      <c r="N86" s="22">
        <f t="shared" si="1"/>
        <v>0</v>
      </c>
      <c r="O86" s="11"/>
      <c r="P86" s="2">
        <f>-1658.99</f>
        <v>-1658.99</v>
      </c>
      <c r="Q86" s="2"/>
      <c r="R86" s="22"/>
      <c r="S86" s="2"/>
      <c r="T86" s="2"/>
      <c r="U86" s="2"/>
      <c r="V86" s="22"/>
      <c r="W86" s="2"/>
      <c r="X86" s="2">
        <f t="shared" si="2"/>
        <v>-1658.99</v>
      </c>
      <c r="Y86" s="2"/>
      <c r="Z86" s="22">
        <f t="shared" si="3"/>
        <v>0</v>
      </c>
    </row>
    <row r="87" spans="1:26" s="24" customFormat="1" hidden="1" outlineLevel="1" x14ac:dyDescent="0.25">
      <c r="A87" s="51"/>
      <c r="B87" s="11" t="str">
        <f>CONCATENATE("          ", "4282", " - ", "SALES RETURN TAXABLE-COMPUTER")</f>
        <v xml:space="preserve">          4282 - SALES RETURN TAXABLE-COMPUTER</v>
      </c>
      <c r="C87" s="11"/>
      <c r="D87" s="2">
        <f>-70341.06</f>
        <v>-70341.06</v>
      </c>
      <c r="E87" s="2"/>
      <c r="F87" s="22"/>
      <c r="G87" s="2"/>
      <c r="H87" s="2"/>
      <c r="I87" s="2"/>
      <c r="J87" s="22"/>
      <c r="K87" s="2"/>
      <c r="L87" s="2">
        <f t="shared" si="0"/>
        <v>-70341.06</v>
      </c>
      <c r="M87" s="2"/>
      <c r="N87" s="22">
        <f t="shared" si="1"/>
        <v>0</v>
      </c>
      <c r="O87" s="11"/>
      <c r="P87" s="2">
        <f>-70341.06</f>
        <v>-70341.06</v>
      </c>
      <c r="Q87" s="2"/>
      <c r="R87" s="22"/>
      <c r="S87" s="2"/>
      <c r="T87" s="2"/>
      <c r="U87" s="2"/>
      <c r="V87" s="22"/>
      <c r="W87" s="2"/>
      <c r="X87" s="2">
        <f t="shared" si="2"/>
        <v>-70341.06</v>
      </c>
      <c r="Y87" s="2"/>
      <c r="Z87" s="22">
        <f t="shared" si="3"/>
        <v>0</v>
      </c>
    </row>
    <row r="88" spans="1:26" s="24" customFormat="1" hidden="1" outlineLevel="1" x14ac:dyDescent="0.25">
      <c r="A88" s="51"/>
      <c r="B88" s="11" t="str">
        <f>CONCATENATE("          ", "4283", " - ", "SALES RETURN TAXABLE-COMPUTER")</f>
        <v xml:space="preserve">          4283 - SALES RETURN TAXABLE-COMPUTER</v>
      </c>
      <c r="C88" s="11"/>
      <c r="D88" s="2">
        <f>-226.8</f>
        <v>-226.8</v>
      </c>
      <c r="E88" s="2"/>
      <c r="F88" s="22"/>
      <c r="G88" s="2"/>
      <c r="H88" s="2"/>
      <c r="I88" s="2"/>
      <c r="J88" s="22"/>
      <c r="K88" s="2"/>
      <c r="L88" s="2">
        <f t="shared" si="0"/>
        <v>-226.8</v>
      </c>
      <c r="M88" s="2"/>
      <c r="N88" s="22">
        <f t="shared" si="1"/>
        <v>0</v>
      </c>
      <c r="O88" s="11"/>
      <c r="P88" s="2">
        <f>-226.8</f>
        <v>-226.8</v>
      </c>
      <c r="Q88" s="2"/>
      <c r="R88" s="22"/>
      <c r="S88" s="2"/>
      <c r="T88" s="2"/>
      <c r="U88" s="2"/>
      <c r="V88" s="22"/>
      <c r="W88" s="2"/>
      <c r="X88" s="2">
        <f t="shared" si="2"/>
        <v>-226.8</v>
      </c>
      <c r="Y88" s="2"/>
      <c r="Z88" s="22">
        <f t="shared" si="3"/>
        <v>0</v>
      </c>
    </row>
    <row r="89" spans="1:26" s="24" customFormat="1" hidden="1" outlineLevel="1" x14ac:dyDescent="0.25">
      <c r="A89" s="51"/>
      <c r="B89" s="11" t="str">
        <f>CONCATENATE("          ", "4285", " - ", "SALES RETURN TAXABLE-SOFTWARE")</f>
        <v xml:space="preserve">          4285 - SALES RETURN TAXABLE-SOFTWARE</v>
      </c>
      <c r="C89" s="11"/>
      <c r="D89" s="2">
        <f>-406.99</f>
        <v>-406.99</v>
      </c>
      <c r="E89" s="2"/>
      <c r="F89" s="22"/>
      <c r="G89" s="2"/>
      <c r="H89" s="2"/>
      <c r="I89" s="2"/>
      <c r="J89" s="22"/>
      <c r="K89" s="2"/>
      <c r="L89" s="2">
        <f t="shared" si="0"/>
        <v>-406.99</v>
      </c>
      <c r="M89" s="2"/>
      <c r="N89" s="22">
        <f t="shared" si="1"/>
        <v>0</v>
      </c>
      <c r="O89" s="11"/>
      <c r="P89" s="2">
        <f>-406.99</f>
        <v>-406.99</v>
      </c>
      <c r="Q89" s="2"/>
      <c r="R89" s="22"/>
      <c r="S89" s="2"/>
      <c r="T89" s="2"/>
      <c r="U89" s="2"/>
      <c r="V89" s="22"/>
      <c r="W89" s="2"/>
      <c r="X89" s="2">
        <f t="shared" si="2"/>
        <v>-406.99</v>
      </c>
      <c r="Y89" s="2"/>
      <c r="Z89" s="22">
        <f t="shared" si="3"/>
        <v>0</v>
      </c>
    </row>
    <row r="90" spans="1:26" s="24" customFormat="1" hidden="1" outlineLevel="1" x14ac:dyDescent="0.25">
      <c r="A90" s="51"/>
      <c r="B90" s="11" t="str">
        <f>CONCATENATE("          ", "4286", " - ", "SALES RETURN TAXABLE-COMPUTER")</f>
        <v xml:space="preserve">          4286 - SALES RETURN TAXABLE-COMPUTER</v>
      </c>
      <c r="C90" s="11"/>
      <c r="D90" s="2">
        <f>-545.95</f>
        <v>-545.95000000000005</v>
      </c>
      <c r="E90" s="2"/>
      <c r="F90" s="22"/>
      <c r="G90" s="2"/>
      <c r="H90" s="2"/>
      <c r="I90" s="2"/>
      <c r="J90" s="22"/>
      <c r="K90" s="2"/>
      <c r="L90" s="2">
        <f t="shared" si="0"/>
        <v>-545.95000000000005</v>
      </c>
      <c r="M90" s="2"/>
      <c r="N90" s="22">
        <f t="shared" si="1"/>
        <v>0</v>
      </c>
      <c r="O90" s="11"/>
      <c r="P90" s="2">
        <f>-545.95</f>
        <v>-545.95000000000005</v>
      </c>
      <c r="Q90" s="2"/>
      <c r="R90" s="22"/>
      <c r="S90" s="2"/>
      <c r="T90" s="2"/>
      <c r="U90" s="2"/>
      <c r="V90" s="22"/>
      <c r="W90" s="2"/>
      <c r="X90" s="2">
        <f t="shared" si="2"/>
        <v>-545.95000000000005</v>
      </c>
      <c r="Y90" s="2"/>
      <c r="Z90" s="22">
        <f t="shared" si="3"/>
        <v>0</v>
      </c>
    </row>
    <row r="91" spans="1:26" s="24" customFormat="1" hidden="1" outlineLevel="1" x14ac:dyDescent="0.25">
      <c r="A91" s="51"/>
      <c r="B91" s="11" t="str">
        <f>CONCATENATE("          ", "4292", " - ", "SALES RETURN TAXABLE-GRAD MERC")</f>
        <v xml:space="preserve">          4292 - SALES RETURN TAXABLE-GRAD MERC</v>
      </c>
      <c r="C91" s="11"/>
      <c r="D91" s="2">
        <f>-9.95</f>
        <v>-9.9499999999999993</v>
      </c>
      <c r="E91" s="2"/>
      <c r="F91" s="22"/>
      <c r="G91" s="2"/>
      <c r="H91" s="2"/>
      <c r="I91" s="2"/>
      <c r="J91" s="22"/>
      <c r="K91" s="2"/>
      <c r="L91" s="2">
        <f t="shared" si="0"/>
        <v>-9.9499999999999993</v>
      </c>
      <c r="M91" s="2"/>
      <c r="N91" s="22">
        <f t="shared" si="1"/>
        <v>0</v>
      </c>
      <c r="O91" s="11"/>
      <c r="P91" s="2">
        <f>-9.95</f>
        <v>-9.9499999999999993</v>
      </c>
      <c r="Q91" s="2"/>
      <c r="R91" s="22"/>
      <c r="S91" s="2"/>
      <c r="T91" s="2"/>
      <c r="U91" s="2"/>
      <c r="V91" s="22"/>
      <c r="W91" s="2"/>
      <c r="X91" s="2">
        <f t="shared" si="2"/>
        <v>-9.9499999999999993</v>
      </c>
      <c r="Y91" s="2"/>
      <c r="Z91" s="22">
        <f t="shared" si="3"/>
        <v>0</v>
      </c>
    </row>
    <row r="92" spans="1:26" s="24" customFormat="1" hidden="1" outlineLevel="1" x14ac:dyDescent="0.25">
      <c r="A92" s="51"/>
      <c r="B92" s="11" t="str">
        <f>CONCATENATE("          ", "4301", " - ", "SALES RETURN NON TAXABLE-NEW T")</f>
        <v xml:space="preserve">          4301 - SALES RETURN NON TAXABLE-NEW T</v>
      </c>
      <c r="C92" s="11"/>
      <c r="D92" s="2">
        <f>-254.59</f>
        <v>-254.59</v>
      </c>
      <c r="E92" s="2"/>
      <c r="F92" s="22"/>
      <c r="G92" s="2"/>
      <c r="H92" s="2"/>
      <c r="I92" s="2"/>
      <c r="J92" s="22"/>
      <c r="K92" s="2"/>
      <c r="L92" s="2">
        <f t="shared" si="0"/>
        <v>-254.59</v>
      </c>
      <c r="M92" s="2"/>
      <c r="N92" s="22">
        <f t="shared" si="1"/>
        <v>0</v>
      </c>
      <c r="O92" s="11"/>
      <c r="P92" s="2">
        <f>-254.59</f>
        <v>-254.59</v>
      </c>
      <c r="Q92" s="2"/>
      <c r="R92" s="22"/>
      <c r="S92" s="2"/>
      <c r="T92" s="2"/>
      <c r="U92" s="2"/>
      <c r="V92" s="22"/>
      <c r="W92" s="2"/>
      <c r="X92" s="2">
        <f t="shared" si="2"/>
        <v>-254.59</v>
      </c>
      <c r="Y92" s="2"/>
      <c r="Z92" s="22">
        <f t="shared" si="3"/>
        <v>0</v>
      </c>
    </row>
    <row r="93" spans="1:26" s="24" customFormat="1" hidden="1" outlineLevel="1" x14ac:dyDescent="0.25">
      <c r="A93" s="51"/>
      <c r="B93" s="11" t="str">
        <f>CONCATENATE("          ", "4311", " - ", "SALES RETURN NON TAXABLE-NO VA")</f>
        <v xml:space="preserve">          4311 - SALES RETURN NON TAXABLE-NO VA</v>
      </c>
      <c r="C93" s="11"/>
      <c r="D93" s="2">
        <f>-31.98</f>
        <v>-31.98</v>
      </c>
      <c r="E93" s="2"/>
      <c r="F93" s="22"/>
      <c r="G93" s="2"/>
      <c r="H93" s="2"/>
      <c r="I93" s="2"/>
      <c r="J93" s="22"/>
      <c r="K93" s="2"/>
      <c r="L93" s="2">
        <f t="shared" si="0"/>
        <v>-31.98</v>
      </c>
      <c r="M93" s="2"/>
      <c r="N93" s="22">
        <f t="shared" si="1"/>
        <v>0</v>
      </c>
      <c r="O93" s="11"/>
      <c r="P93" s="2">
        <f>-31.98</f>
        <v>-31.98</v>
      </c>
      <c r="Q93" s="2"/>
      <c r="R93" s="22"/>
      <c r="S93" s="2"/>
      <c r="T93" s="2"/>
      <c r="U93" s="2"/>
      <c r="V93" s="22"/>
      <c r="W93" s="2"/>
      <c r="X93" s="2">
        <f t="shared" si="2"/>
        <v>-31.98</v>
      </c>
      <c r="Y93" s="2"/>
      <c r="Z93" s="22">
        <f t="shared" si="3"/>
        <v>0</v>
      </c>
    </row>
    <row r="94" spans="1:26" s="24" customFormat="1" hidden="1" outlineLevel="1" x14ac:dyDescent="0.25">
      <c r="A94" s="51"/>
      <c r="B94" s="11" t="str">
        <f>CONCATENATE("          ", "4340", " - ", "SALES RETURN NON TAXABLE-LOGO")</f>
        <v xml:space="preserve">          4340 - SALES RETURN NON TAXABLE-LOGO</v>
      </c>
      <c r="C94" s="11"/>
      <c r="D94" s="2">
        <f>-223.55</f>
        <v>-223.55</v>
      </c>
      <c r="E94" s="2"/>
      <c r="F94" s="22"/>
      <c r="G94" s="2"/>
      <c r="H94" s="2"/>
      <c r="I94" s="2"/>
      <c r="J94" s="22"/>
      <c r="K94" s="2"/>
      <c r="L94" s="2">
        <f t="shared" si="0"/>
        <v>-223.55</v>
      </c>
      <c r="M94" s="2"/>
      <c r="N94" s="22">
        <f t="shared" si="1"/>
        <v>0</v>
      </c>
      <c r="O94" s="11"/>
      <c r="P94" s="2">
        <f>-223.55</f>
        <v>-223.55</v>
      </c>
      <c r="Q94" s="2"/>
      <c r="R94" s="22"/>
      <c r="S94" s="2"/>
      <c r="T94" s="2"/>
      <c r="U94" s="2"/>
      <c r="V94" s="22"/>
      <c r="W94" s="2"/>
      <c r="X94" s="2">
        <f t="shared" si="2"/>
        <v>-223.55</v>
      </c>
      <c r="Y94" s="2"/>
      <c r="Z94" s="22">
        <f t="shared" si="3"/>
        <v>0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collapsed="1" x14ac:dyDescent="0.25">
      <c r="A96" s="10"/>
      <c r="B96" s="25" t="s">
        <v>8</v>
      </c>
      <c r="C96" s="10"/>
      <c r="D96" s="4">
        <f>SUM(OSRRefD16x_0)</f>
        <v>536242.61999999976</v>
      </c>
      <c r="E96" s="4"/>
      <c r="F96" s="12">
        <f t="shared" ref="F96:F140" si="4">IF(D$12=0,0,D96/D$12)</f>
        <v>0.74243475570099049</v>
      </c>
      <c r="G96" s="4"/>
      <c r="H96" s="4">
        <f>SUM(OSRRefH16x_0)</f>
        <v>530816.56432</v>
      </c>
      <c r="I96" s="4"/>
      <c r="J96" s="12">
        <f t="shared" ref="J96:J140" si="5">IF(H$12=0,0,H96/H$12)</f>
        <v>0.6647817833051799</v>
      </c>
      <c r="K96" s="4"/>
      <c r="L96" s="4">
        <f t="shared" ref="L96:L140" si="6">+D96-H96</f>
        <v>5426.0556799997576</v>
      </c>
      <c r="M96" s="4"/>
      <c r="N96" s="12">
        <f t="shared" ref="N96:N140" si="7">IF(H96=0,0,L96/H96)</f>
        <v>1.0222091857571889E-2</v>
      </c>
      <c r="O96" s="10"/>
      <c r="P96" s="4">
        <f>SUM(OSRRefP16x_0)</f>
        <v>536242.61999999976</v>
      </c>
      <c r="Q96" s="4"/>
      <c r="R96" s="12">
        <f t="shared" ref="R96:R140" si="8">IF(P$12=0,0,P96/P$12)</f>
        <v>0.74243475570099049</v>
      </c>
      <c r="S96" s="4"/>
      <c r="T96" s="4">
        <f>SUM(OSRRefT16x_0)</f>
        <v>530816.56432</v>
      </c>
      <c r="U96" s="4"/>
      <c r="V96" s="12">
        <f t="shared" ref="V96:V140" si="9">IF(T$12=0,0,T96/T$12)</f>
        <v>0.6647817833051799</v>
      </c>
      <c r="W96" s="4"/>
      <c r="X96" s="4">
        <f t="shared" ref="X96:X140" si="10">+P96-T96</f>
        <v>5426.0556799997576</v>
      </c>
      <c r="Y96" s="4"/>
      <c r="Z96" s="12">
        <f t="shared" ref="Z96:Z140" si="11">IF(T96=0,0,X96/T96)</f>
        <v>1.0222091857571889E-2</v>
      </c>
    </row>
    <row r="97" spans="1:26" s="24" customFormat="1" hidden="1" outlineLevel="1" x14ac:dyDescent="0.25">
      <c r="A97" s="51"/>
      <c r="B97" s="11" t="str">
        <f>CONCATENATE("          ", "5000", " - ", "PURCHASES @ COST")</f>
        <v xml:space="preserve">          5000 - PURCHASES @ COST</v>
      </c>
      <c r="C97" s="11"/>
      <c r="D97" s="2"/>
      <c r="E97" s="2"/>
      <c r="F97" s="22">
        <f t="shared" si="4"/>
        <v>0</v>
      </c>
      <c r="G97" s="2"/>
      <c r="H97" s="2">
        <v>530816.56432</v>
      </c>
      <c r="I97" s="2"/>
      <c r="J97" s="22">
        <f t="shared" si="5"/>
        <v>0.6647817833051799</v>
      </c>
      <c r="K97" s="2"/>
      <c r="L97" s="2">
        <f t="shared" si="6"/>
        <v>-530816.56432</v>
      </c>
      <c r="M97" s="2"/>
      <c r="N97" s="22">
        <f t="shared" si="7"/>
        <v>-1</v>
      </c>
      <c r="O97" s="11"/>
      <c r="P97" s="2"/>
      <c r="Q97" s="2"/>
      <c r="R97" s="22">
        <f t="shared" si="8"/>
        <v>0</v>
      </c>
      <c r="S97" s="2"/>
      <c r="T97" s="2">
        <v>530816.56432</v>
      </c>
      <c r="U97" s="2"/>
      <c r="V97" s="22">
        <f t="shared" si="9"/>
        <v>0.6647817833051799</v>
      </c>
      <c r="W97" s="2"/>
      <c r="X97" s="2">
        <f t="shared" si="10"/>
        <v>-530816.56432</v>
      </c>
      <c r="Y97" s="2"/>
      <c r="Z97" s="22">
        <f t="shared" si="11"/>
        <v>-1</v>
      </c>
    </row>
    <row r="98" spans="1:26" s="24" customFormat="1" hidden="1" outlineLevel="1" x14ac:dyDescent="0.25">
      <c r="A98" s="51"/>
      <c r="B98" s="11" t="str">
        <f>CONCATENATE("          ", "5001", " - ", "PURCHASES @ COST-NEW TEXT")</f>
        <v xml:space="preserve">          5001 - PURCHASES @ COST-NEW TEXT</v>
      </c>
      <c r="C98" s="11"/>
      <c r="D98" s="2">
        <v>343994.56</v>
      </c>
      <c r="E98" s="2"/>
      <c r="F98" s="22">
        <f t="shared" si="4"/>
        <v>0.47626486144661501</v>
      </c>
      <c r="G98" s="2"/>
      <c r="H98" s="2"/>
      <c r="I98" s="2"/>
      <c r="J98" s="22">
        <f t="shared" si="5"/>
        <v>0</v>
      </c>
      <c r="K98" s="2"/>
      <c r="L98" s="2">
        <f t="shared" si="6"/>
        <v>343994.56</v>
      </c>
      <c r="M98" s="2"/>
      <c r="N98" s="22">
        <f t="shared" si="7"/>
        <v>0</v>
      </c>
      <c r="O98" s="11"/>
      <c r="P98" s="2">
        <v>343994.56</v>
      </c>
      <c r="Q98" s="2"/>
      <c r="R98" s="22">
        <f t="shared" si="8"/>
        <v>0.47626486144661501</v>
      </c>
      <c r="S98" s="2"/>
      <c r="T98" s="2"/>
      <c r="U98" s="2"/>
      <c r="V98" s="22">
        <f t="shared" si="9"/>
        <v>0</v>
      </c>
      <c r="W98" s="2"/>
      <c r="X98" s="2">
        <f t="shared" si="10"/>
        <v>343994.56</v>
      </c>
      <c r="Y98" s="2"/>
      <c r="Z98" s="22">
        <f t="shared" si="11"/>
        <v>0</v>
      </c>
    </row>
    <row r="99" spans="1:26" s="24" customFormat="1" hidden="1" outlineLevel="1" x14ac:dyDescent="0.25">
      <c r="A99" s="51"/>
      <c r="B99" s="11" t="str">
        <f>CONCATENATE("          ", "5002", " - ", "PURCHASES @ COST-USED TEXT")</f>
        <v xml:space="preserve">          5002 - PURCHASES @ COST-USED TEXT</v>
      </c>
      <c r="C99" s="11"/>
      <c r="D99" s="2">
        <v>110293.25</v>
      </c>
      <c r="E99" s="2"/>
      <c r="F99" s="22">
        <f t="shared" si="4"/>
        <v>0.15270241317114686</v>
      </c>
      <c r="G99" s="2"/>
      <c r="H99" s="2"/>
      <c r="I99" s="2"/>
      <c r="J99" s="22">
        <f t="shared" si="5"/>
        <v>0</v>
      </c>
      <c r="K99" s="2"/>
      <c r="L99" s="2">
        <f t="shared" si="6"/>
        <v>110293.25</v>
      </c>
      <c r="M99" s="2"/>
      <c r="N99" s="22">
        <f t="shared" si="7"/>
        <v>0</v>
      </c>
      <c r="O99" s="11"/>
      <c r="P99" s="2">
        <v>110293.25</v>
      </c>
      <c r="Q99" s="2"/>
      <c r="R99" s="22">
        <f t="shared" si="8"/>
        <v>0.15270241317114686</v>
      </c>
      <c r="S99" s="2"/>
      <c r="T99" s="2"/>
      <c r="U99" s="2"/>
      <c r="V99" s="22">
        <f t="shared" si="9"/>
        <v>0</v>
      </c>
      <c r="W99" s="2"/>
      <c r="X99" s="2">
        <f t="shared" si="10"/>
        <v>110293.25</v>
      </c>
      <c r="Y99" s="2"/>
      <c r="Z99" s="22">
        <f t="shared" si="11"/>
        <v>0</v>
      </c>
    </row>
    <row r="100" spans="1:26" s="24" customFormat="1" hidden="1" outlineLevel="1" x14ac:dyDescent="0.25">
      <c r="A100" s="51"/>
      <c r="B100" s="11" t="str">
        <f>CONCATENATE("          ", "5003", " - ", "PURCHASES @ COST-RENTAL TEXT")</f>
        <v xml:space="preserve">          5003 - PURCHASES @ COST-RENTAL TEXT</v>
      </c>
      <c r="C100" s="11"/>
      <c r="D100" s="2">
        <v>38295.800000000003</v>
      </c>
      <c r="E100" s="2"/>
      <c r="F100" s="22">
        <f t="shared" si="4"/>
        <v>5.3021024172554589E-2</v>
      </c>
      <c r="G100" s="2"/>
      <c r="H100" s="2"/>
      <c r="I100" s="2"/>
      <c r="J100" s="22">
        <f t="shared" si="5"/>
        <v>0</v>
      </c>
      <c r="K100" s="2"/>
      <c r="L100" s="2">
        <f t="shared" si="6"/>
        <v>38295.800000000003</v>
      </c>
      <c r="M100" s="2"/>
      <c r="N100" s="22">
        <f t="shared" si="7"/>
        <v>0</v>
      </c>
      <c r="O100" s="11"/>
      <c r="P100" s="2">
        <v>38295.800000000003</v>
      </c>
      <c r="Q100" s="2"/>
      <c r="R100" s="22">
        <f t="shared" si="8"/>
        <v>5.3021024172554589E-2</v>
      </c>
      <c r="S100" s="2"/>
      <c r="T100" s="2"/>
      <c r="U100" s="2"/>
      <c r="V100" s="22">
        <f t="shared" si="9"/>
        <v>0</v>
      </c>
      <c r="W100" s="2"/>
      <c r="X100" s="2">
        <f t="shared" si="10"/>
        <v>38295.800000000003</v>
      </c>
      <c r="Y100" s="2"/>
      <c r="Z100" s="22">
        <f t="shared" si="11"/>
        <v>0</v>
      </c>
    </row>
    <row r="101" spans="1:26" s="24" customFormat="1" hidden="1" outlineLevel="1" x14ac:dyDescent="0.25">
      <c r="A101" s="51"/>
      <c r="B101" s="11" t="str">
        <f>CONCATENATE("          ", "5004", " - ", "PURCHASES @ COST-DIGITAL TEXT")</f>
        <v xml:space="preserve">          5004 - PURCHASES @ COST-DIGITAL TEXT</v>
      </c>
      <c r="C101" s="11"/>
      <c r="D101" s="2">
        <v>133958.57</v>
      </c>
      <c r="E101" s="2"/>
      <c r="F101" s="22">
        <f t="shared" si="4"/>
        <v>0.18546735093902847</v>
      </c>
      <c r="G101" s="2"/>
      <c r="H101" s="2"/>
      <c r="I101" s="2"/>
      <c r="J101" s="22">
        <f t="shared" si="5"/>
        <v>0</v>
      </c>
      <c r="K101" s="2"/>
      <c r="L101" s="2">
        <f t="shared" si="6"/>
        <v>133958.57</v>
      </c>
      <c r="M101" s="2"/>
      <c r="N101" s="22">
        <f t="shared" si="7"/>
        <v>0</v>
      </c>
      <c r="O101" s="11"/>
      <c r="P101" s="2">
        <v>133958.57</v>
      </c>
      <c r="Q101" s="2"/>
      <c r="R101" s="22">
        <f t="shared" si="8"/>
        <v>0.18546735093902847</v>
      </c>
      <c r="S101" s="2"/>
      <c r="T101" s="2"/>
      <c r="U101" s="2"/>
      <c r="V101" s="22">
        <f t="shared" si="9"/>
        <v>0</v>
      </c>
      <c r="W101" s="2"/>
      <c r="X101" s="2">
        <f t="shared" si="10"/>
        <v>133958.57</v>
      </c>
      <c r="Y101" s="2"/>
      <c r="Z101" s="22">
        <f t="shared" si="11"/>
        <v>0</v>
      </c>
    </row>
    <row r="102" spans="1:26" s="24" customFormat="1" hidden="1" outlineLevel="1" x14ac:dyDescent="0.25">
      <c r="A102" s="51"/>
      <c r="B102" s="11" t="str">
        <f>CONCATENATE("          ", "5011", " - ", "PURCHASES @ COST-NO VALUE TEXT")</f>
        <v xml:space="preserve">          5011 - PURCHASES @ COST-NO VALUE TEXT</v>
      </c>
      <c r="C102" s="11"/>
      <c r="D102" s="2">
        <v>288</v>
      </c>
      <c r="E102" s="2"/>
      <c r="F102" s="22">
        <f t="shared" si="4"/>
        <v>3.9873967802463248E-4</v>
      </c>
      <c r="G102" s="2"/>
      <c r="H102" s="2"/>
      <c r="I102" s="2"/>
      <c r="J102" s="22">
        <f t="shared" si="5"/>
        <v>0</v>
      </c>
      <c r="K102" s="2"/>
      <c r="L102" s="2">
        <f t="shared" si="6"/>
        <v>288</v>
      </c>
      <c r="M102" s="2"/>
      <c r="N102" s="22">
        <f t="shared" si="7"/>
        <v>0</v>
      </c>
      <c r="O102" s="11"/>
      <c r="P102" s="2">
        <v>288</v>
      </c>
      <c r="Q102" s="2"/>
      <c r="R102" s="22">
        <f t="shared" si="8"/>
        <v>3.9873967802463248E-4</v>
      </c>
      <c r="S102" s="2"/>
      <c r="T102" s="2"/>
      <c r="U102" s="2"/>
      <c r="V102" s="22">
        <f t="shared" si="9"/>
        <v>0</v>
      </c>
      <c r="W102" s="2"/>
      <c r="X102" s="2">
        <f t="shared" si="10"/>
        <v>288</v>
      </c>
      <c r="Y102" s="2"/>
      <c r="Z102" s="22">
        <f t="shared" si="11"/>
        <v>0</v>
      </c>
    </row>
    <row r="103" spans="1:26" s="24" customFormat="1" hidden="1" outlineLevel="1" x14ac:dyDescent="0.25">
      <c r="A103" s="51"/>
      <c r="B103" s="11" t="str">
        <f>CONCATENATE("          ", "5013", " - ", "PURCHASES @ COST-TRADE BOOKS")</f>
        <v xml:space="preserve">          5013 - PURCHASES @ COST-TRADE BOOKS</v>
      </c>
      <c r="C103" s="11"/>
      <c r="D103" s="2">
        <v>204.9</v>
      </c>
      <c r="E103" s="2"/>
      <c r="F103" s="22">
        <f t="shared" si="4"/>
        <v>2.83686666761275E-4</v>
      </c>
      <c r="G103" s="2"/>
      <c r="H103" s="2"/>
      <c r="I103" s="2"/>
      <c r="J103" s="22">
        <f t="shared" si="5"/>
        <v>0</v>
      </c>
      <c r="K103" s="2"/>
      <c r="L103" s="2">
        <f t="shared" si="6"/>
        <v>204.9</v>
      </c>
      <c r="M103" s="2"/>
      <c r="N103" s="22">
        <f t="shared" si="7"/>
        <v>0</v>
      </c>
      <c r="O103" s="11"/>
      <c r="P103" s="2">
        <v>204.9</v>
      </c>
      <c r="Q103" s="2"/>
      <c r="R103" s="22">
        <f t="shared" si="8"/>
        <v>2.83686666761275E-4</v>
      </c>
      <c r="S103" s="2"/>
      <c r="T103" s="2"/>
      <c r="U103" s="2"/>
      <c r="V103" s="22">
        <f t="shared" si="9"/>
        <v>0</v>
      </c>
      <c r="W103" s="2"/>
      <c r="X103" s="2">
        <f t="shared" si="10"/>
        <v>204.9</v>
      </c>
      <c r="Y103" s="2"/>
      <c r="Z103" s="22">
        <f t="shared" si="11"/>
        <v>0</v>
      </c>
    </row>
    <row r="104" spans="1:26" s="24" customFormat="1" hidden="1" outlineLevel="1" x14ac:dyDescent="0.25">
      <c r="A104" s="51"/>
      <c r="B104" s="11" t="str">
        <f>CONCATENATE("          ", "5014", " - ", "PURCHASES @ COST-REMAINDERS")</f>
        <v xml:space="preserve">          5014 - PURCHASES @ COST-REMAINDERS</v>
      </c>
      <c r="C104" s="11"/>
      <c r="D104" s="2">
        <v>100.48</v>
      </c>
      <c r="E104" s="2"/>
      <c r="F104" s="22">
        <f t="shared" si="4"/>
        <v>1.3911584322192735E-4</v>
      </c>
      <c r="G104" s="2"/>
      <c r="H104" s="2"/>
      <c r="I104" s="2"/>
      <c r="J104" s="22">
        <f t="shared" si="5"/>
        <v>0</v>
      </c>
      <c r="K104" s="2"/>
      <c r="L104" s="2">
        <f t="shared" si="6"/>
        <v>100.48</v>
      </c>
      <c r="M104" s="2"/>
      <c r="N104" s="22">
        <f t="shared" si="7"/>
        <v>0</v>
      </c>
      <c r="O104" s="11"/>
      <c r="P104" s="2">
        <v>100.48</v>
      </c>
      <c r="Q104" s="2"/>
      <c r="R104" s="22">
        <f t="shared" si="8"/>
        <v>1.3911584322192735E-4</v>
      </c>
      <c r="S104" s="2"/>
      <c r="T104" s="2"/>
      <c r="U104" s="2"/>
      <c r="V104" s="22">
        <f t="shared" si="9"/>
        <v>0</v>
      </c>
      <c r="W104" s="2"/>
      <c r="X104" s="2">
        <f t="shared" si="10"/>
        <v>100.48</v>
      </c>
      <c r="Y104" s="2"/>
      <c r="Z104" s="22">
        <f t="shared" si="11"/>
        <v>0</v>
      </c>
    </row>
    <row r="105" spans="1:26" s="24" customFormat="1" hidden="1" outlineLevel="1" x14ac:dyDescent="0.25">
      <c r="A105" s="51"/>
      <c r="B105" s="11" t="str">
        <f>CONCATENATE("          ", "5018", " - ", "PURCHASES @ COST-STUDY GUIDES")</f>
        <v xml:space="preserve">          5018 - PURCHASES @ COST-STUDY GUIDES</v>
      </c>
      <c r="C105" s="11"/>
      <c r="D105" s="2">
        <v>503.93</v>
      </c>
      <c r="E105" s="2"/>
      <c r="F105" s="22">
        <f t="shared" si="4"/>
        <v>6.9769752064914256E-4</v>
      </c>
      <c r="G105" s="2"/>
      <c r="H105" s="2"/>
      <c r="I105" s="2"/>
      <c r="J105" s="22">
        <f t="shared" si="5"/>
        <v>0</v>
      </c>
      <c r="K105" s="2"/>
      <c r="L105" s="2">
        <f t="shared" si="6"/>
        <v>503.93</v>
      </c>
      <c r="M105" s="2"/>
      <c r="N105" s="22">
        <f t="shared" si="7"/>
        <v>0</v>
      </c>
      <c r="O105" s="11"/>
      <c r="P105" s="2">
        <v>503.93</v>
      </c>
      <c r="Q105" s="2"/>
      <c r="R105" s="22">
        <f t="shared" si="8"/>
        <v>6.9769752064914256E-4</v>
      </c>
      <c r="S105" s="2"/>
      <c r="T105" s="2"/>
      <c r="U105" s="2"/>
      <c r="V105" s="22">
        <f t="shared" si="9"/>
        <v>0</v>
      </c>
      <c r="W105" s="2"/>
      <c r="X105" s="2">
        <f t="shared" si="10"/>
        <v>503.93</v>
      </c>
      <c r="Y105" s="2"/>
      <c r="Z105" s="22">
        <f t="shared" si="11"/>
        <v>0</v>
      </c>
    </row>
    <row r="106" spans="1:26" s="24" customFormat="1" hidden="1" outlineLevel="1" x14ac:dyDescent="0.25">
      <c r="A106" s="51"/>
      <c r="B106" s="11" t="str">
        <f>CONCATENATE("          ", "5025", " - ", "PURCHASES @ COST-TEST FORMS")</f>
        <v xml:space="preserve">          5025 - PURCHASES @ COST-TEST FORMS</v>
      </c>
      <c r="C106" s="11"/>
      <c r="D106" s="2">
        <v>879.12</v>
      </c>
      <c r="E106" s="2"/>
      <c r="F106" s="22">
        <f t="shared" si="4"/>
        <v>1.2171528671701907E-3</v>
      </c>
      <c r="G106" s="2"/>
      <c r="H106" s="2"/>
      <c r="I106" s="2"/>
      <c r="J106" s="22">
        <f t="shared" si="5"/>
        <v>0</v>
      </c>
      <c r="K106" s="2"/>
      <c r="L106" s="2">
        <f t="shared" si="6"/>
        <v>879.12</v>
      </c>
      <c r="M106" s="2"/>
      <c r="N106" s="22">
        <f t="shared" si="7"/>
        <v>0</v>
      </c>
      <c r="O106" s="11"/>
      <c r="P106" s="2">
        <v>879.12</v>
      </c>
      <c r="Q106" s="2"/>
      <c r="R106" s="22">
        <f t="shared" si="8"/>
        <v>1.2171528671701907E-3</v>
      </c>
      <c r="S106" s="2"/>
      <c r="T106" s="2"/>
      <c r="U106" s="2"/>
      <c r="V106" s="22">
        <f t="shared" si="9"/>
        <v>0</v>
      </c>
      <c r="W106" s="2"/>
      <c r="X106" s="2">
        <f t="shared" si="10"/>
        <v>879.12</v>
      </c>
      <c r="Y106" s="2"/>
      <c r="Z106" s="22">
        <f t="shared" si="11"/>
        <v>0</v>
      </c>
    </row>
    <row r="107" spans="1:26" s="24" customFormat="1" hidden="1" outlineLevel="1" x14ac:dyDescent="0.25">
      <c r="A107" s="51"/>
      <c r="B107" s="11" t="str">
        <f>CONCATENATE("          ", "5026", " - ", "PURCHASES @ COST-WRITING INSTR")</f>
        <v xml:space="preserve">          5026 - PURCHASES @ COST-WRITING INSTR</v>
      </c>
      <c r="C107" s="11"/>
      <c r="D107" s="2">
        <v>10331.040000000001</v>
      </c>
      <c r="E107" s="2"/>
      <c r="F107" s="22">
        <f t="shared" si="4"/>
        <v>1.430345681687361E-2</v>
      </c>
      <c r="G107" s="2"/>
      <c r="H107" s="2"/>
      <c r="I107" s="2"/>
      <c r="J107" s="22">
        <f t="shared" si="5"/>
        <v>0</v>
      </c>
      <c r="K107" s="2"/>
      <c r="L107" s="2">
        <f t="shared" si="6"/>
        <v>10331.040000000001</v>
      </c>
      <c r="M107" s="2"/>
      <c r="N107" s="22">
        <f t="shared" si="7"/>
        <v>0</v>
      </c>
      <c r="O107" s="11"/>
      <c r="P107" s="2">
        <v>10331.040000000001</v>
      </c>
      <c r="Q107" s="2"/>
      <c r="R107" s="22">
        <f t="shared" si="8"/>
        <v>1.430345681687361E-2</v>
      </c>
      <c r="S107" s="2"/>
      <c r="T107" s="2"/>
      <c r="U107" s="2"/>
      <c r="V107" s="22">
        <f t="shared" si="9"/>
        <v>0</v>
      </c>
      <c r="W107" s="2"/>
      <c r="X107" s="2">
        <f t="shared" si="10"/>
        <v>10331.040000000001</v>
      </c>
      <c r="Y107" s="2"/>
      <c r="Z107" s="22">
        <f t="shared" si="11"/>
        <v>0</v>
      </c>
    </row>
    <row r="108" spans="1:26" s="24" customFormat="1" hidden="1" outlineLevel="1" x14ac:dyDescent="0.25">
      <c r="A108" s="51"/>
      <c r="B108" s="11" t="str">
        <f>CONCATENATE("          ", "5027", " - ", "PURCHASES @ COST-SCHOOL SUPPLI")</f>
        <v xml:space="preserve">          5027 - PURCHASES @ COST-SCHOOL SUPPLI</v>
      </c>
      <c r="C108" s="11"/>
      <c r="D108" s="2">
        <v>50115.47</v>
      </c>
      <c r="E108" s="2"/>
      <c r="F108" s="22">
        <f t="shared" si="4"/>
        <v>6.9385508235601148E-2</v>
      </c>
      <c r="G108" s="2"/>
      <c r="H108" s="2"/>
      <c r="I108" s="2"/>
      <c r="J108" s="22">
        <f t="shared" si="5"/>
        <v>0</v>
      </c>
      <c r="K108" s="2"/>
      <c r="L108" s="2">
        <f t="shared" si="6"/>
        <v>50115.47</v>
      </c>
      <c r="M108" s="2"/>
      <c r="N108" s="22">
        <f t="shared" si="7"/>
        <v>0</v>
      </c>
      <c r="O108" s="11"/>
      <c r="P108" s="2">
        <v>50115.47</v>
      </c>
      <c r="Q108" s="2"/>
      <c r="R108" s="22">
        <f t="shared" si="8"/>
        <v>6.9385508235601148E-2</v>
      </c>
      <c r="S108" s="2"/>
      <c r="T108" s="2"/>
      <c r="U108" s="2"/>
      <c r="V108" s="22">
        <f t="shared" si="9"/>
        <v>0</v>
      </c>
      <c r="W108" s="2"/>
      <c r="X108" s="2">
        <f t="shared" si="10"/>
        <v>50115.47</v>
      </c>
      <c r="Y108" s="2"/>
      <c r="Z108" s="22">
        <f t="shared" si="11"/>
        <v>0</v>
      </c>
    </row>
    <row r="109" spans="1:26" s="24" customFormat="1" hidden="1" outlineLevel="1" x14ac:dyDescent="0.25">
      <c r="A109" s="51"/>
      <c r="B109" s="11" t="str">
        <f>CONCATENATE("          ", "5028", " - ", "PURCHASES @ COST-ART/TECH")</f>
        <v xml:space="preserve">          5028 - PURCHASES @ COST-ART/TECH</v>
      </c>
      <c r="C109" s="11"/>
      <c r="D109" s="2">
        <v>28027.649999999998</v>
      </c>
      <c r="E109" s="2"/>
      <c r="F109" s="22">
        <f t="shared" si="4"/>
        <v>3.8804639363844061E-2</v>
      </c>
      <c r="G109" s="2"/>
      <c r="H109" s="2"/>
      <c r="I109" s="2"/>
      <c r="J109" s="22">
        <f t="shared" si="5"/>
        <v>0</v>
      </c>
      <c r="K109" s="2"/>
      <c r="L109" s="2">
        <f t="shared" si="6"/>
        <v>28027.649999999998</v>
      </c>
      <c r="M109" s="2"/>
      <c r="N109" s="22">
        <f t="shared" si="7"/>
        <v>0</v>
      </c>
      <c r="O109" s="11"/>
      <c r="P109" s="2">
        <v>28027.649999999998</v>
      </c>
      <c r="Q109" s="2"/>
      <c r="R109" s="22">
        <f t="shared" si="8"/>
        <v>3.8804639363844061E-2</v>
      </c>
      <c r="S109" s="2"/>
      <c r="T109" s="2"/>
      <c r="U109" s="2"/>
      <c r="V109" s="22">
        <f t="shared" si="9"/>
        <v>0</v>
      </c>
      <c r="W109" s="2"/>
      <c r="X109" s="2">
        <f t="shared" si="10"/>
        <v>28027.649999999998</v>
      </c>
      <c r="Y109" s="2"/>
      <c r="Z109" s="22">
        <f t="shared" si="11"/>
        <v>0</v>
      </c>
    </row>
    <row r="110" spans="1:26" s="24" customFormat="1" hidden="1" outlineLevel="1" x14ac:dyDescent="0.25">
      <c r="A110" s="51"/>
      <c r="B110" s="11" t="str">
        <f>CONCATENATE("          ", "5032", " - ", "PURCHASES @ COST-JUICE")</f>
        <v xml:space="preserve">          5032 - PURCHASES @ COST-JUICE</v>
      </c>
      <c r="C110" s="11"/>
      <c r="D110" s="2">
        <v>114.42</v>
      </c>
      <c r="E110" s="2"/>
      <c r="F110" s="22">
        <f t="shared" si="4"/>
        <v>1.5841595124853629E-4</v>
      </c>
      <c r="G110" s="2"/>
      <c r="H110" s="2"/>
      <c r="I110" s="2"/>
      <c r="J110" s="22">
        <f t="shared" si="5"/>
        <v>0</v>
      </c>
      <c r="K110" s="2"/>
      <c r="L110" s="2">
        <f t="shared" si="6"/>
        <v>114.42</v>
      </c>
      <c r="M110" s="2"/>
      <c r="N110" s="22">
        <f t="shared" si="7"/>
        <v>0</v>
      </c>
      <c r="O110" s="11"/>
      <c r="P110" s="2">
        <v>114.42</v>
      </c>
      <c r="Q110" s="2"/>
      <c r="R110" s="22">
        <f t="shared" si="8"/>
        <v>1.5841595124853629E-4</v>
      </c>
      <c r="S110" s="2"/>
      <c r="T110" s="2"/>
      <c r="U110" s="2"/>
      <c r="V110" s="22">
        <f t="shared" si="9"/>
        <v>0</v>
      </c>
      <c r="W110" s="2"/>
      <c r="X110" s="2">
        <f t="shared" si="10"/>
        <v>114.42</v>
      </c>
      <c r="Y110" s="2"/>
      <c r="Z110" s="22">
        <f t="shared" si="11"/>
        <v>0</v>
      </c>
    </row>
    <row r="111" spans="1:26" s="24" customFormat="1" hidden="1" outlineLevel="1" x14ac:dyDescent="0.25">
      <c r="A111" s="51"/>
      <c r="B111" s="11" t="str">
        <f>CONCATENATE("          ", "5034", " - ", "PURCHASES @ COST-SODA")</f>
        <v xml:space="preserve">          5034 - PURCHASES @ COST-SODA</v>
      </c>
      <c r="C111" s="11"/>
      <c r="D111" s="2">
        <v>-61.54</v>
      </c>
      <c r="E111" s="2"/>
      <c r="F111" s="22">
        <f t="shared" si="4"/>
        <v>-8.5202915922346812E-5</v>
      </c>
      <c r="G111" s="2"/>
      <c r="H111" s="2"/>
      <c r="I111" s="2"/>
      <c r="J111" s="22">
        <f t="shared" si="5"/>
        <v>0</v>
      </c>
      <c r="K111" s="2"/>
      <c r="L111" s="2">
        <f t="shared" si="6"/>
        <v>-61.54</v>
      </c>
      <c r="M111" s="2"/>
      <c r="N111" s="22">
        <f t="shared" si="7"/>
        <v>0</v>
      </c>
      <c r="O111" s="11"/>
      <c r="P111" s="2">
        <v>-61.54</v>
      </c>
      <c r="Q111" s="2"/>
      <c r="R111" s="22">
        <f t="shared" si="8"/>
        <v>-8.5202915922346812E-5</v>
      </c>
      <c r="S111" s="2"/>
      <c r="T111" s="2"/>
      <c r="U111" s="2"/>
      <c r="V111" s="22">
        <f t="shared" si="9"/>
        <v>0</v>
      </c>
      <c r="W111" s="2"/>
      <c r="X111" s="2">
        <f t="shared" si="10"/>
        <v>-61.54</v>
      </c>
      <c r="Y111" s="2"/>
      <c r="Z111" s="22">
        <f t="shared" si="11"/>
        <v>0</v>
      </c>
    </row>
    <row r="112" spans="1:26" s="24" customFormat="1" hidden="1" outlineLevel="1" x14ac:dyDescent="0.25">
      <c r="A112" s="51"/>
      <c r="B112" s="11" t="str">
        <f>CONCATENATE("          ", "5037", " - ", "PURCHASES @ COST-WATER")</f>
        <v xml:space="preserve">          5037 - PURCHASES @ COST-WATER</v>
      </c>
      <c r="C112" s="11"/>
      <c r="D112" s="2">
        <v>33.58</v>
      </c>
      <c r="E112" s="2"/>
      <c r="F112" s="22">
        <f t="shared" si="4"/>
        <v>4.6491938847455412E-5</v>
      </c>
      <c r="G112" s="2"/>
      <c r="H112" s="2"/>
      <c r="I112" s="2"/>
      <c r="J112" s="22">
        <f t="shared" si="5"/>
        <v>0</v>
      </c>
      <c r="K112" s="2"/>
      <c r="L112" s="2">
        <f t="shared" si="6"/>
        <v>33.58</v>
      </c>
      <c r="M112" s="2"/>
      <c r="N112" s="22">
        <f t="shared" si="7"/>
        <v>0</v>
      </c>
      <c r="O112" s="11"/>
      <c r="P112" s="2">
        <v>33.58</v>
      </c>
      <c r="Q112" s="2"/>
      <c r="R112" s="22">
        <f t="shared" si="8"/>
        <v>4.6491938847455412E-5</v>
      </c>
      <c r="S112" s="2"/>
      <c r="T112" s="2"/>
      <c r="U112" s="2"/>
      <c r="V112" s="22">
        <f t="shared" si="9"/>
        <v>0</v>
      </c>
      <c r="W112" s="2"/>
      <c r="X112" s="2">
        <f t="shared" si="10"/>
        <v>33.58</v>
      </c>
      <c r="Y112" s="2"/>
      <c r="Z112" s="22">
        <f t="shared" si="11"/>
        <v>0</v>
      </c>
    </row>
    <row r="113" spans="1:26" s="24" customFormat="1" hidden="1" outlineLevel="1" x14ac:dyDescent="0.25">
      <c r="A113" s="51"/>
      <c r="B113" s="11" t="str">
        <f>CONCATENATE("          ", "5040", " - ", "PURCHASES @ COST-LOGO CLOTHING")</f>
        <v xml:space="preserve">          5040 - PURCHASES @ COST-LOGO CLOTHING</v>
      </c>
      <c r="C113" s="11"/>
      <c r="D113" s="2">
        <v>78921.570000000007</v>
      </c>
      <c r="E113" s="2"/>
      <c r="F113" s="22">
        <f t="shared" si="4"/>
        <v>0.10926792156596701</v>
      </c>
      <c r="G113" s="2"/>
      <c r="H113" s="2"/>
      <c r="I113" s="2"/>
      <c r="J113" s="22">
        <f t="shared" si="5"/>
        <v>0</v>
      </c>
      <c r="K113" s="2"/>
      <c r="L113" s="2">
        <f t="shared" si="6"/>
        <v>78921.570000000007</v>
      </c>
      <c r="M113" s="2"/>
      <c r="N113" s="22">
        <f t="shared" si="7"/>
        <v>0</v>
      </c>
      <c r="O113" s="11"/>
      <c r="P113" s="2">
        <v>78921.570000000007</v>
      </c>
      <c r="Q113" s="2"/>
      <c r="R113" s="22">
        <f t="shared" si="8"/>
        <v>0.10926792156596701</v>
      </c>
      <c r="S113" s="2"/>
      <c r="T113" s="2"/>
      <c r="U113" s="2"/>
      <c r="V113" s="22">
        <f t="shared" si="9"/>
        <v>0</v>
      </c>
      <c r="W113" s="2"/>
      <c r="X113" s="2">
        <f t="shared" si="10"/>
        <v>78921.570000000007</v>
      </c>
      <c r="Y113" s="2"/>
      <c r="Z113" s="22">
        <f t="shared" si="11"/>
        <v>0</v>
      </c>
    </row>
    <row r="114" spans="1:26" s="24" customFormat="1" hidden="1" outlineLevel="1" x14ac:dyDescent="0.25">
      <c r="A114" s="51"/>
      <c r="B114" s="11" t="str">
        <f>CONCATENATE("          ", "5041", " - ", "PURCHASES @ COST-LOGO GIFTS")</f>
        <v xml:space="preserve">          5041 - PURCHASES @ COST-LOGO GIFTS</v>
      </c>
      <c r="C114" s="11"/>
      <c r="D114" s="2">
        <v>11950.27</v>
      </c>
      <c r="E114" s="2"/>
      <c r="F114" s="22">
        <f t="shared" si="4"/>
        <v>1.6545301430928559E-2</v>
      </c>
      <c r="G114" s="2"/>
      <c r="H114" s="2"/>
      <c r="I114" s="2"/>
      <c r="J114" s="22">
        <f t="shared" si="5"/>
        <v>0</v>
      </c>
      <c r="K114" s="2"/>
      <c r="L114" s="2">
        <f t="shared" si="6"/>
        <v>11950.27</v>
      </c>
      <c r="M114" s="2"/>
      <c r="N114" s="22">
        <f t="shared" si="7"/>
        <v>0</v>
      </c>
      <c r="O114" s="11"/>
      <c r="P114" s="2">
        <v>11950.27</v>
      </c>
      <c r="Q114" s="2"/>
      <c r="R114" s="22">
        <f t="shared" si="8"/>
        <v>1.6545301430928559E-2</v>
      </c>
      <c r="S114" s="2"/>
      <c r="T114" s="2"/>
      <c r="U114" s="2"/>
      <c r="V114" s="22">
        <f t="shared" si="9"/>
        <v>0</v>
      </c>
      <c r="W114" s="2"/>
      <c r="X114" s="2">
        <f t="shared" si="10"/>
        <v>11950.27</v>
      </c>
      <c r="Y114" s="2"/>
      <c r="Z114" s="22">
        <f t="shared" si="11"/>
        <v>0</v>
      </c>
    </row>
    <row r="115" spans="1:26" s="24" customFormat="1" hidden="1" outlineLevel="1" x14ac:dyDescent="0.25">
      <c r="A115" s="51"/>
      <c r="B115" s="11" t="str">
        <f>CONCATENATE("          ", "5042", " - ", "PURCHASES @ COST-EVERYDAY GIFT")</f>
        <v xml:space="preserve">          5042 - PURCHASES @ COST-EVERYDAY GIFT</v>
      </c>
      <c r="C115" s="11"/>
      <c r="D115" s="2">
        <v>7752.36</v>
      </c>
      <c r="E115" s="2"/>
      <c r="F115" s="22">
        <f t="shared" si="4"/>
        <v>1.0733241424760554E-2</v>
      </c>
      <c r="G115" s="2"/>
      <c r="H115" s="2"/>
      <c r="I115" s="2"/>
      <c r="J115" s="22">
        <f t="shared" si="5"/>
        <v>0</v>
      </c>
      <c r="K115" s="2"/>
      <c r="L115" s="2">
        <f t="shared" si="6"/>
        <v>7752.36</v>
      </c>
      <c r="M115" s="2"/>
      <c r="N115" s="22">
        <f t="shared" si="7"/>
        <v>0</v>
      </c>
      <c r="O115" s="11"/>
      <c r="P115" s="2">
        <v>7752.36</v>
      </c>
      <c r="Q115" s="2"/>
      <c r="R115" s="22">
        <f t="shared" si="8"/>
        <v>1.0733241424760554E-2</v>
      </c>
      <c r="S115" s="2"/>
      <c r="T115" s="2"/>
      <c r="U115" s="2"/>
      <c r="V115" s="22">
        <f t="shared" si="9"/>
        <v>0</v>
      </c>
      <c r="W115" s="2"/>
      <c r="X115" s="2">
        <f t="shared" si="10"/>
        <v>7752.36</v>
      </c>
      <c r="Y115" s="2"/>
      <c r="Z115" s="22">
        <f t="shared" si="11"/>
        <v>0</v>
      </c>
    </row>
    <row r="116" spans="1:26" s="24" customFormat="1" hidden="1" outlineLevel="1" x14ac:dyDescent="0.25">
      <c r="A116" s="51"/>
      <c r="B116" s="11" t="str">
        <f>CONCATENATE("          ", "5043", " - ", "PURCHASES @ COST-CARDS")</f>
        <v xml:space="preserve">          5043 - PURCHASES @ COST-CARDS</v>
      </c>
      <c r="C116" s="11"/>
      <c r="D116" s="2">
        <v>498.26</v>
      </c>
      <c r="E116" s="2"/>
      <c r="F116" s="22">
        <f t="shared" si="4"/>
        <v>6.898473332380326E-4</v>
      </c>
      <c r="G116" s="2"/>
      <c r="H116" s="2"/>
      <c r="I116" s="2"/>
      <c r="J116" s="22">
        <f t="shared" si="5"/>
        <v>0</v>
      </c>
      <c r="K116" s="2"/>
      <c r="L116" s="2">
        <f t="shared" si="6"/>
        <v>498.26</v>
      </c>
      <c r="M116" s="2"/>
      <c r="N116" s="22">
        <f t="shared" si="7"/>
        <v>0</v>
      </c>
      <c r="O116" s="11"/>
      <c r="P116" s="2">
        <v>498.26</v>
      </c>
      <c r="Q116" s="2"/>
      <c r="R116" s="22">
        <f t="shared" si="8"/>
        <v>6.898473332380326E-4</v>
      </c>
      <c r="S116" s="2"/>
      <c r="T116" s="2"/>
      <c r="U116" s="2"/>
      <c r="V116" s="22">
        <f t="shared" si="9"/>
        <v>0</v>
      </c>
      <c r="W116" s="2"/>
      <c r="X116" s="2">
        <f t="shared" si="10"/>
        <v>498.26</v>
      </c>
      <c r="Y116" s="2"/>
      <c r="Z116" s="22">
        <f t="shared" si="11"/>
        <v>0</v>
      </c>
    </row>
    <row r="117" spans="1:26" s="24" customFormat="1" hidden="1" outlineLevel="1" x14ac:dyDescent="0.25">
      <c r="A117" s="51"/>
      <c r="B117" s="11" t="str">
        <f>CONCATENATE("          ", "5044", " - ", "PURCHASES @ COST-ACCESSORIES")</f>
        <v xml:space="preserve">          5044 - PURCHASES @ COST-ACCESSORIES</v>
      </c>
      <c r="C117" s="11"/>
      <c r="D117" s="2">
        <v>4839</v>
      </c>
      <c r="E117" s="2"/>
      <c r="F117" s="22">
        <f t="shared" si="4"/>
        <v>6.6996572984763776E-3</v>
      </c>
      <c r="G117" s="2"/>
      <c r="H117" s="2"/>
      <c r="I117" s="2"/>
      <c r="J117" s="22">
        <f t="shared" si="5"/>
        <v>0</v>
      </c>
      <c r="K117" s="2"/>
      <c r="L117" s="2">
        <f t="shared" si="6"/>
        <v>4839</v>
      </c>
      <c r="M117" s="2"/>
      <c r="N117" s="22">
        <f t="shared" si="7"/>
        <v>0</v>
      </c>
      <c r="O117" s="11"/>
      <c r="P117" s="2">
        <v>4839</v>
      </c>
      <c r="Q117" s="2"/>
      <c r="R117" s="22">
        <f t="shared" si="8"/>
        <v>6.6996572984763776E-3</v>
      </c>
      <c r="S117" s="2"/>
      <c r="T117" s="2"/>
      <c r="U117" s="2"/>
      <c r="V117" s="22">
        <f t="shared" si="9"/>
        <v>0</v>
      </c>
      <c r="W117" s="2"/>
      <c r="X117" s="2">
        <f t="shared" si="10"/>
        <v>4839</v>
      </c>
      <c r="Y117" s="2"/>
      <c r="Z117" s="22">
        <f t="shared" si="11"/>
        <v>0</v>
      </c>
    </row>
    <row r="118" spans="1:26" s="24" customFormat="1" hidden="1" outlineLevel="1" x14ac:dyDescent="0.25">
      <c r="A118" s="51"/>
      <c r="B118" s="11" t="str">
        <f>CONCATENATE("          ", "5045", " - ", "PURCHASES @ COST-SPECIAL ORDER")</f>
        <v xml:space="preserve">          5045 - PURCHASES @ COST-SPECIAL ORDER</v>
      </c>
      <c r="C118" s="11"/>
      <c r="D118" s="2">
        <v>15992.849999999999</v>
      </c>
      <c r="E118" s="2"/>
      <c r="F118" s="22">
        <f t="shared" si="4"/>
        <v>2.2142305068389732E-2</v>
      </c>
      <c r="G118" s="2"/>
      <c r="H118" s="2"/>
      <c r="I118" s="2"/>
      <c r="J118" s="22">
        <f t="shared" si="5"/>
        <v>0</v>
      </c>
      <c r="K118" s="2"/>
      <c r="L118" s="2">
        <f t="shared" si="6"/>
        <v>15992.849999999999</v>
      </c>
      <c r="M118" s="2"/>
      <c r="N118" s="22">
        <f t="shared" si="7"/>
        <v>0</v>
      </c>
      <c r="O118" s="11"/>
      <c r="P118" s="2">
        <v>15992.849999999999</v>
      </c>
      <c r="Q118" s="2"/>
      <c r="R118" s="22">
        <f t="shared" si="8"/>
        <v>2.2142305068389732E-2</v>
      </c>
      <c r="S118" s="2"/>
      <c r="T118" s="2"/>
      <c r="U118" s="2"/>
      <c r="V118" s="22">
        <f t="shared" si="9"/>
        <v>0</v>
      </c>
      <c r="W118" s="2"/>
      <c r="X118" s="2">
        <f t="shared" si="10"/>
        <v>15992.849999999999</v>
      </c>
      <c r="Y118" s="2"/>
      <c r="Z118" s="22">
        <f t="shared" si="11"/>
        <v>0</v>
      </c>
    </row>
    <row r="119" spans="1:26" s="24" customFormat="1" hidden="1" outlineLevel="1" x14ac:dyDescent="0.25">
      <c r="A119" s="51"/>
      <c r="B119" s="11" t="str">
        <f>CONCATENATE("          ", "5081", " - ", "PURCHASES @ COST-ELECTRONICS")</f>
        <v xml:space="preserve">          5081 - PURCHASES @ COST-ELECTRONICS</v>
      </c>
      <c r="C119" s="11"/>
      <c r="D119" s="2">
        <v>66058.349999999991</v>
      </c>
      <c r="E119" s="2"/>
      <c r="F119" s="22">
        <f t="shared" si="4"/>
        <v>9.1458629200828048E-2</v>
      </c>
      <c r="G119" s="2"/>
      <c r="H119" s="2"/>
      <c r="I119" s="2"/>
      <c r="J119" s="22">
        <f t="shared" si="5"/>
        <v>0</v>
      </c>
      <c r="K119" s="2"/>
      <c r="L119" s="2">
        <f t="shared" si="6"/>
        <v>66058.349999999991</v>
      </c>
      <c r="M119" s="2"/>
      <c r="N119" s="22">
        <f t="shared" si="7"/>
        <v>0</v>
      </c>
      <c r="O119" s="11"/>
      <c r="P119" s="2">
        <v>66058.349999999991</v>
      </c>
      <c r="Q119" s="2"/>
      <c r="R119" s="22">
        <f t="shared" si="8"/>
        <v>9.1458629200828048E-2</v>
      </c>
      <c r="S119" s="2"/>
      <c r="T119" s="2"/>
      <c r="U119" s="2"/>
      <c r="V119" s="22">
        <f t="shared" si="9"/>
        <v>0</v>
      </c>
      <c r="W119" s="2"/>
      <c r="X119" s="2">
        <f t="shared" si="10"/>
        <v>66058.349999999991</v>
      </c>
      <c r="Y119" s="2"/>
      <c r="Z119" s="22">
        <f t="shared" si="11"/>
        <v>0</v>
      </c>
    </row>
    <row r="120" spans="1:26" s="24" customFormat="1" hidden="1" outlineLevel="1" x14ac:dyDescent="0.25">
      <c r="A120" s="51"/>
      <c r="B120" s="11" t="str">
        <f>CONCATENATE("          ", "5082", " - ", "PURCHASES @ COST-COMPUTER HARD")</f>
        <v xml:space="preserve">          5082 - PURCHASES @ COST-COMPUTER HARD</v>
      </c>
      <c r="C120" s="11"/>
      <c r="D120" s="2">
        <v>356559.97</v>
      </c>
      <c r="E120" s="2"/>
      <c r="F120" s="22">
        <f t="shared" si="4"/>
        <v>0.49366183206344655</v>
      </c>
      <c r="G120" s="2"/>
      <c r="H120" s="2"/>
      <c r="I120" s="2"/>
      <c r="J120" s="22">
        <f t="shared" si="5"/>
        <v>0</v>
      </c>
      <c r="K120" s="2"/>
      <c r="L120" s="2">
        <f t="shared" si="6"/>
        <v>356559.97</v>
      </c>
      <c r="M120" s="2"/>
      <c r="N120" s="22">
        <f t="shared" si="7"/>
        <v>0</v>
      </c>
      <c r="O120" s="11"/>
      <c r="P120" s="2">
        <v>356559.97</v>
      </c>
      <c r="Q120" s="2"/>
      <c r="R120" s="22">
        <f t="shared" si="8"/>
        <v>0.49366183206344655</v>
      </c>
      <c r="S120" s="2"/>
      <c r="T120" s="2"/>
      <c r="U120" s="2"/>
      <c r="V120" s="22">
        <f t="shared" si="9"/>
        <v>0</v>
      </c>
      <c r="W120" s="2"/>
      <c r="X120" s="2">
        <f t="shared" si="10"/>
        <v>356559.97</v>
      </c>
      <c r="Y120" s="2"/>
      <c r="Z120" s="22">
        <f t="shared" si="11"/>
        <v>0</v>
      </c>
    </row>
    <row r="121" spans="1:26" s="24" customFormat="1" hidden="1" outlineLevel="1" x14ac:dyDescent="0.25">
      <c r="A121" s="51"/>
      <c r="B121" s="11" t="str">
        <f>CONCATENATE("          ", "5083", " - ", "PURCHASES @ COST-COMPUTER EQUI")</f>
        <v xml:space="preserve">          5083 - PURCHASES @ COST-COMPUTER EQUI</v>
      </c>
      <c r="C121" s="11"/>
      <c r="D121" s="2">
        <v>7276.14</v>
      </c>
      <c r="E121" s="2"/>
      <c r="F121" s="22">
        <f t="shared" si="4"/>
        <v>1.0073908752993575E-2</v>
      </c>
      <c r="G121" s="2"/>
      <c r="H121" s="2"/>
      <c r="I121" s="2"/>
      <c r="J121" s="22">
        <f t="shared" si="5"/>
        <v>0</v>
      </c>
      <c r="K121" s="2"/>
      <c r="L121" s="2">
        <f t="shared" si="6"/>
        <v>7276.14</v>
      </c>
      <c r="M121" s="2"/>
      <c r="N121" s="22">
        <f t="shared" si="7"/>
        <v>0</v>
      </c>
      <c r="O121" s="11"/>
      <c r="P121" s="2">
        <v>7276.14</v>
      </c>
      <c r="Q121" s="2"/>
      <c r="R121" s="22">
        <f t="shared" si="8"/>
        <v>1.0073908752993575E-2</v>
      </c>
      <c r="S121" s="2"/>
      <c r="T121" s="2"/>
      <c r="U121" s="2"/>
      <c r="V121" s="22">
        <f t="shared" si="9"/>
        <v>0</v>
      </c>
      <c r="W121" s="2"/>
      <c r="X121" s="2">
        <f t="shared" si="10"/>
        <v>7276.14</v>
      </c>
      <c r="Y121" s="2"/>
      <c r="Z121" s="22">
        <f t="shared" si="11"/>
        <v>0</v>
      </c>
    </row>
    <row r="122" spans="1:26" s="24" customFormat="1" hidden="1" outlineLevel="1" x14ac:dyDescent="0.25">
      <c r="A122" s="51"/>
      <c r="B122" s="11" t="str">
        <f>CONCATENATE("          ", "5086", " - ", "PURCHASES @ COST-COMPUTER SUPP")</f>
        <v xml:space="preserve">          5086 - PURCHASES @ COST-COMPUTER SUPP</v>
      </c>
      <c r="C122" s="11"/>
      <c r="D122" s="2">
        <v>3427.07</v>
      </c>
      <c r="E122" s="2"/>
      <c r="F122" s="22">
        <f t="shared" si="4"/>
        <v>4.7448221818329073E-3</v>
      </c>
      <c r="G122" s="2"/>
      <c r="H122" s="2"/>
      <c r="I122" s="2"/>
      <c r="J122" s="22">
        <f t="shared" si="5"/>
        <v>0</v>
      </c>
      <c r="K122" s="2"/>
      <c r="L122" s="2">
        <f t="shared" si="6"/>
        <v>3427.07</v>
      </c>
      <c r="M122" s="2"/>
      <c r="N122" s="22">
        <f t="shared" si="7"/>
        <v>0</v>
      </c>
      <c r="O122" s="11"/>
      <c r="P122" s="2">
        <v>3427.07</v>
      </c>
      <c r="Q122" s="2"/>
      <c r="R122" s="22">
        <f t="shared" si="8"/>
        <v>4.7448221818329073E-3</v>
      </c>
      <c r="S122" s="2"/>
      <c r="T122" s="2"/>
      <c r="U122" s="2"/>
      <c r="V122" s="22">
        <f t="shared" si="9"/>
        <v>0</v>
      </c>
      <c r="W122" s="2"/>
      <c r="X122" s="2">
        <f t="shared" si="10"/>
        <v>3427.07</v>
      </c>
      <c r="Y122" s="2"/>
      <c r="Z122" s="22">
        <f t="shared" si="11"/>
        <v>0</v>
      </c>
    </row>
    <row r="123" spans="1:26" s="24" customFormat="1" hidden="1" outlineLevel="1" x14ac:dyDescent="0.25">
      <c r="A123" s="51"/>
      <c r="B123" s="11" t="str">
        <f>CONCATENATE("          ", "5088", " - ", "PURCHASES @ COST-MUSIC")</f>
        <v xml:space="preserve">          5088 - PURCHASES @ COST-MUSIC</v>
      </c>
      <c r="C123" s="11"/>
      <c r="D123" s="2">
        <v>82</v>
      </c>
      <c r="E123" s="2"/>
      <c r="F123" s="22">
        <f t="shared" si="4"/>
        <v>1.1353004721534675E-4</v>
      </c>
      <c r="G123" s="2"/>
      <c r="H123" s="2"/>
      <c r="I123" s="2"/>
      <c r="J123" s="22">
        <f t="shared" si="5"/>
        <v>0</v>
      </c>
      <c r="K123" s="2"/>
      <c r="L123" s="2">
        <f t="shared" si="6"/>
        <v>82</v>
      </c>
      <c r="M123" s="2"/>
      <c r="N123" s="22">
        <f t="shared" si="7"/>
        <v>0</v>
      </c>
      <c r="O123" s="11"/>
      <c r="P123" s="2">
        <v>82</v>
      </c>
      <c r="Q123" s="2"/>
      <c r="R123" s="22">
        <f t="shared" si="8"/>
        <v>1.1353004721534675E-4</v>
      </c>
      <c r="S123" s="2"/>
      <c r="T123" s="2"/>
      <c r="U123" s="2"/>
      <c r="V123" s="22">
        <f t="shared" si="9"/>
        <v>0</v>
      </c>
      <c r="W123" s="2"/>
      <c r="X123" s="2">
        <f t="shared" si="10"/>
        <v>82</v>
      </c>
      <c r="Y123" s="2"/>
      <c r="Z123" s="22">
        <f t="shared" si="11"/>
        <v>0</v>
      </c>
    </row>
    <row r="124" spans="1:26" s="24" customFormat="1" hidden="1" outlineLevel="1" x14ac:dyDescent="0.25">
      <c r="A124" s="51"/>
      <c r="B124" s="11" t="str">
        <f>CONCATENATE("          ", "5092", " - ", "PURCHASES @ COST-GRAD MERCH")</f>
        <v xml:space="preserve">          5092 - PURCHASES @ COST-GRAD MERCH</v>
      </c>
      <c r="C124" s="11"/>
      <c r="D124" s="2">
        <v>1228.5999999999999</v>
      </c>
      <c r="E124" s="2"/>
      <c r="F124" s="22">
        <f t="shared" si="4"/>
        <v>1.7010123903509148E-3</v>
      </c>
      <c r="G124" s="2"/>
      <c r="H124" s="2"/>
      <c r="I124" s="2"/>
      <c r="J124" s="22">
        <f t="shared" si="5"/>
        <v>0</v>
      </c>
      <c r="K124" s="2"/>
      <c r="L124" s="2">
        <f t="shared" si="6"/>
        <v>1228.5999999999999</v>
      </c>
      <c r="M124" s="2"/>
      <c r="N124" s="22">
        <f t="shared" si="7"/>
        <v>0</v>
      </c>
      <c r="O124" s="11"/>
      <c r="P124" s="2">
        <v>1228.5999999999999</v>
      </c>
      <c r="Q124" s="2"/>
      <c r="R124" s="22">
        <f t="shared" si="8"/>
        <v>1.7010123903509148E-3</v>
      </c>
      <c r="S124" s="2"/>
      <c r="T124" s="2"/>
      <c r="U124" s="2"/>
      <c r="V124" s="22">
        <f t="shared" si="9"/>
        <v>0</v>
      </c>
      <c r="W124" s="2"/>
      <c r="X124" s="2">
        <f t="shared" si="10"/>
        <v>1228.5999999999999</v>
      </c>
      <c r="Y124" s="2"/>
      <c r="Z124" s="22">
        <f t="shared" si="11"/>
        <v>0</v>
      </c>
    </row>
    <row r="125" spans="1:26" s="24" customFormat="1" hidden="1" outlineLevel="1" x14ac:dyDescent="0.25">
      <c r="A125" s="51"/>
      <c r="B125" s="11" t="str">
        <f>CONCATENATE("          ", "5095", " - ", "PURCHASES @ COST-CUSTOMER SERV")</f>
        <v xml:space="preserve">          5095 - PURCHASES @ COST-CUSTOMER SERV</v>
      </c>
      <c r="C125" s="11"/>
      <c r="D125" s="2">
        <v>0</v>
      </c>
      <c r="E125" s="2"/>
      <c r="F125" s="22">
        <f t="shared" si="4"/>
        <v>0</v>
      </c>
      <c r="G125" s="2"/>
      <c r="H125" s="2"/>
      <c r="I125" s="2"/>
      <c r="J125" s="22">
        <f t="shared" si="5"/>
        <v>0</v>
      </c>
      <c r="K125" s="2"/>
      <c r="L125" s="2">
        <f t="shared" si="6"/>
        <v>0</v>
      </c>
      <c r="M125" s="2"/>
      <c r="N125" s="22">
        <f t="shared" si="7"/>
        <v>0</v>
      </c>
      <c r="O125" s="11"/>
      <c r="P125" s="2">
        <v>0</v>
      </c>
      <c r="Q125" s="2"/>
      <c r="R125" s="22">
        <f t="shared" si="8"/>
        <v>0</v>
      </c>
      <c r="S125" s="2"/>
      <c r="T125" s="2"/>
      <c r="U125" s="2"/>
      <c r="V125" s="22">
        <f t="shared" si="9"/>
        <v>0</v>
      </c>
      <c r="W125" s="2"/>
      <c r="X125" s="2">
        <f t="shared" si="10"/>
        <v>0</v>
      </c>
      <c r="Y125" s="2"/>
      <c r="Z125" s="22">
        <f t="shared" si="11"/>
        <v>0</v>
      </c>
    </row>
    <row r="126" spans="1:26" s="24" customFormat="1" hidden="1" outlineLevel="1" x14ac:dyDescent="0.25">
      <c r="A126" s="51"/>
      <c r="B126" s="11" t="str">
        <f>CONCATENATE("          ", "5200", " - ", "PURCHASES OFFSET")</f>
        <v xml:space="preserve">          5200 - PURCHASES OFFSET</v>
      </c>
      <c r="C126" s="11"/>
      <c r="D126" s="2">
        <v>-1262309</v>
      </c>
      <c r="E126" s="2"/>
      <c r="F126" s="22">
        <f t="shared" si="4"/>
        <v>-1.7476829313458189</v>
      </c>
      <c r="G126" s="2"/>
      <c r="H126" s="2"/>
      <c r="I126" s="2"/>
      <c r="J126" s="22">
        <f t="shared" si="5"/>
        <v>0</v>
      </c>
      <c r="K126" s="2"/>
      <c r="L126" s="2">
        <f t="shared" si="6"/>
        <v>-1262309</v>
      </c>
      <c r="M126" s="2"/>
      <c r="N126" s="22">
        <f t="shared" si="7"/>
        <v>0</v>
      </c>
      <c r="O126" s="11"/>
      <c r="P126" s="2">
        <v>-1262309</v>
      </c>
      <c r="Q126" s="2"/>
      <c r="R126" s="22">
        <f t="shared" si="8"/>
        <v>-1.7476829313458189</v>
      </c>
      <c r="S126" s="2"/>
      <c r="T126" s="2"/>
      <c r="U126" s="2"/>
      <c r="V126" s="22">
        <f t="shared" si="9"/>
        <v>0</v>
      </c>
      <c r="W126" s="2"/>
      <c r="X126" s="2">
        <f t="shared" si="10"/>
        <v>-1262309</v>
      </c>
      <c r="Y126" s="2"/>
      <c r="Z126" s="22">
        <f t="shared" si="11"/>
        <v>0</v>
      </c>
    </row>
    <row r="127" spans="1:26" s="24" customFormat="1" hidden="1" outlineLevel="1" x14ac:dyDescent="0.25">
      <c r="A127" s="51"/>
      <c r="B127" s="11" t="str">
        <f>CONCATENATE("          ", "5300", " - ", "COG$ OFFSET")</f>
        <v xml:space="preserve">          5300 - COG$ OFFSET</v>
      </c>
      <c r="C127" s="11"/>
      <c r="D127" s="2">
        <v>523490</v>
      </c>
      <c r="E127" s="2"/>
      <c r="F127" s="22">
        <f t="shared" si="4"/>
        <v>0.7247785904483155</v>
      </c>
      <c r="G127" s="2"/>
      <c r="H127" s="2"/>
      <c r="I127" s="2"/>
      <c r="J127" s="22">
        <f t="shared" si="5"/>
        <v>0</v>
      </c>
      <c r="K127" s="2"/>
      <c r="L127" s="2">
        <f t="shared" si="6"/>
        <v>523490</v>
      </c>
      <c r="M127" s="2"/>
      <c r="N127" s="22">
        <f t="shared" si="7"/>
        <v>0</v>
      </c>
      <c r="O127" s="11"/>
      <c r="P127" s="2">
        <v>523490</v>
      </c>
      <c r="Q127" s="2"/>
      <c r="R127" s="22">
        <f t="shared" si="8"/>
        <v>0.7247785904483155</v>
      </c>
      <c r="S127" s="2"/>
      <c r="T127" s="2"/>
      <c r="U127" s="2"/>
      <c r="V127" s="22">
        <f t="shared" si="9"/>
        <v>0</v>
      </c>
      <c r="W127" s="2"/>
      <c r="X127" s="2">
        <f t="shared" si="10"/>
        <v>523490</v>
      </c>
      <c r="Y127" s="2"/>
      <c r="Z127" s="22">
        <f t="shared" si="11"/>
        <v>0</v>
      </c>
    </row>
    <row r="128" spans="1:26" s="24" customFormat="1" hidden="1" outlineLevel="1" x14ac:dyDescent="0.25">
      <c r="A128" s="51"/>
      <c r="B128" s="11" t="str">
        <f>CONCATENATE("          ", "5500", " - ", "FREIGHT-IN")</f>
        <v xml:space="preserve">          5500 - FREIGHT-IN</v>
      </c>
      <c r="C128" s="11"/>
      <c r="D128" s="2">
        <v>49</v>
      </c>
      <c r="E128" s="2"/>
      <c r="F128" s="22">
        <f t="shared" si="4"/>
        <v>6.7841125775024283E-5</v>
      </c>
      <c r="G128" s="2"/>
      <c r="H128" s="2"/>
      <c r="I128" s="2"/>
      <c r="J128" s="22">
        <f t="shared" si="5"/>
        <v>0</v>
      </c>
      <c r="K128" s="2"/>
      <c r="L128" s="2">
        <f t="shared" si="6"/>
        <v>49</v>
      </c>
      <c r="M128" s="2"/>
      <c r="N128" s="22">
        <f t="shared" si="7"/>
        <v>0</v>
      </c>
      <c r="O128" s="11"/>
      <c r="P128" s="2">
        <v>49</v>
      </c>
      <c r="Q128" s="2"/>
      <c r="R128" s="22">
        <f t="shared" si="8"/>
        <v>6.7841125775024283E-5</v>
      </c>
      <c r="S128" s="2"/>
      <c r="T128" s="2"/>
      <c r="U128" s="2"/>
      <c r="V128" s="22">
        <f t="shared" si="9"/>
        <v>0</v>
      </c>
      <c r="W128" s="2"/>
      <c r="X128" s="2">
        <f t="shared" si="10"/>
        <v>49</v>
      </c>
      <c r="Y128" s="2"/>
      <c r="Z128" s="22">
        <f t="shared" si="11"/>
        <v>0</v>
      </c>
    </row>
    <row r="129" spans="1:26" s="24" customFormat="1" hidden="1" outlineLevel="1" x14ac:dyDescent="0.25">
      <c r="A129" s="51"/>
      <c r="B129" s="11" t="str">
        <f>CONCATENATE("          ", "5501", " - ", "FREIGHT-IN-NEW TEXT")</f>
        <v xml:space="preserve">          5501 - FREIGHT-IN-NEW TEXT</v>
      </c>
      <c r="C129" s="11"/>
      <c r="D129" s="2">
        <v>1716.08</v>
      </c>
      <c r="E129" s="2"/>
      <c r="F129" s="22">
        <f t="shared" si="4"/>
        <v>2.375934675918442E-3</v>
      </c>
      <c r="G129" s="2"/>
      <c r="H129" s="2"/>
      <c r="I129" s="2"/>
      <c r="J129" s="22">
        <f t="shared" si="5"/>
        <v>0</v>
      </c>
      <c r="K129" s="2"/>
      <c r="L129" s="2">
        <f t="shared" si="6"/>
        <v>1716.08</v>
      </c>
      <c r="M129" s="2"/>
      <c r="N129" s="22">
        <f t="shared" si="7"/>
        <v>0</v>
      </c>
      <c r="O129" s="11"/>
      <c r="P129" s="2">
        <v>1716.08</v>
      </c>
      <c r="Q129" s="2"/>
      <c r="R129" s="22">
        <f t="shared" si="8"/>
        <v>2.375934675918442E-3</v>
      </c>
      <c r="S129" s="2"/>
      <c r="T129" s="2"/>
      <c r="U129" s="2"/>
      <c r="V129" s="22">
        <f t="shared" si="9"/>
        <v>0</v>
      </c>
      <c r="W129" s="2"/>
      <c r="X129" s="2">
        <f t="shared" si="10"/>
        <v>1716.08</v>
      </c>
      <c r="Y129" s="2"/>
      <c r="Z129" s="22">
        <f t="shared" si="11"/>
        <v>0</v>
      </c>
    </row>
    <row r="130" spans="1:26" s="24" customFormat="1" hidden="1" outlineLevel="1" x14ac:dyDescent="0.25">
      <c r="A130" s="51"/>
      <c r="B130" s="11" t="str">
        <f>CONCATENATE("          ", "5502", " - ", "FREIGHT-IN-USED TEXT")</f>
        <v xml:space="preserve">          5502 - FREIGHT-IN-USED TEXT</v>
      </c>
      <c r="C130" s="11"/>
      <c r="D130" s="2">
        <v>277.49</v>
      </c>
      <c r="E130" s="2"/>
      <c r="F130" s="22">
        <f t="shared" si="4"/>
        <v>3.8418844880227528E-4</v>
      </c>
      <c r="G130" s="2"/>
      <c r="H130" s="2"/>
      <c r="I130" s="2"/>
      <c r="J130" s="22">
        <f t="shared" si="5"/>
        <v>0</v>
      </c>
      <c r="K130" s="2"/>
      <c r="L130" s="2">
        <f t="shared" si="6"/>
        <v>277.49</v>
      </c>
      <c r="M130" s="2"/>
      <c r="N130" s="22">
        <f t="shared" si="7"/>
        <v>0</v>
      </c>
      <c r="O130" s="11"/>
      <c r="P130" s="2">
        <v>277.49</v>
      </c>
      <c r="Q130" s="2"/>
      <c r="R130" s="22">
        <f t="shared" si="8"/>
        <v>3.8418844880227528E-4</v>
      </c>
      <c r="S130" s="2"/>
      <c r="T130" s="2"/>
      <c r="U130" s="2"/>
      <c r="V130" s="22">
        <f t="shared" si="9"/>
        <v>0</v>
      </c>
      <c r="W130" s="2"/>
      <c r="X130" s="2">
        <f t="shared" si="10"/>
        <v>277.49</v>
      </c>
      <c r="Y130" s="2"/>
      <c r="Z130" s="22">
        <f t="shared" si="11"/>
        <v>0</v>
      </c>
    </row>
    <row r="131" spans="1:26" s="24" customFormat="1" hidden="1" outlineLevel="1" x14ac:dyDescent="0.25">
      <c r="A131" s="51"/>
      <c r="B131" s="11" t="str">
        <f>CONCATENATE("          ", "5526", " - ", "FREIGHT-IN-WRITING INSTRUMENTS")</f>
        <v xml:space="preserve">          5526 - FREIGHT-IN-WRITING INSTRUMENTS</v>
      </c>
      <c r="C131" s="11"/>
      <c r="D131" s="2">
        <v>39.11</v>
      </c>
      <c r="E131" s="2"/>
      <c r="F131" s="22">
        <f t="shared" si="4"/>
        <v>5.4148294470636722E-5</v>
      </c>
      <c r="G131" s="2"/>
      <c r="H131" s="2"/>
      <c r="I131" s="2"/>
      <c r="J131" s="22">
        <f t="shared" si="5"/>
        <v>0</v>
      </c>
      <c r="K131" s="2"/>
      <c r="L131" s="2">
        <f t="shared" si="6"/>
        <v>39.11</v>
      </c>
      <c r="M131" s="2"/>
      <c r="N131" s="22">
        <f t="shared" si="7"/>
        <v>0</v>
      </c>
      <c r="O131" s="11"/>
      <c r="P131" s="2">
        <v>39.11</v>
      </c>
      <c r="Q131" s="2"/>
      <c r="R131" s="22">
        <f t="shared" si="8"/>
        <v>5.4148294470636722E-5</v>
      </c>
      <c r="S131" s="2"/>
      <c r="T131" s="2"/>
      <c r="U131" s="2"/>
      <c r="V131" s="22">
        <f t="shared" si="9"/>
        <v>0</v>
      </c>
      <c r="W131" s="2"/>
      <c r="X131" s="2">
        <f t="shared" si="10"/>
        <v>39.11</v>
      </c>
      <c r="Y131" s="2"/>
      <c r="Z131" s="22">
        <f t="shared" si="11"/>
        <v>0</v>
      </c>
    </row>
    <row r="132" spans="1:26" s="24" customFormat="1" hidden="1" outlineLevel="1" x14ac:dyDescent="0.25">
      <c r="A132" s="51"/>
      <c r="B132" s="11" t="str">
        <f>CONCATENATE("          ", "5527", " - ", "FREIGHT-IN-SCHOOL SUPPLIES")</f>
        <v xml:space="preserve">          5527 - FREIGHT-IN-SCHOOL SUPPLIES</v>
      </c>
      <c r="C132" s="11"/>
      <c r="D132" s="2">
        <v>250.02</v>
      </c>
      <c r="E132" s="2"/>
      <c r="F132" s="22">
        <f t="shared" si="4"/>
        <v>3.4615588298513407E-4</v>
      </c>
      <c r="G132" s="2"/>
      <c r="H132" s="2"/>
      <c r="I132" s="2"/>
      <c r="J132" s="22">
        <f t="shared" si="5"/>
        <v>0</v>
      </c>
      <c r="K132" s="2"/>
      <c r="L132" s="2">
        <f t="shared" si="6"/>
        <v>250.02</v>
      </c>
      <c r="M132" s="2"/>
      <c r="N132" s="22">
        <f t="shared" si="7"/>
        <v>0</v>
      </c>
      <c r="O132" s="11"/>
      <c r="P132" s="2">
        <v>250.02</v>
      </c>
      <c r="Q132" s="2"/>
      <c r="R132" s="22">
        <f t="shared" si="8"/>
        <v>3.4615588298513407E-4</v>
      </c>
      <c r="S132" s="2"/>
      <c r="T132" s="2"/>
      <c r="U132" s="2"/>
      <c r="V132" s="22">
        <f t="shared" si="9"/>
        <v>0</v>
      </c>
      <c r="W132" s="2"/>
      <c r="X132" s="2">
        <f t="shared" si="10"/>
        <v>250.02</v>
      </c>
      <c r="Y132" s="2"/>
      <c r="Z132" s="22">
        <f t="shared" si="11"/>
        <v>0</v>
      </c>
    </row>
    <row r="133" spans="1:26" s="24" customFormat="1" hidden="1" outlineLevel="1" x14ac:dyDescent="0.25">
      <c r="A133" s="51"/>
      <c r="B133" s="11" t="str">
        <f>CONCATENATE("          ", "5528", " - ", "FREIGHT-IN-ART/TECH")</f>
        <v xml:space="preserve">          5528 - FREIGHT-IN-ART/TECH</v>
      </c>
      <c r="C133" s="11"/>
      <c r="D133" s="2">
        <v>44.35</v>
      </c>
      <c r="E133" s="2"/>
      <c r="F133" s="22">
        <f t="shared" si="4"/>
        <v>6.1403141390251566E-5</v>
      </c>
      <c r="G133" s="2"/>
      <c r="H133" s="2"/>
      <c r="I133" s="2"/>
      <c r="J133" s="22">
        <f t="shared" si="5"/>
        <v>0</v>
      </c>
      <c r="K133" s="2"/>
      <c r="L133" s="2">
        <f t="shared" si="6"/>
        <v>44.35</v>
      </c>
      <c r="M133" s="2"/>
      <c r="N133" s="22">
        <f t="shared" si="7"/>
        <v>0</v>
      </c>
      <c r="O133" s="11"/>
      <c r="P133" s="2">
        <v>44.35</v>
      </c>
      <c r="Q133" s="2"/>
      <c r="R133" s="22">
        <f t="shared" si="8"/>
        <v>6.1403141390251566E-5</v>
      </c>
      <c r="S133" s="2"/>
      <c r="T133" s="2"/>
      <c r="U133" s="2"/>
      <c r="V133" s="22">
        <f t="shared" si="9"/>
        <v>0</v>
      </c>
      <c r="W133" s="2"/>
      <c r="X133" s="2">
        <f t="shared" si="10"/>
        <v>44.35</v>
      </c>
      <c r="Y133" s="2"/>
      <c r="Z133" s="22">
        <f t="shared" si="11"/>
        <v>0</v>
      </c>
    </row>
    <row r="134" spans="1:26" s="24" customFormat="1" hidden="1" outlineLevel="1" x14ac:dyDescent="0.25">
      <c r="A134" s="51"/>
      <c r="B134" s="11" t="str">
        <f>CONCATENATE("          ", "5540", " - ", "FREIGHT-IN-LOGO CLOTHING")</f>
        <v xml:space="preserve">          5540 - FREIGHT-IN-LOGO CLOTHING</v>
      </c>
      <c r="C134" s="11"/>
      <c r="D134" s="2">
        <v>395.22</v>
      </c>
      <c r="E134" s="2"/>
      <c r="F134" s="22">
        <f t="shared" si="4"/>
        <v>5.4718713732255305E-4</v>
      </c>
      <c r="G134" s="2"/>
      <c r="H134" s="2"/>
      <c r="I134" s="2"/>
      <c r="J134" s="22">
        <f t="shared" si="5"/>
        <v>0</v>
      </c>
      <c r="K134" s="2"/>
      <c r="L134" s="2">
        <f t="shared" si="6"/>
        <v>395.22</v>
      </c>
      <c r="M134" s="2"/>
      <c r="N134" s="22">
        <f t="shared" si="7"/>
        <v>0</v>
      </c>
      <c r="O134" s="11"/>
      <c r="P134" s="2">
        <v>395.22</v>
      </c>
      <c r="Q134" s="2"/>
      <c r="R134" s="22">
        <f t="shared" si="8"/>
        <v>5.4718713732255305E-4</v>
      </c>
      <c r="S134" s="2"/>
      <c r="T134" s="2"/>
      <c r="U134" s="2"/>
      <c r="V134" s="22">
        <f t="shared" si="9"/>
        <v>0</v>
      </c>
      <c r="W134" s="2"/>
      <c r="X134" s="2">
        <f t="shared" si="10"/>
        <v>395.22</v>
      </c>
      <c r="Y134" s="2"/>
      <c r="Z134" s="22">
        <f t="shared" si="11"/>
        <v>0</v>
      </c>
    </row>
    <row r="135" spans="1:26" s="24" customFormat="1" hidden="1" outlineLevel="1" x14ac:dyDescent="0.25">
      <c r="A135" s="51"/>
      <c r="B135" s="11" t="str">
        <f>CONCATENATE("          ", "5541", " - ", "FREIGHT-IN-LOGO GIFTS")</f>
        <v xml:space="preserve">          5541 - FREIGHT-IN-LOGO GIFTS</v>
      </c>
      <c r="C135" s="11"/>
      <c r="D135" s="2">
        <v>314.49</v>
      </c>
      <c r="E135" s="2"/>
      <c r="F135" s="22">
        <f t="shared" si="4"/>
        <v>4.3541542132627316E-4</v>
      </c>
      <c r="G135" s="2"/>
      <c r="H135" s="2"/>
      <c r="I135" s="2"/>
      <c r="J135" s="22">
        <f t="shared" si="5"/>
        <v>0</v>
      </c>
      <c r="K135" s="2"/>
      <c r="L135" s="2">
        <f t="shared" si="6"/>
        <v>314.49</v>
      </c>
      <c r="M135" s="2"/>
      <c r="N135" s="22">
        <f t="shared" si="7"/>
        <v>0</v>
      </c>
      <c r="O135" s="11"/>
      <c r="P135" s="2">
        <v>314.49</v>
      </c>
      <c r="Q135" s="2"/>
      <c r="R135" s="22">
        <f t="shared" si="8"/>
        <v>4.3541542132627316E-4</v>
      </c>
      <c r="S135" s="2"/>
      <c r="T135" s="2"/>
      <c r="U135" s="2"/>
      <c r="V135" s="22">
        <f t="shared" si="9"/>
        <v>0</v>
      </c>
      <c r="W135" s="2"/>
      <c r="X135" s="2">
        <f t="shared" si="10"/>
        <v>314.49</v>
      </c>
      <c r="Y135" s="2"/>
      <c r="Z135" s="22">
        <f t="shared" si="11"/>
        <v>0</v>
      </c>
    </row>
    <row r="136" spans="1:26" s="24" customFormat="1" hidden="1" outlineLevel="1" x14ac:dyDescent="0.25">
      <c r="A136" s="51"/>
      <c r="B136" s="11" t="str">
        <f>CONCATENATE("          ", "5542", " - ", "FREIGHT-IN-EVERYDAY GIFTS")</f>
        <v xml:space="preserve">          5542 - FREIGHT-IN-EVERYDAY GIFTS</v>
      </c>
      <c r="C136" s="11"/>
      <c r="D136" s="2">
        <v>29.72</v>
      </c>
      <c r="E136" s="2"/>
      <c r="F136" s="22">
        <f t="shared" si="4"/>
        <v>4.1147719551708599E-5</v>
      </c>
      <c r="G136" s="2"/>
      <c r="H136" s="2"/>
      <c r="I136" s="2"/>
      <c r="J136" s="22">
        <f t="shared" si="5"/>
        <v>0</v>
      </c>
      <c r="K136" s="2"/>
      <c r="L136" s="2">
        <f t="shared" si="6"/>
        <v>29.72</v>
      </c>
      <c r="M136" s="2"/>
      <c r="N136" s="22">
        <f t="shared" si="7"/>
        <v>0</v>
      </c>
      <c r="O136" s="11"/>
      <c r="P136" s="2">
        <v>29.72</v>
      </c>
      <c r="Q136" s="2"/>
      <c r="R136" s="22">
        <f t="shared" si="8"/>
        <v>4.1147719551708599E-5</v>
      </c>
      <c r="S136" s="2"/>
      <c r="T136" s="2"/>
      <c r="U136" s="2"/>
      <c r="V136" s="22">
        <f t="shared" si="9"/>
        <v>0</v>
      </c>
      <c r="W136" s="2"/>
      <c r="X136" s="2">
        <f t="shared" si="10"/>
        <v>29.72</v>
      </c>
      <c r="Y136" s="2"/>
      <c r="Z136" s="22">
        <f t="shared" si="11"/>
        <v>0</v>
      </c>
    </row>
    <row r="137" spans="1:26" s="24" customFormat="1" hidden="1" outlineLevel="1" x14ac:dyDescent="0.25">
      <c r="A137" s="51"/>
      <c r="B137" s="11" t="str">
        <f>CONCATENATE("          ", "5544", " - ", "FREIGHT-IN-ACCESSORIES")</f>
        <v xml:space="preserve">          5544 - FREIGHT-IN-ACCESSORIES</v>
      </c>
      <c r="C137" s="11"/>
      <c r="D137" s="2">
        <v>16.73</v>
      </c>
      <c r="E137" s="2"/>
      <c r="F137" s="22">
        <f t="shared" si="4"/>
        <v>2.3162898657472577E-5</v>
      </c>
      <c r="G137" s="2"/>
      <c r="H137" s="2"/>
      <c r="I137" s="2"/>
      <c r="J137" s="22">
        <f t="shared" si="5"/>
        <v>0</v>
      </c>
      <c r="K137" s="2"/>
      <c r="L137" s="2">
        <f t="shared" si="6"/>
        <v>16.73</v>
      </c>
      <c r="M137" s="2"/>
      <c r="N137" s="22">
        <f t="shared" si="7"/>
        <v>0</v>
      </c>
      <c r="O137" s="11"/>
      <c r="P137" s="2">
        <v>16.73</v>
      </c>
      <c r="Q137" s="2"/>
      <c r="R137" s="22">
        <f t="shared" si="8"/>
        <v>2.3162898657472577E-5</v>
      </c>
      <c r="S137" s="2"/>
      <c r="T137" s="2"/>
      <c r="U137" s="2"/>
      <c r="V137" s="22">
        <f t="shared" si="9"/>
        <v>0</v>
      </c>
      <c r="W137" s="2"/>
      <c r="X137" s="2">
        <f t="shared" si="10"/>
        <v>16.73</v>
      </c>
      <c r="Y137" s="2"/>
      <c r="Z137" s="22">
        <f t="shared" si="11"/>
        <v>0</v>
      </c>
    </row>
    <row r="138" spans="1:26" s="24" customFormat="1" hidden="1" outlineLevel="1" x14ac:dyDescent="0.25">
      <c r="A138" s="51"/>
      <c r="B138" s="11" t="str">
        <f>CONCATENATE("          ", "5545", " - ", "FREIGHT-IN-SPECIAL ORDERS")</f>
        <v xml:space="preserve">          5545 - FREIGHT-IN-SPECIAL ORDERS</v>
      </c>
      <c r="C138" s="11"/>
      <c r="D138" s="2">
        <v>227.08</v>
      </c>
      <c r="E138" s="2"/>
      <c r="F138" s="22">
        <f t="shared" si="4"/>
        <v>3.1439516002025538E-4</v>
      </c>
      <c r="G138" s="2"/>
      <c r="H138" s="2"/>
      <c r="I138" s="2"/>
      <c r="J138" s="22">
        <f t="shared" si="5"/>
        <v>0</v>
      </c>
      <c r="K138" s="2"/>
      <c r="L138" s="2">
        <f t="shared" si="6"/>
        <v>227.08</v>
      </c>
      <c r="M138" s="2"/>
      <c r="N138" s="22">
        <f t="shared" si="7"/>
        <v>0</v>
      </c>
      <c r="O138" s="11"/>
      <c r="P138" s="2">
        <v>227.08</v>
      </c>
      <c r="Q138" s="2"/>
      <c r="R138" s="22">
        <f t="shared" si="8"/>
        <v>3.1439516002025538E-4</v>
      </c>
      <c r="S138" s="2"/>
      <c r="T138" s="2"/>
      <c r="U138" s="2"/>
      <c r="V138" s="22">
        <f t="shared" si="9"/>
        <v>0</v>
      </c>
      <c r="W138" s="2"/>
      <c r="X138" s="2">
        <f t="shared" si="10"/>
        <v>227.08</v>
      </c>
      <c r="Y138" s="2"/>
      <c r="Z138" s="22">
        <f t="shared" si="11"/>
        <v>0</v>
      </c>
    </row>
    <row r="139" spans="1:26" s="24" customFormat="1" hidden="1" outlineLevel="1" x14ac:dyDescent="0.25">
      <c r="A139" s="51"/>
      <c r="B139" s="11" t="str">
        <f>CONCATENATE("          ", "5583", " - ", "FREIGHT-IN-COMPUTER EQUIPMENT")</f>
        <v xml:space="preserve">          5583 - FREIGHT-IN-COMPUTER EQUIPMENT</v>
      </c>
      <c r="C139" s="11"/>
      <c r="D139" s="2">
        <v>6.99</v>
      </c>
      <c r="E139" s="2"/>
      <c r="F139" s="22">
        <f t="shared" si="4"/>
        <v>9.6777442687228517E-6</v>
      </c>
      <c r="G139" s="2"/>
      <c r="H139" s="2"/>
      <c r="I139" s="2"/>
      <c r="J139" s="22">
        <f t="shared" si="5"/>
        <v>0</v>
      </c>
      <c r="K139" s="2"/>
      <c r="L139" s="2">
        <f t="shared" si="6"/>
        <v>6.99</v>
      </c>
      <c r="M139" s="2"/>
      <c r="N139" s="22">
        <f t="shared" si="7"/>
        <v>0</v>
      </c>
      <c r="O139" s="11"/>
      <c r="P139" s="2">
        <v>6.99</v>
      </c>
      <c r="Q139" s="2"/>
      <c r="R139" s="22">
        <f t="shared" si="8"/>
        <v>9.6777442687228517E-6</v>
      </c>
      <c r="S139" s="2"/>
      <c r="T139" s="2"/>
      <c r="U139" s="2"/>
      <c r="V139" s="22">
        <f t="shared" si="9"/>
        <v>0</v>
      </c>
      <c r="W139" s="2"/>
      <c r="X139" s="2">
        <f t="shared" si="10"/>
        <v>6.99</v>
      </c>
      <c r="Y139" s="2"/>
      <c r="Z139" s="22">
        <f t="shared" si="11"/>
        <v>0</v>
      </c>
    </row>
    <row r="140" spans="1:26" s="24" customFormat="1" hidden="1" outlineLevel="1" x14ac:dyDescent="0.25">
      <c r="A140" s="51"/>
      <c r="B140" s="11" t="str">
        <f>CONCATENATE("          ", "5586", " - ", "FREIGHT-IN-COMPUTER SUPPLIES")</f>
        <v xml:space="preserve">          5586 - FREIGHT-IN-COMPUTER SUPPLIES</v>
      </c>
      <c r="C140" s="11"/>
      <c r="D140" s="2">
        <v>29.67</v>
      </c>
      <c r="E140" s="2"/>
      <c r="F140" s="22">
        <f t="shared" si="4"/>
        <v>4.1078493913162663E-5</v>
      </c>
      <c r="G140" s="2"/>
      <c r="H140" s="2"/>
      <c r="I140" s="2"/>
      <c r="J140" s="22">
        <f t="shared" si="5"/>
        <v>0</v>
      </c>
      <c r="K140" s="2"/>
      <c r="L140" s="2">
        <f t="shared" si="6"/>
        <v>29.67</v>
      </c>
      <c r="M140" s="2"/>
      <c r="N140" s="22">
        <f t="shared" si="7"/>
        <v>0</v>
      </c>
      <c r="O140" s="11"/>
      <c r="P140" s="2">
        <v>29.67</v>
      </c>
      <c r="Q140" s="2"/>
      <c r="R140" s="22">
        <f t="shared" si="8"/>
        <v>4.1078493913162663E-5</v>
      </c>
      <c r="S140" s="2"/>
      <c r="T140" s="2"/>
      <c r="U140" s="2"/>
      <c r="V140" s="22">
        <f t="shared" si="9"/>
        <v>0</v>
      </c>
      <c r="W140" s="2"/>
      <c r="X140" s="2">
        <f t="shared" si="10"/>
        <v>29.67</v>
      </c>
      <c r="Y140" s="2"/>
      <c r="Z140" s="22">
        <f t="shared" si="11"/>
        <v>0</v>
      </c>
    </row>
    <row r="141" spans="1:26" x14ac:dyDescent="0.25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10"/>
      <c r="B142" s="26" t="s">
        <v>6</v>
      </c>
      <c r="C142" s="26"/>
      <c r="D142" s="21">
        <f>D12-D96</f>
        <v>186033.13000000035</v>
      </c>
      <c r="E142" s="13"/>
      <c r="F142" s="19">
        <f>IF(D$12=0,0,D142/D$12)</f>
        <v>0.25756524429900951</v>
      </c>
      <c r="G142" s="13"/>
      <c r="H142" s="21">
        <f>H12-H96</f>
        <v>267665.85149000003</v>
      </c>
      <c r="I142" s="13"/>
      <c r="J142" s="19">
        <f>IF(H$12=0,0,H142/H$12)</f>
        <v>0.3352182166948201</v>
      </c>
      <c r="K142" s="15"/>
      <c r="L142" s="21">
        <f>+D142-H142</f>
        <v>-81632.721489999676</v>
      </c>
      <c r="M142" s="15"/>
      <c r="N142" s="19">
        <f>IF(H142=0,0,L142/H142)</f>
        <v>-0.30497996302322289</v>
      </c>
      <c r="O142" s="25"/>
      <c r="P142" s="21">
        <f>P12-P96</f>
        <v>186033.13000000035</v>
      </c>
      <c r="Q142" s="13"/>
      <c r="R142" s="19">
        <f>IF(P$12=0,0,P142/P$12)</f>
        <v>0.25756524429900951</v>
      </c>
      <c r="S142" s="13"/>
      <c r="T142" s="21">
        <f>T12-T96</f>
        <v>267665.85149000003</v>
      </c>
      <c r="U142" s="13"/>
      <c r="V142" s="19">
        <f>IF(T$12=0,0,T142/T$12)</f>
        <v>0.3352182166948201</v>
      </c>
      <c r="W142" s="15"/>
      <c r="X142" s="21">
        <f>+P142-T142</f>
        <v>-81632.721489999676</v>
      </c>
      <c r="Y142" s="15"/>
      <c r="Z142" s="19">
        <f>IF(T142=0,0,X142/T142)</f>
        <v>-0.30497996302322289</v>
      </c>
    </row>
    <row r="143" spans="1:26" x14ac:dyDescent="0.25">
      <c r="A143" s="9"/>
      <c r="B143" s="10"/>
      <c r="C143" s="9"/>
      <c r="D143" s="1"/>
      <c r="E143" s="1"/>
      <c r="F143" s="5"/>
      <c r="G143" s="1"/>
      <c r="H143" s="1"/>
      <c r="I143" s="1"/>
      <c r="J143" s="5"/>
      <c r="K143" s="1"/>
      <c r="L143" s="1"/>
      <c r="M143" s="1"/>
      <c r="N143" s="5"/>
      <c r="O143" s="36"/>
      <c r="P143" s="1"/>
      <c r="Q143" s="1"/>
      <c r="R143" s="5"/>
      <c r="S143" s="1"/>
      <c r="T143" s="1"/>
      <c r="U143" s="1"/>
      <c r="V143" s="5"/>
      <c r="W143" s="1"/>
      <c r="X143" s="1"/>
      <c r="Y143" s="1"/>
      <c r="Z143" s="5"/>
    </row>
    <row r="144" spans="1:26" s="23" customFormat="1" x14ac:dyDescent="0.25">
      <c r="A144" s="10"/>
      <c r="B144" s="25" t="s">
        <v>9</v>
      </c>
      <c r="C144" s="10"/>
      <c r="D144" s="20">
        <f>SUM(OSRRefD22x_0)</f>
        <v>380794.21999999991</v>
      </c>
      <c r="E144" s="20"/>
      <c r="F144" s="30">
        <f t="shared" ref="F144:F155" si="12">IF(D$12=0,0,D144/D$12)</f>
        <v>0.52721446068208688</v>
      </c>
      <c r="G144" s="20"/>
      <c r="H144" s="20">
        <f>SUM(OSRRefH22x_0)</f>
        <v>444231.97889513517</v>
      </c>
      <c r="I144" s="20"/>
      <c r="J144" s="30">
        <f t="shared" ref="J144:J155" si="13">IF(H$12=0,0,H144/H$12)</f>
        <v>0.55634534975262473</v>
      </c>
      <c r="K144" s="4"/>
      <c r="L144" s="20">
        <f t="shared" ref="L144:L155" si="14">+D144-H144</f>
        <v>-63437.758895135252</v>
      </c>
      <c r="M144" s="4"/>
      <c r="N144" s="30">
        <f t="shared" ref="N144:N155" si="15">IF(H144=0,0,L144/H144)</f>
        <v>-0.14280322423638547</v>
      </c>
      <c r="O144" s="10"/>
      <c r="P144" s="20">
        <f>SUM(OSRRefP22x_0)</f>
        <v>380794.21999999991</v>
      </c>
      <c r="Q144" s="20"/>
      <c r="R144" s="30">
        <f t="shared" ref="R144:R155" si="16">IF(P$12=0,0,P144/P$12)</f>
        <v>0.52721446068208688</v>
      </c>
      <c r="S144" s="20"/>
      <c r="T144" s="20">
        <f>SUM(OSRRefT22x_0)</f>
        <v>444231.97889513517</v>
      </c>
      <c r="U144" s="20"/>
      <c r="V144" s="30">
        <f t="shared" ref="V144:V155" si="17">IF(T$12=0,0,T144/T$12)</f>
        <v>0.55634534975262473</v>
      </c>
      <c r="W144" s="4"/>
      <c r="X144" s="20">
        <f t="shared" ref="X144:X155" si="18">+P144-T144</f>
        <v>-63437.758895135252</v>
      </c>
      <c r="Y144" s="4"/>
      <c r="Z144" s="30">
        <f t="shared" ref="Z144:Z155" si="19">IF(T144=0,0,X144/T144)</f>
        <v>-0.14280322423638547</v>
      </c>
    </row>
    <row r="145" spans="1:26" s="27" customFormat="1" outlineLevel="1" collapsed="1" x14ac:dyDescent="0.25">
      <c r="A145" s="28"/>
      <c r="B145" s="14" t="str">
        <f>CONCATENATE("     ","*Benefits                                         ")</f>
        <v xml:space="preserve">     *Benefits                                         </v>
      </c>
      <c r="C145" s="14"/>
      <c r="D145" s="1">
        <f>SUM(OSRRefD22_0x_0)</f>
        <v>57870.109999999993</v>
      </c>
      <c r="E145" s="1"/>
      <c r="F145" s="5">
        <f t="shared" si="12"/>
        <v>8.0121906349479383E-2</v>
      </c>
      <c r="G145" s="1"/>
      <c r="H145" s="1">
        <f>SUM(OSRRefH22_0x_0)</f>
        <v>59622.371944108243</v>
      </c>
      <c r="I145" s="1"/>
      <c r="J145" s="5">
        <f t="shared" si="13"/>
        <v>7.4669611707886954E-2</v>
      </c>
      <c r="K145" s="1"/>
      <c r="L145" s="1">
        <f t="shared" si="14"/>
        <v>-1752.2619441082497</v>
      </c>
      <c r="M145" s="1"/>
      <c r="N145" s="5">
        <f t="shared" si="15"/>
        <v>-2.9389336367745843E-2</v>
      </c>
      <c r="O145" s="14"/>
      <c r="P145" s="1">
        <f>SUM(OSRRefP22_0x_0)</f>
        <v>57870.109999999993</v>
      </c>
      <c r="Q145" s="1"/>
      <c r="R145" s="5">
        <f t="shared" si="16"/>
        <v>8.0121906349479383E-2</v>
      </c>
      <c r="S145" s="1"/>
      <c r="T145" s="1">
        <f>SUM(OSRRefT22_0x_0)</f>
        <v>59622.371944108243</v>
      </c>
      <c r="U145" s="1"/>
      <c r="V145" s="5">
        <f t="shared" si="17"/>
        <v>7.4669611707886954E-2</v>
      </c>
      <c r="W145" s="1"/>
      <c r="X145" s="1">
        <f t="shared" si="18"/>
        <v>-1752.2619441082497</v>
      </c>
      <c r="Y145" s="1"/>
      <c r="Z145" s="5">
        <f t="shared" si="19"/>
        <v>-2.9389336367745843E-2</v>
      </c>
    </row>
    <row r="146" spans="1:26" s="24" customFormat="1" hidden="1" outlineLevel="2" x14ac:dyDescent="0.25">
      <c r="A146" s="29"/>
      <c r="B146" s="11" t="str">
        <f>CONCATENATE("          ", "6111", " - ", "F.I.C.A.")</f>
        <v xml:space="preserve">          6111 - F.I.C.A.</v>
      </c>
      <c r="C146" s="11"/>
      <c r="D146" s="7">
        <v>11334.49</v>
      </c>
      <c r="E146" s="2"/>
      <c r="F146" s="6">
        <f t="shared" si="12"/>
        <v>1.5692746156852143E-2</v>
      </c>
      <c r="G146" s="2"/>
      <c r="H146" s="7">
        <v>15290.690487547325</v>
      </c>
      <c r="I146" s="2"/>
      <c r="J146" s="6">
        <f t="shared" si="13"/>
        <v>1.914968969233477E-2</v>
      </c>
      <c r="K146" s="2"/>
      <c r="L146" s="7">
        <f t="shared" si="14"/>
        <v>-3956.2004875473249</v>
      </c>
      <c r="M146" s="2"/>
      <c r="N146" s="6">
        <f t="shared" si="15"/>
        <v>-0.25873262497656585</v>
      </c>
      <c r="O146" s="11"/>
      <c r="P146" s="7">
        <v>11334.49</v>
      </c>
      <c r="Q146" s="2"/>
      <c r="R146" s="6">
        <f t="shared" si="16"/>
        <v>1.5692746156852143E-2</v>
      </c>
      <c r="S146" s="2"/>
      <c r="T146" s="7">
        <v>15290.690487547325</v>
      </c>
      <c r="U146" s="2"/>
      <c r="V146" s="6">
        <f t="shared" si="17"/>
        <v>1.914968969233477E-2</v>
      </c>
      <c r="W146" s="2"/>
      <c r="X146" s="7">
        <f t="shared" si="18"/>
        <v>-3956.2004875473249</v>
      </c>
      <c r="Y146" s="2"/>
      <c r="Z146" s="6">
        <f t="shared" si="19"/>
        <v>-0.25873262497656585</v>
      </c>
    </row>
    <row r="147" spans="1:26" s="24" customFormat="1" hidden="1" outlineLevel="2" x14ac:dyDescent="0.25">
      <c r="A147" s="29"/>
      <c r="B147" s="11" t="str">
        <f>CONCATENATE("          ", "6112", " - ", "COMPENSATION INSURANCE")</f>
        <v xml:space="preserve">          6112 - COMPENSATION INSURANCE</v>
      </c>
      <c r="C147" s="11"/>
      <c r="D147" s="7">
        <v>2089.9899999999998</v>
      </c>
      <c r="E147" s="2"/>
      <c r="F147" s="6">
        <f t="shared" si="12"/>
        <v>2.8936178460927139E-3</v>
      </c>
      <c r="G147" s="2"/>
      <c r="H147" s="7">
        <v>3761.3060770673064</v>
      </c>
      <c r="I147" s="2"/>
      <c r="J147" s="6">
        <f t="shared" si="13"/>
        <v>4.7105684515941978E-3</v>
      </c>
      <c r="K147" s="2"/>
      <c r="L147" s="7">
        <f t="shared" si="14"/>
        <v>-1671.3160770673067</v>
      </c>
      <c r="M147" s="2"/>
      <c r="N147" s="6">
        <f t="shared" si="15"/>
        <v>-0.44434460871379899</v>
      </c>
      <c r="O147" s="11"/>
      <c r="P147" s="7">
        <v>2089.9899999999998</v>
      </c>
      <c r="Q147" s="2"/>
      <c r="R147" s="6">
        <f t="shared" si="16"/>
        <v>2.8936178460927139E-3</v>
      </c>
      <c r="S147" s="2"/>
      <c r="T147" s="7">
        <v>3761.3060770673064</v>
      </c>
      <c r="U147" s="2"/>
      <c r="V147" s="6">
        <f t="shared" si="17"/>
        <v>4.7105684515941978E-3</v>
      </c>
      <c r="W147" s="2"/>
      <c r="X147" s="7">
        <f t="shared" si="18"/>
        <v>-1671.3160770673067</v>
      </c>
      <c r="Y147" s="2"/>
      <c r="Z147" s="6">
        <f t="shared" si="19"/>
        <v>-0.44434460871379899</v>
      </c>
    </row>
    <row r="148" spans="1:26" s="24" customFormat="1" hidden="1" outlineLevel="2" x14ac:dyDescent="0.25">
      <c r="A148" s="29"/>
      <c r="B148" s="11" t="str">
        <f>CONCATENATE("          ", "6113", " - ", "GROUP INSURANCE")</f>
        <v xml:space="preserve">          6113 - GROUP INSURANCE</v>
      </c>
      <c r="C148" s="11"/>
      <c r="D148" s="7">
        <v>19495.329999999998</v>
      </c>
      <c r="E148" s="2"/>
      <c r="F148" s="6">
        <f t="shared" si="12"/>
        <v>2.6991533358277631E-2</v>
      </c>
      <c r="G148" s="2"/>
      <c r="H148" s="7">
        <v>20168.711538461539</v>
      </c>
      <c r="I148" s="2"/>
      <c r="J148" s="6">
        <f t="shared" si="13"/>
        <v>2.5258804876750987E-2</v>
      </c>
      <c r="K148" s="2"/>
      <c r="L148" s="7">
        <f t="shared" si="14"/>
        <v>-673.38153846154091</v>
      </c>
      <c r="M148" s="2"/>
      <c r="N148" s="6">
        <f t="shared" si="15"/>
        <v>-3.3387434649824251E-2</v>
      </c>
      <c r="O148" s="11"/>
      <c r="P148" s="7">
        <v>19495.329999999998</v>
      </c>
      <c r="Q148" s="2"/>
      <c r="R148" s="6">
        <f t="shared" si="16"/>
        <v>2.6991533358277631E-2</v>
      </c>
      <c r="S148" s="2"/>
      <c r="T148" s="7">
        <v>20168.711538461539</v>
      </c>
      <c r="U148" s="2"/>
      <c r="V148" s="6">
        <f t="shared" si="17"/>
        <v>2.5258804876750987E-2</v>
      </c>
      <c r="W148" s="2"/>
      <c r="X148" s="7">
        <f t="shared" si="18"/>
        <v>-673.38153846154091</v>
      </c>
      <c r="Y148" s="2"/>
      <c r="Z148" s="6">
        <f t="shared" si="19"/>
        <v>-3.3387434649824251E-2</v>
      </c>
    </row>
    <row r="149" spans="1:26" s="24" customFormat="1" hidden="1" outlineLevel="2" x14ac:dyDescent="0.25">
      <c r="A149" s="29"/>
      <c r="B149" s="11" t="str">
        <f>CONCATENATE("          ", "6114", " - ", "STATE UNEMPLOYMENT INSURANCE")</f>
        <v xml:space="preserve">          6114 - STATE UNEMPLOYMENT INSURANCE</v>
      </c>
      <c r="C149" s="11"/>
      <c r="D149" s="7">
        <v>383.96</v>
      </c>
      <c r="E149" s="2"/>
      <c r="F149" s="6">
        <f t="shared" si="12"/>
        <v>5.3159752352200653E-4</v>
      </c>
      <c r="G149" s="2"/>
      <c r="H149" s="7">
        <v>532.84299666931997</v>
      </c>
      <c r="I149" s="2"/>
      <c r="J149" s="6">
        <f t="shared" si="13"/>
        <v>6.6731963800203541E-4</v>
      </c>
      <c r="K149" s="2"/>
      <c r="L149" s="7">
        <f t="shared" si="14"/>
        <v>-148.88299666931999</v>
      </c>
      <c r="M149" s="2"/>
      <c r="N149" s="6">
        <f t="shared" si="15"/>
        <v>-0.27941250537203949</v>
      </c>
      <c r="O149" s="11"/>
      <c r="P149" s="7">
        <v>383.96</v>
      </c>
      <c r="Q149" s="2"/>
      <c r="R149" s="6">
        <f t="shared" si="16"/>
        <v>5.3159752352200653E-4</v>
      </c>
      <c r="S149" s="2"/>
      <c r="T149" s="7">
        <v>532.84299666931997</v>
      </c>
      <c r="U149" s="2"/>
      <c r="V149" s="6">
        <f t="shared" si="17"/>
        <v>6.6731963800203541E-4</v>
      </c>
      <c r="W149" s="2"/>
      <c r="X149" s="7">
        <f t="shared" si="18"/>
        <v>-148.88299666931999</v>
      </c>
      <c r="Y149" s="2"/>
      <c r="Z149" s="6">
        <f t="shared" si="19"/>
        <v>-0.27941250537203949</v>
      </c>
    </row>
    <row r="150" spans="1:26" s="24" customFormat="1" hidden="1" outlineLevel="2" x14ac:dyDescent="0.25">
      <c r="A150" s="29"/>
      <c r="B150" s="11" t="str">
        <f>CONCATENATE("          ", "6115", " - ", "P.E.R.S.")</f>
        <v xml:space="preserve">          6115 - P.E.R.S.</v>
      </c>
      <c r="C150" s="11"/>
      <c r="D150" s="7">
        <v>6297.89</v>
      </c>
      <c r="E150" s="2"/>
      <c r="F150" s="6">
        <f t="shared" si="12"/>
        <v>8.7195091348421967E-3</v>
      </c>
      <c r="G150" s="2"/>
      <c r="H150" s="7">
        <v>7878.1680506730709</v>
      </c>
      <c r="I150" s="2"/>
      <c r="J150" s="6">
        <f t="shared" si="13"/>
        <v>9.8664264793874822E-3</v>
      </c>
      <c r="K150" s="2"/>
      <c r="L150" s="7">
        <f t="shared" si="14"/>
        <v>-1580.2780506730705</v>
      </c>
      <c r="M150" s="2"/>
      <c r="N150" s="6">
        <f t="shared" si="15"/>
        <v>-0.20058953306258295</v>
      </c>
      <c r="O150" s="11"/>
      <c r="P150" s="7">
        <v>6297.89</v>
      </c>
      <c r="Q150" s="2"/>
      <c r="R150" s="6">
        <f t="shared" si="16"/>
        <v>8.7195091348421967E-3</v>
      </c>
      <c r="S150" s="2"/>
      <c r="T150" s="7">
        <v>7878.1680506730709</v>
      </c>
      <c r="U150" s="2"/>
      <c r="V150" s="6">
        <f t="shared" si="17"/>
        <v>9.8664264793874822E-3</v>
      </c>
      <c r="W150" s="2"/>
      <c r="X150" s="7">
        <f t="shared" si="18"/>
        <v>-1580.2780506730705</v>
      </c>
      <c r="Y150" s="2"/>
      <c r="Z150" s="6">
        <f t="shared" si="19"/>
        <v>-0.20058953306258295</v>
      </c>
    </row>
    <row r="151" spans="1:26" s="24" customFormat="1" hidden="1" outlineLevel="2" x14ac:dyDescent="0.25">
      <c r="A151" s="29"/>
      <c r="B151" s="11" t="str">
        <f>CONCATENATE("          ", "6116", " - ", "EDUCATIONAL BENEFITS")</f>
        <v xml:space="preserve">          6116 - EDUCATIONAL BENEFITS</v>
      </c>
      <c r="C151" s="11"/>
      <c r="D151" s="7"/>
      <c r="E151" s="2"/>
      <c r="F151" s="6">
        <f t="shared" si="12"/>
        <v>0</v>
      </c>
      <c r="G151" s="2"/>
      <c r="H151" s="7">
        <v>0</v>
      </c>
      <c r="I151" s="2"/>
      <c r="J151" s="6">
        <f t="shared" si="13"/>
        <v>0</v>
      </c>
      <c r="K151" s="2"/>
      <c r="L151" s="7">
        <f t="shared" si="14"/>
        <v>0</v>
      </c>
      <c r="M151" s="2"/>
      <c r="N151" s="6">
        <f t="shared" si="15"/>
        <v>0</v>
      </c>
      <c r="O151" s="11"/>
      <c r="P151" s="7"/>
      <c r="Q151" s="2"/>
      <c r="R151" s="6">
        <f t="shared" si="16"/>
        <v>0</v>
      </c>
      <c r="S151" s="2"/>
      <c r="T151" s="7">
        <v>0</v>
      </c>
      <c r="U151" s="2"/>
      <c r="V151" s="6">
        <f t="shared" si="17"/>
        <v>0</v>
      </c>
      <c r="W151" s="2"/>
      <c r="X151" s="7">
        <f t="shared" si="18"/>
        <v>0</v>
      </c>
      <c r="Y151" s="2"/>
      <c r="Z151" s="6">
        <f t="shared" si="19"/>
        <v>0</v>
      </c>
    </row>
    <row r="152" spans="1:26" s="24" customFormat="1" hidden="1" outlineLevel="2" x14ac:dyDescent="0.25">
      <c r="A152" s="29"/>
      <c r="B152" s="11" t="str">
        <f>CONCATENATE("          ", "6117", " - ", "RETIREMENT STAFF HOURLY")</f>
        <v xml:space="preserve">          6117 - RETIREMENT STAFF HOURLY</v>
      </c>
      <c r="C152" s="11"/>
      <c r="D152" s="7">
        <v>360.81</v>
      </c>
      <c r="E152" s="2"/>
      <c r="F152" s="6">
        <f t="shared" si="12"/>
        <v>4.9954605287523492E-4</v>
      </c>
      <c r="G152" s="2"/>
      <c r="H152" s="7"/>
      <c r="I152" s="2"/>
      <c r="J152" s="6">
        <f t="shared" si="13"/>
        <v>0</v>
      </c>
      <c r="K152" s="2"/>
      <c r="L152" s="7">
        <f t="shared" si="14"/>
        <v>360.81</v>
      </c>
      <c r="M152" s="2"/>
      <c r="N152" s="6">
        <f t="shared" si="15"/>
        <v>0</v>
      </c>
      <c r="O152" s="11"/>
      <c r="P152" s="7">
        <v>360.81</v>
      </c>
      <c r="Q152" s="2"/>
      <c r="R152" s="6">
        <f t="shared" si="16"/>
        <v>4.9954605287523492E-4</v>
      </c>
      <c r="S152" s="2"/>
      <c r="T152" s="7"/>
      <c r="U152" s="2"/>
      <c r="V152" s="6">
        <f t="shared" si="17"/>
        <v>0</v>
      </c>
      <c r="W152" s="2"/>
      <c r="X152" s="7">
        <f t="shared" si="18"/>
        <v>360.81</v>
      </c>
      <c r="Y152" s="2"/>
      <c r="Z152" s="6">
        <f t="shared" si="19"/>
        <v>0</v>
      </c>
    </row>
    <row r="153" spans="1:26" s="24" customFormat="1" hidden="1" outlineLevel="2" x14ac:dyDescent="0.25">
      <c r="A153" s="29"/>
      <c r="B153" s="11" t="str">
        <f>CONCATENATE("          ", "6118", " - ", "VACATION")</f>
        <v xml:space="preserve">          6118 - VACATION</v>
      </c>
      <c r="C153" s="11"/>
      <c r="D153" s="7">
        <v>7648.23</v>
      </c>
      <c r="E153" s="2"/>
      <c r="F153" s="6">
        <f t="shared" si="12"/>
        <v>1.0589072109924774E-2</v>
      </c>
      <c r="G153" s="2"/>
      <c r="H153" s="7">
        <v>5684.4326909807669</v>
      </c>
      <c r="I153" s="2"/>
      <c r="J153" s="6">
        <f t="shared" si="13"/>
        <v>7.1190455524488159E-3</v>
      </c>
      <c r="K153" s="2"/>
      <c r="L153" s="7">
        <f t="shared" si="14"/>
        <v>1963.7973090192327</v>
      </c>
      <c r="M153" s="2"/>
      <c r="N153" s="6">
        <f t="shared" si="15"/>
        <v>0.34546935741452289</v>
      </c>
      <c r="O153" s="11"/>
      <c r="P153" s="7">
        <v>7648.23</v>
      </c>
      <c r="Q153" s="2"/>
      <c r="R153" s="6">
        <f t="shared" si="16"/>
        <v>1.0589072109924774E-2</v>
      </c>
      <c r="S153" s="2"/>
      <c r="T153" s="7">
        <v>5684.4326909807669</v>
      </c>
      <c r="U153" s="2"/>
      <c r="V153" s="6">
        <f t="shared" si="17"/>
        <v>7.1190455524488159E-3</v>
      </c>
      <c r="W153" s="2"/>
      <c r="X153" s="7">
        <f t="shared" si="18"/>
        <v>1963.7973090192327</v>
      </c>
      <c r="Y153" s="2"/>
      <c r="Z153" s="6">
        <f t="shared" si="19"/>
        <v>0.34546935741452289</v>
      </c>
    </row>
    <row r="154" spans="1:26" s="24" customFormat="1" hidden="1" outlineLevel="2" x14ac:dyDescent="0.25">
      <c r="A154" s="29"/>
      <c r="B154" s="11" t="str">
        <f>CONCATENATE("          ", "6119", " - ", "SICK LEAVE")</f>
        <v xml:space="preserve">          6119 - SICK LEAVE</v>
      </c>
      <c r="C154" s="11"/>
      <c r="D154" s="7">
        <v>8379.7000000000007</v>
      </c>
      <c r="E154" s="2"/>
      <c r="F154" s="6">
        <f t="shared" si="12"/>
        <v>1.1601801666468795E-2</v>
      </c>
      <c r="G154" s="2"/>
      <c r="H154" s="7">
        <v>4756.2201027089159</v>
      </c>
      <c r="I154" s="2"/>
      <c r="J154" s="6">
        <f t="shared" si="13"/>
        <v>5.9565746327476608E-3</v>
      </c>
      <c r="K154" s="2"/>
      <c r="L154" s="7">
        <f t="shared" si="14"/>
        <v>3623.4798972910849</v>
      </c>
      <c r="M154" s="2"/>
      <c r="N154" s="6">
        <f t="shared" si="15"/>
        <v>0.76184024688582508</v>
      </c>
      <c r="O154" s="11"/>
      <c r="P154" s="7">
        <v>8379.7000000000007</v>
      </c>
      <c r="Q154" s="2"/>
      <c r="R154" s="6">
        <f t="shared" si="16"/>
        <v>1.1601801666468795E-2</v>
      </c>
      <c r="S154" s="2"/>
      <c r="T154" s="7">
        <v>4756.2201027089159</v>
      </c>
      <c r="U154" s="2"/>
      <c r="V154" s="6">
        <f t="shared" si="17"/>
        <v>5.9565746327476608E-3</v>
      </c>
      <c r="W154" s="2"/>
      <c r="X154" s="7">
        <f t="shared" si="18"/>
        <v>3623.4798972910849</v>
      </c>
      <c r="Y154" s="2"/>
      <c r="Z154" s="6">
        <f t="shared" si="19"/>
        <v>0.76184024688582508</v>
      </c>
    </row>
    <row r="155" spans="1:26" s="24" customFormat="1" hidden="1" outlineLevel="2" x14ac:dyDescent="0.25">
      <c r="A155" s="29"/>
      <c r="B155" s="11" t="str">
        <f>CONCATENATE("          ", "6156", " - ", "EMPLOYEE MEALS")</f>
        <v xml:space="preserve">          6156 - EMPLOYEE MEALS</v>
      </c>
      <c r="C155" s="11"/>
      <c r="D155" s="7">
        <v>1879.71</v>
      </c>
      <c r="E155" s="2"/>
      <c r="F155" s="6">
        <f t="shared" si="12"/>
        <v>2.6024825006238958E-3</v>
      </c>
      <c r="G155" s="2"/>
      <c r="H155" s="7">
        <v>1550</v>
      </c>
      <c r="I155" s="2"/>
      <c r="J155" s="6">
        <f t="shared" si="13"/>
        <v>1.9411823846210092E-3</v>
      </c>
      <c r="K155" s="2"/>
      <c r="L155" s="7">
        <f t="shared" si="14"/>
        <v>329.71000000000004</v>
      </c>
      <c r="M155" s="2"/>
      <c r="N155" s="6">
        <f t="shared" si="15"/>
        <v>0.21271612903225809</v>
      </c>
      <c r="O155" s="11"/>
      <c r="P155" s="7">
        <v>1879.71</v>
      </c>
      <c r="Q155" s="2"/>
      <c r="R155" s="6">
        <f t="shared" si="16"/>
        <v>2.6024825006238958E-3</v>
      </c>
      <c r="S155" s="2"/>
      <c r="T155" s="7">
        <v>1550</v>
      </c>
      <c r="U155" s="2"/>
      <c r="V155" s="6">
        <f t="shared" si="17"/>
        <v>1.9411823846210092E-3</v>
      </c>
      <c r="W155" s="2"/>
      <c r="X155" s="7">
        <f t="shared" si="18"/>
        <v>329.71000000000004</v>
      </c>
      <c r="Y155" s="2"/>
      <c r="Z155" s="6">
        <f t="shared" si="19"/>
        <v>0.21271612903225809</v>
      </c>
    </row>
    <row r="156" spans="1:26" s="27" customFormat="1" outlineLevel="1" collapsed="1" x14ac:dyDescent="0.25">
      <c r="A156" s="28"/>
      <c r="B156" s="14" t="str">
        <f>CONCATENATE("     ","*Payroll                                          ")</f>
        <v xml:space="preserve">     *Payroll                                          </v>
      </c>
      <c r="C156" s="14"/>
      <c r="D156" s="1">
        <f>SUM(OSRRefD22_1x_0)</f>
        <v>178211.31</v>
      </c>
      <c r="E156" s="1"/>
      <c r="F156" s="5">
        <f t="shared" ref="F156:F166" si="20">IF(D$12=0,0,D156/D$12)</f>
        <v>0.24673583461718043</v>
      </c>
      <c r="G156" s="1"/>
      <c r="H156" s="1">
        <f>SUM(OSRRefH22_1x_0)</f>
        <v>195675.10695102692</v>
      </c>
      <c r="I156" s="1"/>
      <c r="J156" s="5">
        <f t="shared" ref="J156:J166" si="21">IF(H$12=0,0,H156/H$12)</f>
        <v>0.24505875530462284</v>
      </c>
      <c r="K156" s="1"/>
      <c r="L156" s="1">
        <f t="shared" ref="L156:L166" si="22">+D156-H156</f>
        <v>-17463.796951026918</v>
      </c>
      <c r="M156" s="1"/>
      <c r="N156" s="5">
        <f t="shared" ref="N156:N166" si="23">IF(H156=0,0,L156/H156)</f>
        <v>-8.9248945474692976E-2</v>
      </c>
      <c r="O156" s="14"/>
      <c r="P156" s="1">
        <f>SUM(OSRRefP22_1x_0)</f>
        <v>178211.31</v>
      </c>
      <c r="Q156" s="1"/>
      <c r="R156" s="5">
        <f t="shared" ref="R156:R166" si="24">IF(P$12=0,0,P156/P$12)</f>
        <v>0.24673583461718043</v>
      </c>
      <c r="S156" s="1"/>
      <c r="T156" s="1">
        <f>SUM(OSRRefT22_1x_0)</f>
        <v>195675.10695102692</v>
      </c>
      <c r="U156" s="1"/>
      <c r="V156" s="5">
        <f t="shared" ref="V156:V166" si="25">IF(T$12=0,0,T156/T$12)</f>
        <v>0.24505875530462284</v>
      </c>
      <c r="W156" s="1"/>
      <c r="X156" s="1">
        <f t="shared" ref="X156:X166" si="26">+P156-T156</f>
        <v>-17463.796951026918</v>
      </c>
      <c r="Y156" s="1"/>
      <c r="Z156" s="5">
        <f t="shared" ref="Z156:Z166" si="27">IF(T156=0,0,X156/T156)</f>
        <v>-8.9248945474692976E-2</v>
      </c>
    </row>
    <row r="157" spans="1:26" s="24" customFormat="1" hidden="1" outlineLevel="2" x14ac:dyDescent="0.25">
      <c r="A157" s="29"/>
      <c r="B157" s="11" t="str">
        <f>CONCATENATE("          ", "6001", " - ", "ADMINISTRATIVE SALARIES")</f>
        <v xml:space="preserve">          6001 - ADMINISTRATIVE SALARIES</v>
      </c>
      <c r="C157" s="11"/>
      <c r="D157" s="7">
        <v>12860.28</v>
      </c>
      <c r="E157" s="2"/>
      <c r="F157" s="6">
        <f t="shared" si="20"/>
        <v>1.7805221897592434E-2</v>
      </c>
      <c r="G157" s="2"/>
      <c r="H157" s="7">
        <v>34564.902865769225</v>
      </c>
      <c r="I157" s="2"/>
      <c r="J157" s="6">
        <f t="shared" si="21"/>
        <v>4.3288245528495133E-2</v>
      </c>
      <c r="K157" s="2"/>
      <c r="L157" s="7">
        <f t="shared" si="22"/>
        <v>-21704.622865769226</v>
      </c>
      <c r="M157" s="2"/>
      <c r="N157" s="6">
        <f t="shared" si="23"/>
        <v>-0.62793819933641526</v>
      </c>
      <c r="O157" s="11"/>
      <c r="P157" s="7">
        <v>12860.28</v>
      </c>
      <c r="Q157" s="2"/>
      <c r="R157" s="6">
        <f t="shared" si="24"/>
        <v>1.7805221897592434E-2</v>
      </c>
      <c r="S157" s="2"/>
      <c r="T157" s="7">
        <v>34564.902865769225</v>
      </c>
      <c r="U157" s="2"/>
      <c r="V157" s="6">
        <f t="shared" si="25"/>
        <v>4.3288245528495133E-2</v>
      </c>
      <c r="W157" s="2"/>
      <c r="X157" s="7">
        <f t="shared" si="26"/>
        <v>-21704.622865769226</v>
      </c>
      <c r="Y157" s="2"/>
      <c r="Z157" s="6">
        <f t="shared" si="27"/>
        <v>-0.62793819933641526</v>
      </c>
    </row>
    <row r="158" spans="1:26" s="24" customFormat="1" hidden="1" outlineLevel="2" x14ac:dyDescent="0.25">
      <c r="A158" s="29"/>
      <c r="B158" s="11" t="str">
        <f>CONCATENATE("          ", "6002", " - ", "STAFF SALARIES")</f>
        <v xml:space="preserve">          6002 - STAFF SALARIES</v>
      </c>
      <c r="C158" s="11"/>
      <c r="D158" s="7">
        <v>67279.010000000009</v>
      </c>
      <c r="E158" s="2"/>
      <c r="F158" s="6">
        <f t="shared" si="20"/>
        <v>9.3148648559777891E-2</v>
      </c>
      <c r="G158" s="2"/>
      <c r="H158" s="7">
        <v>48915.043182057692</v>
      </c>
      <c r="I158" s="2"/>
      <c r="J158" s="6">
        <f t="shared" si="21"/>
        <v>6.1260013011604116E-2</v>
      </c>
      <c r="K158" s="2"/>
      <c r="L158" s="7">
        <f t="shared" si="22"/>
        <v>18363.966817942317</v>
      </c>
      <c r="M158" s="2"/>
      <c r="N158" s="6">
        <f t="shared" si="23"/>
        <v>0.37542575092069674</v>
      </c>
      <c r="O158" s="11"/>
      <c r="P158" s="7">
        <v>67279.010000000009</v>
      </c>
      <c r="Q158" s="2"/>
      <c r="R158" s="6">
        <f t="shared" si="24"/>
        <v>9.3148648559777891E-2</v>
      </c>
      <c r="S158" s="2"/>
      <c r="T158" s="7">
        <v>48915.043182057692</v>
      </c>
      <c r="U158" s="2"/>
      <c r="V158" s="6">
        <f t="shared" si="25"/>
        <v>6.1260013011604116E-2</v>
      </c>
      <c r="W158" s="2"/>
      <c r="X158" s="7">
        <f t="shared" si="26"/>
        <v>18363.966817942317</v>
      </c>
      <c r="Y158" s="2"/>
      <c r="Z158" s="6">
        <f t="shared" si="27"/>
        <v>0.37542575092069674</v>
      </c>
    </row>
    <row r="159" spans="1:26" s="24" customFormat="1" hidden="1" outlineLevel="2" x14ac:dyDescent="0.25">
      <c r="A159" s="29"/>
      <c r="B159" s="11" t="str">
        <f>CONCATENATE("          ", "6003", " - ", "STAFF HOURLY-9 MONTH")</f>
        <v xml:space="preserve">          6003 - STAFF HOURLY-9 MONTH</v>
      </c>
      <c r="C159" s="11"/>
      <c r="D159" s="7"/>
      <c r="E159" s="2"/>
      <c r="F159" s="6">
        <f t="shared" si="20"/>
        <v>0</v>
      </c>
      <c r="G159" s="2"/>
      <c r="H159" s="7">
        <v>0</v>
      </c>
      <c r="I159" s="2"/>
      <c r="J159" s="6">
        <f t="shared" si="21"/>
        <v>0</v>
      </c>
      <c r="K159" s="2"/>
      <c r="L159" s="7">
        <f t="shared" si="22"/>
        <v>0</v>
      </c>
      <c r="M159" s="2"/>
      <c r="N159" s="6">
        <f t="shared" si="23"/>
        <v>0</v>
      </c>
      <c r="O159" s="11"/>
      <c r="P159" s="7"/>
      <c r="Q159" s="2"/>
      <c r="R159" s="6">
        <f t="shared" si="24"/>
        <v>0</v>
      </c>
      <c r="S159" s="2"/>
      <c r="T159" s="7">
        <v>0</v>
      </c>
      <c r="U159" s="2"/>
      <c r="V159" s="6">
        <f t="shared" si="25"/>
        <v>0</v>
      </c>
      <c r="W159" s="2"/>
      <c r="X159" s="7">
        <f t="shared" si="26"/>
        <v>0</v>
      </c>
      <c r="Y159" s="2"/>
      <c r="Z159" s="6">
        <f t="shared" si="27"/>
        <v>0</v>
      </c>
    </row>
    <row r="160" spans="1:26" s="24" customFormat="1" hidden="1" outlineLevel="2" x14ac:dyDescent="0.25">
      <c r="A160" s="29"/>
      <c r="B160" s="11" t="str">
        <f>CONCATENATE("          ", "6004", " - ", "STAFF HOURLY")</f>
        <v xml:space="preserve">          6004 - STAFF HOURLY</v>
      </c>
      <c r="C160" s="11"/>
      <c r="D160" s="7">
        <v>2005.93</v>
      </c>
      <c r="E160" s="2"/>
      <c r="F160" s="6">
        <f t="shared" si="20"/>
        <v>2.7772357025692748E-3</v>
      </c>
      <c r="G160" s="2"/>
      <c r="H160" s="7">
        <v>27470.02954</v>
      </c>
      <c r="I160" s="2"/>
      <c r="J160" s="6">
        <f t="shared" si="21"/>
        <v>3.440279835359146E-2</v>
      </c>
      <c r="K160" s="2"/>
      <c r="L160" s="7">
        <f t="shared" si="22"/>
        <v>-25464.099539999999</v>
      </c>
      <c r="M160" s="2"/>
      <c r="N160" s="6">
        <f t="shared" si="23"/>
        <v>-0.92697750844864946</v>
      </c>
      <c r="O160" s="11"/>
      <c r="P160" s="7">
        <v>2005.93</v>
      </c>
      <c r="Q160" s="2"/>
      <c r="R160" s="6">
        <f t="shared" si="24"/>
        <v>2.7772357025692748E-3</v>
      </c>
      <c r="S160" s="2"/>
      <c r="T160" s="7">
        <v>27470.02954</v>
      </c>
      <c r="U160" s="2"/>
      <c r="V160" s="6">
        <f t="shared" si="25"/>
        <v>3.440279835359146E-2</v>
      </c>
      <c r="W160" s="2"/>
      <c r="X160" s="7">
        <f t="shared" si="26"/>
        <v>-25464.099539999999</v>
      </c>
      <c r="Y160" s="2"/>
      <c r="Z160" s="6">
        <f t="shared" si="27"/>
        <v>-0.92697750844864946</v>
      </c>
    </row>
    <row r="161" spans="1:26" s="24" customFormat="1" hidden="1" outlineLevel="2" x14ac:dyDescent="0.25">
      <c r="A161" s="29"/>
      <c r="B161" s="11" t="str">
        <f>CONCATENATE("          ", "6005", " - ", "TEMPORARY WAGES-HOURLY")</f>
        <v xml:space="preserve">          6005 - TEMPORARY WAGES-HOURLY</v>
      </c>
      <c r="C161" s="11"/>
      <c r="D161" s="7">
        <v>19812.34</v>
      </c>
      <c r="E161" s="2"/>
      <c r="F161" s="6">
        <f t="shared" si="20"/>
        <v>2.7430437751786624E-2</v>
      </c>
      <c r="G161" s="2"/>
      <c r="H161" s="7">
        <v>3434.16</v>
      </c>
      <c r="I161" s="2"/>
      <c r="J161" s="6">
        <f t="shared" si="21"/>
        <v>4.3008586438516676E-3</v>
      </c>
      <c r="K161" s="2"/>
      <c r="L161" s="7">
        <f t="shared" si="22"/>
        <v>16378.18</v>
      </c>
      <c r="M161" s="2"/>
      <c r="N161" s="6">
        <f t="shared" si="23"/>
        <v>4.7691953782002008</v>
      </c>
      <c r="O161" s="11"/>
      <c r="P161" s="7">
        <v>19812.34</v>
      </c>
      <c r="Q161" s="2"/>
      <c r="R161" s="6">
        <f t="shared" si="24"/>
        <v>2.7430437751786624E-2</v>
      </c>
      <c r="S161" s="2"/>
      <c r="T161" s="7">
        <v>3434.16</v>
      </c>
      <c r="U161" s="2"/>
      <c r="V161" s="6">
        <f t="shared" si="25"/>
        <v>4.3008586438516676E-3</v>
      </c>
      <c r="W161" s="2"/>
      <c r="X161" s="7">
        <f t="shared" si="26"/>
        <v>16378.18</v>
      </c>
      <c r="Y161" s="2"/>
      <c r="Z161" s="6">
        <f t="shared" si="27"/>
        <v>4.7691953782002008</v>
      </c>
    </row>
    <row r="162" spans="1:26" s="24" customFormat="1" hidden="1" outlineLevel="2" x14ac:dyDescent="0.25">
      <c r="A162" s="29"/>
      <c r="B162" s="11" t="str">
        <f>CONCATENATE("          ", "6006", " - ", "TEMPORARY PART TIME")</f>
        <v xml:space="preserve">          6006 - TEMPORARY PART TIME</v>
      </c>
      <c r="C162" s="11"/>
      <c r="D162" s="7">
        <v>4639.88</v>
      </c>
      <c r="E162" s="2"/>
      <c r="F162" s="6">
        <f t="shared" si="20"/>
        <v>6.4239731155310131E-3</v>
      </c>
      <c r="G162" s="2"/>
      <c r="H162" s="7">
        <v>0</v>
      </c>
      <c r="I162" s="2"/>
      <c r="J162" s="6">
        <f t="shared" si="21"/>
        <v>0</v>
      </c>
      <c r="K162" s="2"/>
      <c r="L162" s="7">
        <f t="shared" si="22"/>
        <v>4639.88</v>
      </c>
      <c r="M162" s="2"/>
      <c r="N162" s="6">
        <f t="shared" si="23"/>
        <v>0</v>
      </c>
      <c r="O162" s="11"/>
      <c r="P162" s="7">
        <v>4639.88</v>
      </c>
      <c r="Q162" s="2"/>
      <c r="R162" s="6">
        <f t="shared" si="24"/>
        <v>6.4239731155310131E-3</v>
      </c>
      <c r="S162" s="2"/>
      <c r="T162" s="7">
        <v>0</v>
      </c>
      <c r="U162" s="2"/>
      <c r="V162" s="6">
        <f t="shared" si="25"/>
        <v>0</v>
      </c>
      <c r="W162" s="2"/>
      <c r="X162" s="7">
        <f t="shared" si="26"/>
        <v>4639.88</v>
      </c>
      <c r="Y162" s="2"/>
      <c r="Z162" s="6">
        <f t="shared" si="27"/>
        <v>0</v>
      </c>
    </row>
    <row r="163" spans="1:26" s="24" customFormat="1" hidden="1" outlineLevel="2" x14ac:dyDescent="0.25">
      <c r="A163" s="29"/>
      <c r="B163" s="11" t="str">
        <f>CONCATENATE("          ", "6007", " - ", "STUDENT HOURLY")</f>
        <v xml:space="preserve">          6007 - STUDENT HOURLY</v>
      </c>
      <c r="C163" s="11"/>
      <c r="D163" s="7">
        <v>71298.87</v>
      </c>
      <c r="E163" s="2"/>
      <c r="F163" s="6">
        <f t="shared" si="20"/>
        <v>9.8714196067083773E-2</v>
      </c>
      <c r="G163" s="2"/>
      <c r="H163" s="7">
        <v>79636.636363199999</v>
      </c>
      <c r="I163" s="2"/>
      <c r="J163" s="6">
        <f t="shared" si="21"/>
        <v>9.973499076045983E-2</v>
      </c>
      <c r="K163" s="2"/>
      <c r="L163" s="7">
        <f t="shared" si="22"/>
        <v>-8337.766363200004</v>
      </c>
      <c r="M163" s="2"/>
      <c r="N163" s="6">
        <f t="shared" si="23"/>
        <v>-0.10469762089365287</v>
      </c>
      <c r="O163" s="11"/>
      <c r="P163" s="7">
        <v>71298.87</v>
      </c>
      <c r="Q163" s="2"/>
      <c r="R163" s="6">
        <f t="shared" si="24"/>
        <v>9.8714196067083773E-2</v>
      </c>
      <c r="S163" s="2"/>
      <c r="T163" s="7">
        <v>79636.636363199999</v>
      </c>
      <c r="U163" s="2"/>
      <c r="V163" s="6">
        <f t="shared" si="25"/>
        <v>9.973499076045983E-2</v>
      </c>
      <c r="W163" s="2"/>
      <c r="X163" s="7">
        <f t="shared" si="26"/>
        <v>-8337.766363200004</v>
      </c>
      <c r="Y163" s="2"/>
      <c r="Z163" s="6">
        <f t="shared" si="27"/>
        <v>-0.10469762089365287</v>
      </c>
    </row>
    <row r="164" spans="1:26" s="24" customFormat="1" hidden="1" outlineLevel="2" x14ac:dyDescent="0.25">
      <c r="A164" s="29"/>
      <c r="B164" s="11" t="str">
        <f>CONCATENATE("          ", "6008", " - ", "STUDENT HOURLY-FICA EXEMPT")</f>
        <v xml:space="preserve">          6008 - STUDENT HOURLY-FICA EXEMPT</v>
      </c>
      <c r="C164" s="11"/>
      <c r="D164" s="7">
        <v>315</v>
      </c>
      <c r="E164" s="2"/>
      <c r="F164" s="6">
        <f t="shared" si="20"/>
        <v>4.3612152283944181E-4</v>
      </c>
      <c r="G164" s="2"/>
      <c r="H164" s="7">
        <v>1654.335</v>
      </c>
      <c r="I164" s="2"/>
      <c r="J164" s="6">
        <f t="shared" si="21"/>
        <v>2.0718490066206434E-3</v>
      </c>
      <c r="K164" s="2"/>
      <c r="L164" s="7">
        <f t="shared" si="22"/>
        <v>-1339.335</v>
      </c>
      <c r="M164" s="2"/>
      <c r="N164" s="6">
        <f t="shared" si="23"/>
        <v>-0.80959116503005735</v>
      </c>
      <c r="O164" s="11"/>
      <c r="P164" s="7">
        <v>315</v>
      </c>
      <c r="Q164" s="2"/>
      <c r="R164" s="6">
        <f t="shared" si="24"/>
        <v>4.3612152283944181E-4</v>
      </c>
      <c r="S164" s="2"/>
      <c r="T164" s="7">
        <v>1654.335</v>
      </c>
      <c r="U164" s="2"/>
      <c r="V164" s="6">
        <f t="shared" si="25"/>
        <v>2.0718490066206434E-3</v>
      </c>
      <c r="W164" s="2"/>
      <c r="X164" s="7">
        <f t="shared" si="26"/>
        <v>-1339.335</v>
      </c>
      <c r="Y164" s="2"/>
      <c r="Z164" s="6">
        <f t="shared" si="27"/>
        <v>-0.80959116503005735</v>
      </c>
    </row>
    <row r="165" spans="1:26" s="24" customFormat="1" hidden="1" outlineLevel="2" x14ac:dyDescent="0.25">
      <c r="A165" s="29"/>
      <c r="B165" s="11" t="str">
        <f>CONCATENATE("          ", "6009", " - ", "TEMPORARY-SEASONAL")</f>
        <v xml:space="preserve">          6009 - TEMPORARY-SEASONAL</v>
      </c>
      <c r="C165" s="11"/>
      <c r="D165" s="7"/>
      <c r="E165" s="2"/>
      <c r="F165" s="6">
        <f t="shared" si="20"/>
        <v>0</v>
      </c>
      <c r="G165" s="2"/>
      <c r="H165" s="7">
        <v>0</v>
      </c>
      <c r="I165" s="2"/>
      <c r="J165" s="6">
        <f t="shared" si="21"/>
        <v>0</v>
      </c>
      <c r="K165" s="2"/>
      <c r="L165" s="7">
        <f t="shared" si="22"/>
        <v>0</v>
      </c>
      <c r="M165" s="2"/>
      <c r="N165" s="6">
        <f t="shared" si="23"/>
        <v>0</v>
      </c>
      <c r="O165" s="11"/>
      <c r="P165" s="7"/>
      <c r="Q165" s="2"/>
      <c r="R165" s="6">
        <f t="shared" si="24"/>
        <v>0</v>
      </c>
      <c r="S165" s="2"/>
      <c r="T165" s="7">
        <v>0</v>
      </c>
      <c r="U165" s="2"/>
      <c r="V165" s="6">
        <f t="shared" si="25"/>
        <v>0</v>
      </c>
      <c r="W165" s="2"/>
      <c r="X165" s="7">
        <f t="shared" si="26"/>
        <v>0</v>
      </c>
      <c r="Y165" s="2"/>
      <c r="Z165" s="6">
        <f t="shared" si="27"/>
        <v>0</v>
      </c>
    </row>
    <row r="166" spans="1:26" s="24" customFormat="1" hidden="1" outlineLevel="2" x14ac:dyDescent="0.25">
      <c r="A166" s="29"/>
      <c r="B166" s="11" t="str">
        <f>CONCATENATE("          ", "6010", " - ", "GRATUITY")</f>
        <v xml:space="preserve">          6010 - GRATUITY</v>
      </c>
      <c r="C166" s="11"/>
      <c r="D166" s="7"/>
      <c r="E166" s="2"/>
      <c r="F166" s="6">
        <f t="shared" si="20"/>
        <v>0</v>
      </c>
      <c r="G166" s="2"/>
      <c r="H166" s="7">
        <v>0</v>
      </c>
      <c r="I166" s="2"/>
      <c r="J166" s="6">
        <f t="shared" si="21"/>
        <v>0</v>
      </c>
      <c r="K166" s="2"/>
      <c r="L166" s="7">
        <f t="shared" si="22"/>
        <v>0</v>
      </c>
      <c r="M166" s="2"/>
      <c r="N166" s="6">
        <f t="shared" si="23"/>
        <v>0</v>
      </c>
      <c r="O166" s="11"/>
      <c r="P166" s="7"/>
      <c r="Q166" s="2"/>
      <c r="R166" s="6">
        <f t="shared" si="24"/>
        <v>0</v>
      </c>
      <c r="S166" s="2"/>
      <c r="T166" s="7">
        <v>0</v>
      </c>
      <c r="U166" s="2"/>
      <c r="V166" s="6">
        <f t="shared" si="25"/>
        <v>0</v>
      </c>
      <c r="W166" s="2"/>
      <c r="X166" s="7">
        <f t="shared" si="26"/>
        <v>0</v>
      </c>
      <c r="Y166" s="2"/>
      <c r="Z166" s="6">
        <f t="shared" si="27"/>
        <v>0</v>
      </c>
    </row>
    <row r="167" spans="1:26" s="27" customFormat="1" outlineLevel="1" collapsed="1" x14ac:dyDescent="0.25">
      <c r="A167" s="28"/>
      <c r="B167" s="14" t="str">
        <f>CONCATENATE("     ","Advertising/Promo                                 ")</f>
        <v xml:space="preserve">     Advertising/Promo                                 </v>
      </c>
      <c r="C167" s="14"/>
      <c r="D167" s="1">
        <f>SUM(OSRRefD22_2x_0)</f>
        <v>891.37</v>
      </c>
      <c r="E167" s="1"/>
      <c r="F167" s="5">
        <f t="shared" ref="F167:F171" si="28">IF(D$12=0,0,D167/D$12)</f>
        <v>1.2341131486139467E-3</v>
      </c>
      <c r="G167" s="1"/>
      <c r="H167" s="1">
        <f>SUM(OSRRefH22_2x_0)</f>
        <v>4870</v>
      </c>
      <c r="I167" s="1"/>
      <c r="J167" s="5">
        <f t="shared" ref="J167:J171" si="29">IF(H$12=0,0,H167/H$12)</f>
        <v>6.0990698149060094E-3</v>
      </c>
      <c r="K167" s="1"/>
      <c r="L167" s="1">
        <f t="shared" ref="L167:L171" si="30">+D167-H167</f>
        <v>-3978.63</v>
      </c>
      <c r="M167" s="1"/>
      <c r="N167" s="5">
        <f t="shared" ref="N167:N171" si="31">IF(H167=0,0,L167/H167)</f>
        <v>-0.81696714579055441</v>
      </c>
      <c r="O167" s="14"/>
      <c r="P167" s="1">
        <f>SUM(OSRRefP22_2x_0)</f>
        <v>891.37</v>
      </c>
      <c r="Q167" s="1"/>
      <c r="R167" s="5">
        <f t="shared" ref="R167:R171" si="32">IF(P$12=0,0,P167/P$12)</f>
        <v>1.2341131486139467E-3</v>
      </c>
      <c r="S167" s="1"/>
      <c r="T167" s="1">
        <f>SUM(OSRRefT22_2x_0)</f>
        <v>4870</v>
      </c>
      <c r="U167" s="1"/>
      <c r="V167" s="5">
        <f t="shared" ref="V167:V171" si="33">IF(T$12=0,0,T167/T$12)</f>
        <v>6.0990698149060094E-3</v>
      </c>
      <c r="W167" s="1"/>
      <c r="X167" s="1">
        <f t="shared" ref="X167:X171" si="34">+P167-T167</f>
        <v>-3978.63</v>
      </c>
      <c r="Y167" s="1"/>
      <c r="Z167" s="5">
        <f t="shared" ref="Z167:Z171" si="35">IF(T167=0,0,X167/T167)</f>
        <v>-0.81696714579055441</v>
      </c>
    </row>
    <row r="168" spans="1:26" s="24" customFormat="1" hidden="1" outlineLevel="2" x14ac:dyDescent="0.25">
      <c r="A168" s="29"/>
      <c r="B168" s="11" t="str">
        <f>CONCATENATE("          ", "6362", " - ", "ADVERTISING EXPENSE")</f>
        <v xml:space="preserve">          6362 - ADVERTISING EXPENSE</v>
      </c>
      <c r="C168" s="11"/>
      <c r="D168" s="7">
        <v>891.37</v>
      </c>
      <c r="E168" s="2"/>
      <c r="F168" s="6">
        <f t="shared" si="28"/>
        <v>1.2341131486139467E-3</v>
      </c>
      <c r="G168" s="2"/>
      <c r="H168" s="7">
        <v>4870</v>
      </c>
      <c r="I168" s="2"/>
      <c r="J168" s="6">
        <f t="shared" si="29"/>
        <v>6.0990698149060094E-3</v>
      </c>
      <c r="K168" s="2"/>
      <c r="L168" s="7">
        <f t="shared" si="30"/>
        <v>-3978.63</v>
      </c>
      <c r="M168" s="2"/>
      <c r="N168" s="6">
        <f t="shared" si="31"/>
        <v>-0.81696714579055441</v>
      </c>
      <c r="O168" s="11"/>
      <c r="P168" s="7">
        <v>891.37</v>
      </c>
      <c r="Q168" s="2"/>
      <c r="R168" s="6">
        <f t="shared" si="32"/>
        <v>1.2341131486139467E-3</v>
      </c>
      <c r="S168" s="2"/>
      <c r="T168" s="7">
        <v>4870</v>
      </c>
      <c r="U168" s="2"/>
      <c r="V168" s="6">
        <f t="shared" si="33"/>
        <v>6.0990698149060094E-3</v>
      </c>
      <c r="W168" s="2"/>
      <c r="X168" s="7">
        <f t="shared" si="34"/>
        <v>-3978.63</v>
      </c>
      <c r="Y168" s="2"/>
      <c r="Z168" s="6">
        <f t="shared" si="35"/>
        <v>-0.81696714579055441</v>
      </c>
    </row>
    <row r="169" spans="1:26" s="27" customFormat="1" outlineLevel="1" collapsed="1" x14ac:dyDescent="0.25">
      <c r="A169" s="28"/>
      <c r="B169" s="14" t="str">
        <f>CONCATENATE("     ","Bad Debts/Over/Short                              ")</f>
        <v xml:space="preserve">     Bad Debts/Over/Short                              </v>
      </c>
      <c r="C169" s="14"/>
      <c r="D169" s="1">
        <f>SUM(OSRRefD22_3x_0)</f>
        <v>-18.7</v>
      </c>
      <c r="E169" s="1"/>
      <c r="F169" s="5">
        <f t="shared" si="28"/>
        <v>-2.5890388816182733E-5</v>
      </c>
      <c r="G169" s="1"/>
      <c r="H169" s="1">
        <f>SUM(OSRRefH22_3x_0)</f>
        <v>135</v>
      </c>
      <c r="I169" s="1"/>
      <c r="J169" s="5">
        <f t="shared" si="29"/>
        <v>1.6907072382182982E-4</v>
      </c>
      <c r="K169" s="1"/>
      <c r="L169" s="1">
        <f t="shared" si="30"/>
        <v>-153.69999999999999</v>
      </c>
      <c r="M169" s="1"/>
      <c r="N169" s="5">
        <f t="shared" si="31"/>
        <v>-1.1385185185185185</v>
      </c>
      <c r="O169" s="14"/>
      <c r="P169" s="1">
        <f>SUM(OSRRefP22_3x_0)</f>
        <v>-18.7</v>
      </c>
      <c r="Q169" s="1"/>
      <c r="R169" s="5">
        <f t="shared" si="32"/>
        <v>-2.5890388816182733E-5</v>
      </c>
      <c r="S169" s="1"/>
      <c r="T169" s="1">
        <f>SUM(OSRRefT22_3x_0)</f>
        <v>135</v>
      </c>
      <c r="U169" s="1"/>
      <c r="V169" s="5">
        <f t="shared" si="33"/>
        <v>1.6907072382182982E-4</v>
      </c>
      <c r="W169" s="1"/>
      <c r="X169" s="1">
        <f t="shared" si="34"/>
        <v>-153.69999999999999</v>
      </c>
      <c r="Y169" s="1"/>
      <c r="Z169" s="5">
        <f t="shared" si="35"/>
        <v>-1.1385185185185185</v>
      </c>
    </row>
    <row r="170" spans="1:26" s="24" customFormat="1" hidden="1" outlineLevel="2" x14ac:dyDescent="0.25">
      <c r="A170" s="29"/>
      <c r="B170" s="11" t="str">
        <f>CONCATENATE("          ", "6272", " - ", "CASH (OVER/SHORT)")</f>
        <v xml:space="preserve">          6272 - CASH (OVER/SHORT)</v>
      </c>
      <c r="C170" s="11"/>
      <c r="D170" s="7">
        <v>-18.7</v>
      </c>
      <c r="E170" s="2"/>
      <c r="F170" s="6">
        <f t="shared" si="28"/>
        <v>-2.5890388816182733E-5</v>
      </c>
      <c r="G170" s="2"/>
      <c r="H170" s="7">
        <v>125</v>
      </c>
      <c r="I170" s="2"/>
      <c r="J170" s="6">
        <f t="shared" si="29"/>
        <v>1.5654696650169427E-4</v>
      </c>
      <c r="K170" s="2"/>
      <c r="L170" s="7">
        <f t="shared" si="30"/>
        <v>-143.69999999999999</v>
      </c>
      <c r="M170" s="2"/>
      <c r="N170" s="6">
        <f t="shared" si="31"/>
        <v>-1.1496</v>
      </c>
      <c r="O170" s="11"/>
      <c r="P170" s="7">
        <v>-18.7</v>
      </c>
      <c r="Q170" s="2"/>
      <c r="R170" s="6">
        <f t="shared" si="32"/>
        <v>-2.5890388816182733E-5</v>
      </c>
      <c r="S170" s="2"/>
      <c r="T170" s="7">
        <v>125</v>
      </c>
      <c r="U170" s="2"/>
      <c r="V170" s="6">
        <f t="shared" si="33"/>
        <v>1.5654696650169427E-4</v>
      </c>
      <c r="W170" s="2"/>
      <c r="X170" s="7">
        <f t="shared" si="34"/>
        <v>-143.69999999999999</v>
      </c>
      <c r="Y170" s="2"/>
      <c r="Z170" s="6">
        <f t="shared" si="35"/>
        <v>-1.1496</v>
      </c>
    </row>
    <row r="171" spans="1:26" s="24" customFormat="1" hidden="1" outlineLevel="2" x14ac:dyDescent="0.25">
      <c r="A171" s="29"/>
      <c r="B171" s="11" t="str">
        <f>CONCATENATE("          ", "6342", " - ", "BAD DEBT")</f>
        <v xml:space="preserve">          6342 - BAD DEBT</v>
      </c>
      <c r="C171" s="11"/>
      <c r="D171" s="7"/>
      <c r="E171" s="2"/>
      <c r="F171" s="6">
        <f t="shared" si="28"/>
        <v>0</v>
      </c>
      <c r="G171" s="2"/>
      <c r="H171" s="7">
        <v>10</v>
      </c>
      <c r="I171" s="2"/>
      <c r="J171" s="6">
        <f t="shared" si="29"/>
        <v>1.2523757320135543E-5</v>
      </c>
      <c r="K171" s="2"/>
      <c r="L171" s="7">
        <f t="shared" si="30"/>
        <v>-10</v>
      </c>
      <c r="M171" s="2"/>
      <c r="N171" s="6">
        <f t="shared" si="31"/>
        <v>-1</v>
      </c>
      <c r="O171" s="11"/>
      <c r="P171" s="7"/>
      <c r="Q171" s="2"/>
      <c r="R171" s="6">
        <f t="shared" si="32"/>
        <v>0</v>
      </c>
      <c r="S171" s="2"/>
      <c r="T171" s="7">
        <v>10</v>
      </c>
      <c r="U171" s="2"/>
      <c r="V171" s="6">
        <f t="shared" si="33"/>
        <v>1.2523757320135543E-5</v>
      </c>
      <c r="W171" s="2"/>
      <c r="X171" s="7">
        <f t="shared" si="34"/>
        <v>-10</v>
      </c>
      <c r="Y171" s="2"/>
      <c r="Z171" s="6">
        <f t="shared" si="35"/>
        <v>-1</v>
      </c>
    </row>
    <row r="172" spans="1:26" s="27" customFormat="1" outlineLevel="1" collapsed="1" x14ac:dyDescent="0.25">
      <c r="A172" s="28"/>
      <c r="B172" s="14" t="str">
        <f>CONCATENATE("     ","Bank/card Fees                                    ")</f>
        <v xml:space="preserve">     Bank/card Fees                                    </v>
      </c>
      <c r="C172" s="14"/>
      <c r="D172" s="1">
        <f>SUM(OSRRefD22_4x_0)</f>
        <v>5785.89</v>
      </c>
      <c r="E172" s="1"/>
      <c r="F172" s="5">
        <f t="shared" ref="F172:F177" si="36">IF(D$12=0,0,D172/D$12)</f>
        <v>8.0106385961317399E-3</v>
      </c>
      <c r="G172" s="1"/>
      <c r="H172" s="1">
        <f>SUM(OSRRefH22_4x_0)</f>
        <v>5000</v>
      </c>
      <c r="I172" s="1"/>
      <c r="J172" s="5">
        <f t="shared" ref="J172:J177" si="37">IF(H$12=0,0,H172/H$12)</f>
        <v>6.2618786600677715E-3</v>
      </c>
      <c r="K172" s="1"/>
      <c r="L172" s="1">
        <f t="shared" ref="L172:L177" si="38">+D172-H172</f>
        <v>785.89000000000033</v>
      </c>
      <c r="M172" s="1"/>
      <c r="N172" s="5">
        <f t="shared" ref="N172:N177" si="39">IF(H172=0,0,L172/H172)</f>
        <v>0.15717800000000007</v>
      </c>
      <c r="O172" s="14"/>
      <c r="P172" s="1">
        <f>SUM(OSRRefP22_4x_0)</f>
        <v>5785.89</v>
      </c>
      <c r="Q172" s="1"/>
      <c r="R172" s="5">
        <f t="shared" ref="R172:R177" si="40">IF(P$12=0,0,P172/P$12)</f>
        <v>8.0106385961317399E-3</v>
      </c>
      <c r="S172" s="1"/>
      <c r="T172" s="1">
        <f>SUM(OSRRefT22_4x_0)</f>
        <v>5000</v>
      </c>
      <c r="U172" s="1"/>
      <c r="V172" s="5">
        <f t="shared" ref="V172:V177" si="41">IF(T$12=0,0,T172/T$12)</f>
        <v>6.2618786600677715E-3</v>
      </c>
      <c r="W172" s="1"/>
      <c r="X172" s="1">
        <f t="shared" ref="X172:X177" si="42">+P172-T172</f>
        <v>785.89000000000033</v>
      </c>
      <c r="Y172" s="1"/>
      <c r="Z172" s="5">
        <f t="shared" ref="Z172:Z177" si="43">IF(T172=0,0,X172/T172)</f>
        <v>0.15717800000000007</v>
      </c>
    </row>
    <row r="173" spans="1:26" s="24" customFormat="1" hidden="1" outlineLevel="2" x14ac:dyDescent="0.25">
      <c r="A173" s="29"/>
      <c r="B173" s="11" t="str">
        <f>CONCATENATE("          ", "6381", " - ", "BANK/CREDIT CARD FEES")</f>
        <v xml:space="preserve">          6381 - BANK/CREDIT CARD FEES</v>
      </c>
      <c r="C173" s="11"/>
      <c r="D173" s="7">
        <v>5785.89</v>
      </c>
      <c r="E173" s="2"/>
      <c r="F173" s="6">
        <f t="shared" si="36"/>
        <v>8.0106385961317399E-3</v>
      </c>
      <c r="G173" s="2"/>
      <c r="H173" s="7">
        <v>5000</v>
      </c>
      <c r="I173" s="2"/>
      <c r="J173" s="6">
        <f t="shared" si="37"/>
        <v>6.2618786600677715E-3</v>
      </c>
      <c r="K173" s="2"/>
      <c r="L173" s="7">
        <f t="shared" si="38"/>
        <v>785.89000000000033</v>
      </c>
      <c r="M173" s="2"/>
      <c r="N173" s="6">
        <f t="shared" si="39"/>
        <v>0.15717800000000007</v>
      </c>
      <c r="O173" s="11"/>
      <c r="P173" s="7">
        <v>5785.89</v>
      </c>
      <c r="Q173" s="2"/>
      <c r="R173" s="6">
        <f t="shared" si="40"/>
        <v>8.0106385961317399E-3</v>
      </c>
      <c r="S173" s="2"/>
      <c r="T173" s="7">
        <v>5000</v>
      </c>
      <c r="U173" s="2"/>
      <c r="V173" s="6">
        <f t="shared" si="41"/>
        <v>6.2618786600677715E-3</v>
      </c>
      <c r="W173" s="2"/>
      <c r="X173" s="7">
        <f t="shared" si="42"/>
        <v>785.89000000000033</v>
      </c>
      <c r="Y173" s="2"/>
      <c r="Z173" s="6">
        <f t="shared" si="43"/>
        <v>0.15717800000000007</v>
      </c>
    </row>
    <row r="174" spans="1:26" s="27" customFormat="1" outlineLevel="1" collapsed="1" x14ac:dyDescent="0.25">
      <c r="A174" s="28"/>
      <c r="B174" s="14" t="str">
        <f>CONCATENATE("     ","Depreciation                                      ")</f>
        <v xml:space="preserve">     Depreciation                                      </v>
      </c>
      <c r="C174" s="14"/>
      <c r="D174" s="1">
        <f>SUM(OSRRefD22_5x_0)</f>
        <v>29887.870000000003</v>
      </c>
      <c r="E174" s="1"/>
      <c r="F174" s="5">
        <f t="shared" si="36"/>
        <v>4.1380137710562759E-2</v>
      </c>
      <c r="G174" s="1"/>
      <c r="H174" s="1">
        <f>SUM(OSRRefH22_5x_0)</f>
        <v>30202</v>
      </c>
      <c r="I174" s="1"/>
      <c r="J174" s="5">
        <f t="shared" si="37"/>
        <v>3.7824251858273365E-2</v>
      </c>
      <c r="K174" s="1"/>
      <c r="L174" s="1">
        <f t="shared" si="38"/>
        <v>-314.12999999999738</v>
      </c>
      <c r="M174" s="1"/>
      <c r="N174" s="5">
        <f t="shared" si="39"/>
        <v>-1.0400966823389092E-2</v>
      </c>
      <c r="O174" s="14"/>
      <c r="P174" s="1">
        <f>SUM(OSRRefP22_5x_0)</f>
        <v>29887.870000000003</v>
      </c>
      <c r="Q174" s="1"/>
      <c r="R174" s="5">
        <f t="shared" si="40"/>
        <v>4.1380137710562759E-2</v>
      </c>
      <c r="S174" s="1"/>
      <c r="T174" s="1">
        <f>SUM(OSRRefT22_5x_0)</f>
        <v>30202</v>
      </c>
      <c r="U174" s="1"/>
      <c r="V174" s="5">
        <f t="shared" si="41"/>
        <v>3.7824251858273365E-2</v>
      </c>
      <c r="W174" s="1"/>
      <c r="X174" s="1">
        <f t="shared" si="42"/>
        <v>-314.12999999999738</v>
      </c>
      <c r="Y174" s="1"/>
      <c r="Z174" s="5">
        <f t="shared" si="43"/>
        <v>-1.0400966823389092E-2</v>
      </c>
    </row>
    <row r="175" spans="1:26" s="24" customFormat="1" hidden="1" outlineLevel="2" x14ac:dyDescent="0.25">
      <c r="A175" s="29"/>
      <c r="B175" s="11" t="str">
        <f>CONCATENATE("          ", "6321", " - ", "BUILDING DEPRECIATION")</f>
        <v xml:space="preserve">          6321 - BUILDING DEPRECIATION</v>
      </c>
      <c r="C175" s="11"/>
      <c r="D175" s="7">
        <v>16396.52</v>
      </c>
      <c r="E175" s="2"/>
      <c r="F175" s="6">
        <f t="shared" si="36"/>
        <v>2.2701191338626553E-2</v>
      </c>
      <c r="G175" s="2"/>
      <c r="H175" s="7">
        <v>16453</v>
      </c>
      <c r="I175" s="2"/>
      <c r="J175" s="6">
        <f t="shared" si="37"/>
        <v>2.0605337918819008E-2</v>
      </c>
      <c r="K175" s="2"/>
      <c r="L175" s="7">
        <f t="shared" si="38"/>
        <v>-56.479999999999563</v>
      </c>
      <c r="M175" s="2"/>
      <c r="N175" s="6">
        <f t="shared" si="39"/>
        <v>-3.432808606333165E-3</v>
      </c>
      <c r="O175" s="11"/>
      <c r="P175" s="7">
        <v>16396.52</v>
      </c>
      <c r="Q175" s="2"/>
      <c r="R175" s="6">
        <f t="shared" si="40"/>
        <v>2.2701191338626553E-2</v>
      </c>
      <c r="S175" s="2"/>
      <c r="T175" s="7">
        <v>16453</v>
      </c>
      <c r="U175" s="2"/>
      <c r="V175" s="6">
        <f t="shared" si="41"/>
        <v>2.0605337918819008E-2</v>
      </c>
      <c r="W175" s="2"/>
      <c r="X175" s="7">
        <f t="shared" si="42"/>
        <v>-56.479999999999563</v>
      </c>
      <c r="Y175" s="2"/>
      <c r="Z175" s="6">
        <f t="shared" si="43"/>
        <v>-3.432808606333165E-3</v>
      </c>
    </row>
    <row r="176" spans="1:26" s="24" customFormat="1" hidden="1" outlineLevel="2" x14ac:dyDescent="0.25">
      <c r="A176" s="29"/>
      <c r="B176" s="11" t="str">
        <f>CONCATENATE("          ", "6322", " - ", "EQUIPMENT DEPRECIATION EXPENSE")</f>
        <v xml:space="preserve">          6322 - EQUIPMENT DEPRECIATION EXPENSE</v>
      </c>
      <c r="C176" s="11"/>
      <c r="D176" s="7">
        <v>13491.35</v>
      </c>
      <c r="E176" s="2"/>
      <c r="F176" s="6">
        <f t="shared" si="36"/>
        <v>1.8678946371936199E-2</v>
      </c>
      <c r="G176" s="2"/>
      <c r="H176" s="7">
        <v>13049</v>
      </c>
      <c r="I176" s="2"/>
      <c r="J176" s="6">
        <f t="shared" si="37"/>
        <v>1.6342250927044871E-2</v>
      </c>
      <c r="K176" s="2"/>
      <c r="L176" s="7">
        <f t="shared" si="38"/>
        <v>442.35000000000036</v>
      </c>
      <c r="M176" s="2"/>
      <c r="N176" s="6">
        <f t="shared" si="39"/>
        <v>3.3899149360104248E-2</v>
      </c>
      <c r="O176" s="11"/>
      <c r="P176" s="7">
        <v>13491.35</v>
      </c>
      <c r="Q176" s="2"/>
      <c r="R176" s="6">
        <f t="shared" si="40"/>
        <v>1.8678946371936199E-2</v>
      </c>
      <c r="S176" s="2"/>
      <c r="T176" s="7">
        <v>13049</v>
      </c>
      <c r="U176" s="2"/>
      <c r="V176" s="6">
        <f t="shared" si="41"/>
        <v>1.6342250927044871E-2</v>
      </c>
      <c r="W176" s="2"/>
      <c r="X176" s="7">
        <f t="shared" si="42"/>
        <v>442.35000000000036</v>
      </c>
      <c r="Y176" s="2"/>
      <c r="Z176" s="6">
        <f t="shared" si="43"/>
        <v>3.3899149360104248E-2</v>
      </c>
    </row>
    <row r="177" spans="1:26" s="24" customFormat="1" hidden="1" outlineLevel="2" x14ac:dyDescent="0.25">
      <c r="A177" s="29"/>
      <c r="B177" s="11" t="str">
        <f>CONCATENATE("          ", "6324", " - ", "FURNITURE + FIXT DEPRECIATION")</f>
        <v xml:space="preserve">          6324 - FURNITURE + FIXT DEPRECIATION</v>
      </c>
      <c r="C177" s="11"/>
      <c r="D177" s="7"/>
      <c r="E177" s="2"/>
      <c r="F177" s="6">
        <f t="shared" si="36"/>
        <v>0</v>
      </c>
      <c r="G177" s="2"/>
      <c r="H177" s="7">
        <v>700</v>
      </c>
      <c r="I177" s="2"/>
      <c r="J177" s="6">
        <f t="shared" si="37"/>
        <v>8.7666301240948801E-4</v>
      </c>
      <c r="K177" s="2"/>
      <c r="L177" s="7">
        <f t="shared" si="38"/>
        <v>-700</v>
      </c>
      <c r="M177" s="2"/>
      <c r="N177" s="6">
        <f t="shared" si="39"/>
        <v>-1</v>
      </c>
      <c r="O177" s="11"/>
      <c r="P177" s="7"/>
      <c r="Q177" s="2"/>
      <c r="R177" s="6">
        <f t="shared" si="40"/>
        <v>0</v>
      </c>
      <c r="S177" s="2"/>
      <c r="T177" s="7">
        <v>700</v>
      </c>
      <c r="U177" s="2"/>
      <c r="V177" s="6">
        <f t="shared" si="41"/>
        <v>8.7666301240948801E-4</v>
      </c>
      <c r="W177" s="2"/>
      <c r="X177" s="7">
        <f t="shared" si="42"/>
        <v>-700</v>
      </c>
      <c r="Y177" s="2"/>
      <c r="Z177" s="6">
        <f t="shared" si="43"/>
        <v>-1</v>
      </c>
    </row>
    <row r="178" spans="1:26" s="27" customFormat="1" outlineLevel="1" collapsed="1" x14ac:dyDescent="0.25">
      <c r="A178" s="28"/>
      <c r="B178" s="14" t="str">
        <f>CONCATENATE("     ","Discounts and Markdowns                           ")</f>
        <v xml:space="preserve">     Discounts and Markdowns                           </v>
      </c>
      <c r="C178" s="14"/>
      <c r="D178" s="1">
        <f>SUM(OSRRefD22_6x_0)</f>
        <v>37393.86</v>
      </c>
      <c r="E178" s="1"/>
      <c r="F178" s="5">
        <f t="shared" ref="F178:F180" si="44">IF(D$12=0,0,D178/D$12)</f>
        <v>5.1772276723952029E-2</v>
      </c>
      <c r="G178" s="1"/>
      <c r="H178" s="1">
        <f>SUM(OSRRefH22_6x_0)</f>
        <v>23225</v>
      </c>
      <c r="I178" s="1"/>
      <c r="J178" s="5">
        <f t="shared" ref="J178:J180" si="45">IF(H$12=0,0,H178/H$12)</f>
        <v>2.9086426376014798E-2</v>
      </c>
      <c r="K178" s="1"/>
      <c r="L178" s="1">
        <f t="shared" ref="L178:L180" si="46">+D178-H178</f>
        <v>14168.86</v>
      </c>
      <c r="M178" s="1"/>
      <c r="N178" s="5">
        <f t="shared" ref="N178:N180" si="47">IF(H178=0,0,L178/H178)</f>
        <v>0.61006932185145324</v>
      </c>
      <c r="O178" s="14"/>
      <c r="P178" s="1">
        <f>SUM(OSRRefP22_6x_0)</f>
        <v>37393.86</v>
      </c>
      <c r="Q178" s="1"/>
      <c r="R178" s="5">
        <f t="shared" ref="R178:R180" si="48">IF(P$12=0,0,P178/P$12)</f>
        <v>5.1772276723952029E-2</v>
      </c>
      <c r="S178" s="1"/>
      <c r="T178" s="1">
        <f>SUM(OSRRefT22_6x_0)</f>
        <v>23225</v>
      </c>
      <c r="U178" s="1"/>
      <c r="V178" s="5">
        <f t="shared" ref="V178:V180" si="49">IF(T$12=0,0,T178/T$12)</f>
        <v>2.9086426376014798E-2</v>
      </c>
      <c r="W178" s="1"/>
      <c r="X178" s="1">
        <f t="shared" ref="X178:X180" si="50">+P178-T178</f>
        <v>14168.86</v>
      </c>
      <c r="Y178" s="1"/>
      <c r="Z178" s="5">
        <f t="shared" ref="Z178:Z180" si="51">IF(T178=0,0,X178/T178)</f>
        <v>0.61006932185145324</v>
      </c>
    </row>
    <row r="179" spans="1:26" s="24" customFormat="1" hidden="1" outlineLevel="2" x14ac:dyDescent="0.25">
      <c r="A179" s="29"/>
      <c r="B179" s="11" t="str">
        <f>CONCATENATE("          ", "6382", " - ", "DISCOUNTS/MARK DOWNS")</f>
        <v xml:space="preserve">          6382 - DISCOUNTS/MARK DOWNS</v>
      </c>
      <c r="C179" s="11"/>
      <c r="D179" s="7">
        <v>37837.57</v>
      </c>
      <c r="E179" s="2"/>
      <c r="F179" s="6">
        <f t="shared" si="44"/>
        <v>5.2386598885536435E-2</v>
      </c>
      <c r="G179" s="2"/>
      <c r="H179" s="7">
        <v>23225</v>
      </c>
      <c r="I179" s="2"/>
      <c r="J179" s="6">
        <f t="shared" si="45"/>
        <v>2.9086426376014798E-2</v>
      </c>
      <c r="K179" s="2"/>
      <c r="L179" s="7">
        <f t="shared" si="46"/>
        <v>14612.57</v>
      </c>
      <c r="M179" s="2"/>
      <c r="N179" s="6">
        <f t="shared" si="47"/>
        <v>0.6291741657696448</v>
      </c>
      <c r="O179" s="11"/>
      <c r="P179" s="7">
        <v>37837.57</v>
      </c>
      <c r="Q179" s="2"/>
      <c r="R179" s="6">
        <f t="shared" si="48"/>
        <v>5.2386598885536435E-2</v>
      </c>
      <c r="S179" s="2"/>
      <c r="T179" s="7">
        <v>23225</v>
      </c>
      <c r="U179" s="2"/>
      <c r="V179" s="6">
        <f t="shared" si="49"/>
        <v>2.9086426376014798E-2</v>
      </c>
      <c r="W179" s="2"/>
      <c r="X179" s="7">
        <f t="shared" si="50"/>
        <v>14612.57</v>
      </c>
      <c r="Y179" s="2"/>
      <c r="Z179" s="6">
        <f t="shared" si="51"/>
        <v>0.6291741657696448</v>
      </c>
    </row>
    <row r="180" spans="1:26" s="24" customFormat="1" hidden="1" outlineLevel="2" x14ac:dyDescent="0.25">
      <c r="A180" s="29"/>
      <c r="B180" s="11" t="str">
        <f>CONCATENATE("          ", "9175", " - ", "EARNED DISCOUNTS")</f>
        <v xml:space="preserve">          9175 - EARNED DISCOUNTS</v>
      </c>
      <c r="C180" s="11"/>
      <c r="D180" s="7">
        <v>-443.71</v>
      </c>
      <c r="E180" s="2"/>
      <c r="F180" s="6">
        <f t="shared" si="44"/>
        <v>-6.1432216158440855E-4</v>
      </c>
      <c r="G180" s="2"/>
      <c r="H180" s="7"/>
      <c r="I180" s="2"/>
      <c r="J180" s="6">
        <f t="shared" si="45"/>
        <v>0</v>
      </c>
      <c r="K180" s="2"/>
      <c r="L180" s="7">
        <f t="shared" si="46"/>
        <v>-443.71</v>
      </c>
      <c r="M180" s="2"/>
      <c r="N180" s="6">
        <f t="shared" si="47"/>
        <v>0</v>
      </c>
      <c r="O180" s="11"/>
      <c r="P180" s="7">
        <v>-443.71</v>
      </c>
      <c r="Q180" s="2"/>
      <c r="R180" s="6">
        <f t="shared" si="48"/>
        <v>-6.1432216158440855E-4</v>
      </c>
      <c r="S180" s="2"/>
      <c r="T180" s="7"/>
      <c r="U180" s="2"/>
      <c r="V180" s="6">
        <f t="shared" si="49"/>
        <v>0</v>
      </c>
      <c r="W180" s="2"/>
      <c r="X180" s="7">
        <f t="shared" si="50"/>
        <v>-443.71</v>
      </c>
      <c r="Y180" s="2"/>
      <c r="Z180" s="6">
        <f t="shared" si="51"/>
        <v>0</v>
      </c>
    </row>
    <row r="181" spans="1:26" s="27" customFormat="1" outlineLevel="1" collapsed="1" x14ac:dyDescent="0.25">
      <c r="A181" s="28"/>
      <c r="B181" s="14" t="str">
        <f>CONCATENATE("     ","Donations                                         ")</f>
        <v xml:space="preserve">     Donations                                         </v>
      </c>
      <c r="C181" s="14"/>
      <c r="D181" s="1">
        <f>SUM(OSRRefD22_7x_0)</f>
        <v>925.42</v>
      </c>
      <c r="E181" s="1"/>
      <c r="F181" s="5">
        <f t="shared" ref="F181:F183" si="52">IF(D$12=0,0,D181/D$12)</f>
        <v>1.2812558084637339E-3</v>
      </c>
      <c r="G181" s="1"/>
      <c r="H181" s="1">
        <f>SUM(OSRRefH22_7x_0)</f>
        <v>1100</v>
      </c>
      <c r="I181" s="1"/>
      <c r="J181" s="5">
        <f t="shared" ref="J181:J183" si="53">IF(H$12=0,0,H181/H$12)</f>
        <v>1.3776133052149097E-3</v>
      </c>
      <c r="K181" s="1"/>
      <c r="L181" s="1">
        <f t="shared" ref="L181:L183" si="54">+D181-H181</f>
        <v>-174.58000000000004</v>
      </c>
      <c r="M181" s="1"/>
      <c r="N181" s="5">
        <f t="shared" ref="N181:N183" si="55">IF(H181=0,0,L181/H181)</f>
        <v>-0.15870909090909094</v>
      </c>
      <c r="O181" s="14"/>
      <c r="P181" s="1">
        <f>SUM(OSRRefP22_7x_0)</f>
        <v>925.42</v>
      </c>
      <c r="Q181" s="1"/>
      <c r="R181" s="5">
        <f t="shared" ref="R181:R183" si="56">IF(P$12=0,0,P181/P$12)</f>
        <v>1.2812558084637339E-3</v>
      </c>
      <c r="S181" s="1"/>
      <c r="T181" s="1">
        <f>SUM(OSRRefT22_7x_0)</f>
        <v>1100</v>
      </c>
      <c r="U181" s="1"/>
      <c r="V181" s="5">
        <f t="shared" ref="V181:V183" si="57">IF(T$12=0,0,T181/T$12)</f>
        <v>1.3776133052149097E-3</v>
      </c>
      <c r="W181" s="1"/>
      <c r="X181" s="1">
        <f t="shared" ref="X181:X183" si="58">+P181-T181</f>
        <v>-174.58000000000004</v>
      </c>
      <c r="Y181" s="1"/>
      <c r="Z181" s="5">
        <f t="shared" ref="Z181:Z183" si="59">IF(T181=0,0,X181/T181)</f>
        <v>-0.15870909090909094</v>
      </c>
    </row>
    <row r="182" spans="1:26" s="24" customFormat="1" hidden="1" outlineLevel="2" x14ac:dyDescent="0.25">
      <c r="A182" s="29"/>
      <c r="B182" s="11" t="str">
        <f>CONCATENATE("          ", "6395", " - ", "DONATION-OFF CAMPUS")</f>
        <v xml:space="preserve">          6395 - DONATION-OFF CAMPUS</v>
      </c>
      <c r="C182" s="11"/>
      <c r="D182" s="7"/>
      <c r="E182" s="2"/>
      <c r="F182" s="6">
        <f t="shared" si="52"/>
        <v>0</v>
      </c>
      <c r="G182" s="2"/>
      <c r="H182" s="7">
        <v>1100</v>
      </c>
      <c r="I182" s="2"/>
      <c r="J182" s="6">
        <f t="shared" si="53"/>
        <v>1.3776133052149097E-3</v>
      </c>
      <c r="K182" s="2"/>
      <c r="L182" s="7">
        <f t="shared" si="54"/>
        <v>-1100</v>
      </c>
      <c r="M182" s="2"/>
      <c r="N182" s="6">
        <f t="shared" si="55"/>
        <v>-1</v>
      </c>
      <c r="O182" s="11"/>
      <c r="P182" s="7"/>
      <c r="Q182" s="2"/>
      <c r="R182" s="6">
        <f t="shared" si="56"/>
        <v>0</v>
      </c>
      <c r="S182" s="2"/>
      <c r="T182" s="7">
        <v>1100</v>
      </c>
      <c r="U182" s="2"/>
      <c r="V182" s="6">
        <f t="shared" si="57"/>
        <v>1.3776133052149097E-3</v>
      </c>
      <c r="W182" s="2"/>
      <c r="X182" s="7">
        <f t="shared" si="58"/>
        <v>-1100</v>
      </c>
      <c r="Y182" s="2"/>
      <c r="Z182" s="6">
        <f t="shared" si="59"/>
        <v>-1</v>
      </c>
    </row>
    <row r="183" spans="1:26" s="24" customFormat="1" hidden="1" outlineLevel="2" x14ac:dyDescent="0.25">
      <c r="A183" s="29"/>
      <c r="B183" s="11" t="str">
        <f>CONCATENATE("          ", "6399", " - ", "DONATION-ON CAMPUS")</f>
        <v xml:space="preserve">          6399 - DONATION-ON CAMPUS</v>
      </c>
      <c r="C183" s="11"/>
      <c r="D183" s="7">
        <v>925.42</v>
      </c>
      <c r="E183" s="2"/>
      <c r="F183" s="6">
        <f t="shared" si="52"/>
        <v>1.2812558084637339E-3</v>
      </c>
      <c r="G183" s="2"/>
      <c r="H183" s="7"/>
      <c r="I183" s="2"/>
      <c r="J183" s="6">
        <f t="shared" si="53"/>
        <v>0</v>
      </c>
      <c r="K183" s="2"/>
      <c r="L183" s="7">
        <f t="shared" si="54"/>
        <v>925.42</v>
      </c>
      <c r="M183" s="2"/>
      <c r="N183" s="6">
        <f t="shared" si="55"/>
        <v>0</v>
      </c>
      <c r="O183" s="11"/>
      <c r="P183" s="7">
        <v>925.42</v>
      </c>
      <c r="Q183" s="2"/>
      <c r="R183" s="6">
        <f t="shared" si="56"/>
        <v>1.2812558084637339E-3</v>
      </c>
      <c r="S183" s="2"/>
      <c r="T183" s="7"/>
      <c r="U183" s="2"/>
      <c r="V183" s="6">
        <f t="shared" si="57"/>
        <v>0</v>
      </c>
      <c r="W183" s="2"/>
      <c r="X183" s="7">
        <f t="shared" si="58"/>
        <v>925.42</v>
      </c>
      <c r="Y183" s="2"/>
      <c r="Z183" s="6">
        <f t="shared" si="59"/>
        <v>0</v>
      </c>
    </row>
    <row r="184" spans="1:26" s="27" customFormat="1" outlineLevel="1" collapsed="1" x14ac:dyDescent="0.25">
      <c r="A184" s="28"/>
      <c r="B184" s="14" t="str">
        <f>CONCATENATE("     ","Employees' Appreciation                           ")</f>
        <v xml:space="preserve">     Employees' Appreciation                           </v>
      </c>
      <c r="C184" s="14"/>
      <c r="D184" s="1">
        <f>SUM(OSRRefD22_8x_0)</f>
        <v>393.54</v>
      </c>
      <c r="E184" s="1"/>
      <c r="F184" s="5">
        <f t="shared" ref="F184:F190" si="60">IF(D$12=0,0,D184/D$12)</f>
        <v>5.4486115586740926E-4</v>
      </c>
      <c r="G184" s="1"/>
      <c r="H184" s="1">
        <f>SUM(OSRRefH22_8x_0)</f>
        <v>765</v>
      </c>
      <c r="I184" s="1"/>
      <c r="J184" s="5">
        <f t="shared" ref="J184:J190" si="61">IF(H$12=0,0,H184/H$12)</f>
        <v>9.5806743499036898E-4</v>
      </c>
      <c r="K184" s="1"/>
      <c r="L184" s="1">
        <f t="shared" ref="L184:L190" si="62">+D184-H184</f>
        <v>-371.46</v>
      </c>
      <c r="M184" s="1"/>
      <c r="N184" s="5">
        <f t="shared" ref="N184:N190" si="63">IF(H184=0,0,L184/H184)</f>
        <v>-0.48556862745098034</v>
      </c>
      <c r="O184" s="14"/>
      <c r="P184" s="1">
        <f>SUM(OSRRefP22_8x_0)</f>
        <v>393.54</v>
      </c>
      <c r="Q184" s="1"/>
      <c r="R184" s="5">
        <f t="shared" ref="R184:R190" si="64">IF(P$12=0,0,P184/P$12)</f>
        <v>5.4486115586740926E-4</v>
      </c>
      <c r="S184" s="1"/>
      <c r="T184" s="1">
        <f>SUM(OSRRefT22_8x_0)</f>
        <v>765</v>
      </c>
      <c r="U184" s="1"/>
      <c r="V184" s="5">
        <f t="shared" ref="V184:V190" si="65">IF(T$12=0,0,T184/T$12)</f>
        <v>9.5806743499036898E-4</v>
      </c>
      <c r="W184" s="1"/>
      <c r="X184" s="1">
        <f t="shared" ref="X184:X190" si="66">+P184-T184</f>
        <v>-371.46</v>
      </c>
      <c r="Y184" s="1"/>
      <c r="Z184" s="5">
        <f t="shared" ref="Z184:Z190" si="67">IF(T184=0,0,X184/T184)</f>
        <v>-0.48556862745098034</v>
      </c>
    </row>
    <row r="185" spans="1:26" s="24" customFormat="1" hidden="1" outlineLevel="2" x14ac:dyDescent="0.25">
      <c r="A185" s="29"/>
      <c r="B185" s="11" t="str">
        <f>CONCATENATE("          ", "6277", " - ", "EMPLOYEE APPRECIATION")</f>
        <v xml:space="preserve">          6277 - EMPLOYEE APPRECIATION</v>
      </c>
      <c r="C185" s="11"/>
      <c r="D185" s="7">
        <v>393.54</v>
      </c>
      <c r="E185" s="2"/>
      <c r="F185" s="6">
        <f t="shared" si="60"/>
        <v>5.4486115586740926E-4</v>
      </c>
      <c r="G185" s="2"/>
      <c r="H185" s="7">
        <v>765</v>
      </c>
      <c r="I185" s="2"/>
      <c r="J185" s="6">
        <f t="shared" si="61"/>
        <v>9.5806743499036898E-4</v>
      </c>
      <c r="K185" s="2"/>
      <c r="L185" s="7">
        <f t="shared" si="62"/>
        <v>-371.46</v>
      </c>
      <c r="M185" s="2"/>
      <c r="N185" s="6">
        <f t="shared" si="63"/>
        <v>-0.48556862745098034</v>
      </c>
      <c r="O185" s="11"/>
      <c r="P185" s="7">
        <v>393.54</v>
      </c>
      <c r="Q185" s="2"/>
      <c r="R185" s="6">
        <f t="shared" si="64"/>
        <v>5.4486115586740926E-4</v>
      </c>
      <c r="S185" s="2"/>
      <c r="T185" s="7">
        <v>765</v>
      </c>
      <c r="U185" s="2"/>
      <c r="V185" s="6">
        <f t="shared" si="65"/>
        <v>9.5806743499036898E-4</v>
      </c>
      <c r="W185" s="2"/>
      <c r="X185" s="7">
        <f t="shared" si="66"/>
        <v>-371.46</v>
      </c>
      <c r="Y185" s="2"/>
      <c r="Z185" s="6">
        <f t="shared" si="67"/>
        <v>-0.48556862745098034</v>
      </c>
    </row>
    <row r="186" spans="1:26" s="27" customFormat="1" outlineLevel="1" collapsed="1" x14ac:dyDescent="0.25">
      <c r="A186" s="28"/>
      <c r="B186" s="14" t="str">
        <f>CONCATENATE("     ","Equipment Rental                                  ")</f>
        <v xml:space="preserve">     Equipment Rental                                  </v>
      </c>
      <c r="C186" s="14"/>
      <c r="D186" s="1">
        <f>SUM(OSRRefD22_9x_0)</f>
        <v>1296.9000000000001</v>
      </c>
      <c r="E186" s="1"/>
      <c r="F186" s="5">
        <f t="shared" si="60"/>
        <v>1.7955746126046732E-3</v>
      </c>
      <c r="G186" s="1"/>
      <c r="H186" s="1">
        <f>SUM(OSRRefH22_9x_0)</f>
        <v>3225</v>
      </c>
      <c r="I186" s="1"/>
      <c r="J186" s="5">
        <f t="shared" si="61"/>
        <v>4.0389117357437125E-3</v>
      </c>
      <c r="K186" s="1"/>
      <c r="L186" s="1">
        <f t="shared" si="62"/>
        <v>-1928.1</v>
      </c>
      <c r="M186" s="1"/>
      <c r="N186" s="5">
        <f t="shared" si="63"/>
        <v>-0.59786046511627899</v>
      </c>
      <c r="O186" s="14"/>
      <c r="P186" s="1">
        <f>SUM(OSRRefP22_9x_0)</f>
        <v>1296.9000000000001</v>
      </c>
      <c r="Q186" s="1"/>
      <c r="R186" s="5">
        <f t="shared" si="64"/>
        <v>1.7955746126046732E-3</v>
      </c>
      <c r="S186" s="1"/>
      <c r="T186" s="1">
        <f>SUM(OSRRefT22_9x_0)</f>
        <v>3225</v>
      </c>
      <c r="U186" s="1"/>
      <c r="V186" s="5">
        <f t="shared" si="65"/>
        <v>4.0389117357437125E-3</v>
      </c>
      <c r="W186" s="1"/>
      <c r="X186" s="1">
        <f t="shared" si="66"/>
        <v>-1928.1</v>
      </c>
      <c r="Y186" s="1"/>
      <c r="Z186" s="5">
        <f t="shared" si="67"/>
        <v>-0.59786046511627899</v>
      </c>
    </row>
    <row r="187" spans="1:26" s="24" customFormat="1" hidden="1" outlineLevel="2" x14ac:dyDescent="0.25">
      <c r="A187" s="29"/>
      <c r="B187" s="11" t="str">
        <f>CONCATENATE("          ", "6351", " - ", "EQUIPMENT RENTAL")</f>
        <v xml:space="preserve">          6351 - EQUIPMENT RENTAL</v>
      </c>
      <c r="C187" s="11"/>
      <c r="D187" s="7">
        <v>1296.9000000000001</v>
      </c>
      <c r="E187" s="2"/>
      <c r="F187" s="6">
        <f t="shared" si="60"/>
        <v>1.7955746126046732E-3</v>
      </c>
      <c r="G187" s="2"/>
      <c r="H187" s="7">
        <v>3225</v>
      </c>
      <c r="I187" s="2"/>
      <c r="J187" s="6">
        <f t="shared" si="61"/>
        <v>4.0389117357437125E-3</v>
      </c>
      <c r="K187" s="2"/>
      <c r="L187" s="7">
        <f t="shared" si="62"/>
        <v>-1928.1</v>
      </c>
      <c r="M187" s="2"/>
      <c r="N187" s="6">
        <f t="shared" si="63"/>
        <v>-0.59786046511627899</v>
      </c>
      <c r="O187" s="11"/>
      <c r="P187" s="7">
        <v>1296.9000000000001</v>
      </c>
      <c r="Q187" s="2"/>
      <c r="R187" s="6">
        <f t="shared" si="64"/>
        <v>1.7955746126046732E-3</v>
      </c>
      <c r="S187" s="2"/>
      <c r="T187" s="7">
        <v>3225</v>
      </c>
      <c r="U187" s="2"/>
      <c r="V187" s="6">
        <f t="shared" si="65"/>
        <v>4.0389117357437125E-3</v>
      </c>
      <c r="W187" s="2"/>
      <c r="X187" s="7">
        <f t="shared" si="66"/>
        <v>-1928.1</v>
      </c>
      <c r="Y187" s="2"/>
      <c r="Z187" s="6">
        <f t="shared" si="67"/>
        <v>-0.59786046511627899</v>
      </c>
    </row>
    <row r="188" spans="1:26" s="27" customFormat="1" outlineLevel="1" collapsed="1" x14ac:dyDescent="0.25">
      <c r="A188" s="28"/>
      <c r="B188" s="14" t="str">
        <f>CONCATENATE("     ","Freight out/Postage                               ")</f>
        <v xml:space="preserve">     Freight out/Postage                               </v>
      </c>
      <c r="C188" s="14"/>
      <c r="D188" s="1">
        <f>SUM(OSRRefD22_10x_0)</f>
        <v>-2231.83</v>
      </c>
      <c r="E188" s="1"/>
      <c r="F188" s="5">
        <f t="shared" si="60"/>
        <v>-3.0899971375198455E-3</v>
      </c>
      <c r="G188" s="1"/>
      <c r="H188" s="1">
        <f>SUM(OSRRefH22_10x_0)</f>
        <v>-685</v>
      </c>
      <c r="I188" s="1"/>
      <c r="J188" s="5">
        <f t="shared" si="61"/>
        <v>-8.5787737642928472E-4</v>
      </c>
      <c r="K188" s="1"/>
      <c r="L188" s="1">
        <f t="shared" si="62"/>
        <v>-1546.83</v>
      </c>
      <c r="M188" s="1"/>
      <c r="N188" s="5">
        <f t="shared" si="63"/>
        <v>2.2581459854014598</v>
      </c>
      <c r="O188" s="14"/>
      <c r="P188" s="1">
        <f>SUM(OSRRefP22_10x_0)</f>
        <v>-2231.83</v>
      </c>
      <c r="Q188" s="1"/>
      <c r="R188" s="5">
        <f t="shared" si="64"/>
        <v>-3.0899971375198455E-3</v>
      </c>
      <c r="S188" s="1"/>
      <c r="T188" s="1">
        <f>SUM(OSRRefT22_10x_0)</f>
        <v>-685</v>
      </c>
      <c r="U188" s="1"/>
      <c r="V188" s="5">
        <f t="shared" si="65"/>
        <v>-8.5787737642928472E-4</v>
      </c>
      <c r="W188" s="1"/>
      <c r="X188" s="1">
        <f t="shared" si="66"/>
        <v>-1546.83</v>
      </c>
      <c r="Y188" s="1"/>
      <c r="Z188" s="5">
        <f t="shared" si="67"/>
        <v>2.2581459854014598</v>
      </c>
    </row>
    <row r="189" spans="1:26" s="24" customFormat="1" hidden="1" outlineLevel="2" x14ac:dyDescent="0.25">
      <c r="A189" s="29"/>
      <c r="B189" s="11" t="str">
        <f>CONCATENATE("          ", "6305", " - ", "FREIGHT OUT")</f>
        <v xml:space="preserve">          6305 - FREIGHT OUT</v>
      </c>
      <c r="C189" s="11"/>
      <c r="D189" s="7">
        <v>1417.72</v>
      </c>
      <c r="E189" s="2"/>
      <c r="F189" s="6">
        <f t="shared" si="60"/>
        <v>1.9628514455870901E-3</v>
      </c>
      <c r="G189" s="2"/>
      <c r="H189" s="7">
        <v>-725</v>
      </c>
      <c r="I189" s="2"/>
      <c r="J189" s="6">
        <f t="shared" si="61"/>
        <v>-9.0797240570982679E-4</v>
      </c>
      <c r="K189" s="2"/>
      <c r="L189" s="7">
        <f t="shared" si="62"/>
        <v>2142.7200000000003</v>
      </c>
      <c r="M189" s="2"/>
      <c r="N189" s="6">
        <f t="shared" si="63"/>
        <v>-2.9554758620689658</v>
      </c>
      <c r="O189" s="11"/>
      <c r="P189" s="7">
        <v>1417.72</v>
      </c>
      <c r="Q189" s="2"/>
      <c r="R189" s="6">
        <f t="shared" si="64"/>
        <v>1.9628514455870901E-3</v>
      </c>
      <c r="S189" s="2"/>
      <c r="T189" s="7">
        <v>-725</v>
      </c>
      <c r="U189" s="2"/>
      <c r="V189" s="6">
        <f t="shared" si="65"/>
        <v>-9.0797240570982679E-4</v>
      </c>
      <c r="W189" s="2"/>
      <c r="X189" s="7">
        <f t="shared" si="66"/>
        <v>2142.7200000000003</v>
      </c>
      <c r="Y189" s="2"/>
      <c r="Z189" s="6">
        <f t="shared" si="67"/>
        <v>-2.9554758620689658</v>
      </c>
    </row>
    <row r="190" spans="1:26" s="24" customFormat="1" hidden="1" outlineLevel="2" x14ac:dyDescent="0.25">
      <c r="A190" s="29"/>
      <c r="B190" s="11" t="str">
        <f>CONCATENATE("          ", "6307", " - ", "POSTAGE")</f>
        <v xml:space="preserve">          6307 - POSTAGE</v>
      </c>
      <c r="C190" s="11"/>
      <c r="D190" s="7">
        <v>-3649.55</v>
      </c>
      <c r="E190" s="2"/>
      <c r="F190" s="6">
        <f t="shared" si="60"/>
        <v>-5.0528485831069364E-3</v>
      </c>
      <c r="G190" s="2"/>
      <c r="H190" s="7">
        <v>40</v>
      </c>
      <c r="I190" s="2"/>
      <c r="J190" s="6">
        <f t="shared" si="61"/>
        <v>5.0095029280542171E-5</v>
      </c>
      <c r="K190" s="2"/>
      <c r="L190" s="7">
        <f t="shared" si="62"/>
        <v>-3689.55</v>
      </c>
      <c r="M190" s="2"/>
      <c r="N190" s="6">
        <f t="shared" si="63"/>
        <v>-92.23875000000001</v>
      </c>
      <c r="O190" s="11"/>
      <c r="P190" s="7">
        <v>-3649.55</v>
      </c>
      <c r="Q190" s="2"/>
      <c r="R190" s="6">
        <f t="shared" si="64"/>
        <v>-5.0528485831069364E-3</v>
      </c>
      <c r="S190" s="2"/>
      <c r="T190" s="7">
        <v>40</v>
      </c>
      <c r="U190" s="2"/>
      <c r="V190" s="6">
        <f t="shared" si="65"/>
        <v>5.0095029280542171E-5</v>
      </c>
      <c r="W190" s="2"/>
      <c r="X190" s="7">
        <f t="shared" si="66"/>
        <v>-3689.55</v>
      </c>
      <c r="Y190" s="2"/>
      <c r="Z190" s="6">
        <f t="shared" si="67"/>
        <v>-92.23875000000001</v>
      </c>
    </row>
    <row r="191" spans="1:26" s="27" customFormat="1" outlineLevel="1" collapsed="1" x14ac:dyDescent="0.25">
      <c r="A191" s="28"/>
      <c r="B191" s="14" t="str">
        <f>CONCATENATE("     ","General                                           ")</f>
        <v xml:space="preserve">     General                                           </v>
      </c>
      <c r="C191" s="14"/>
      <c r="D191" s="1">
        <f>SUM(OSRRefD22_11x_0)</f>
        <v>776.18</v>
      </c>
      <c r="E191" s="1"/>
      <c r="F191" s="5">
        <f t="shared" ref="F191:F204" si="68">IF(D$12=0,0,D191/D$12)</f>
        <v>1.0746311225318028E-3</v>
      </c>
      <c r="G191" s="1"/>
      <c r="H191" s="1">
        <f>SUM(OSRRefH22_11x_0)</f>
        <v>500</v>
      </c>
      <c r="I191" s="1"/>
      <c r="J191" s="5">
        <f t="shared" ref="J191:J204" si="69">IF(H$12=0,0,H191/H$12)</f>
        <v>6.2618786600677709E-4</v>
      </c>
      <c r="K191" s="1"/>
      <c r="L191" s="1">
        <f t="shared" ref="L191:L204" si="70">+D191-H191</f>
        <v>276.17999999999995</v>
      </c>
      <c r="M191" s="1"/>
      <c r="N191" s="5">
        <f t="shared" ref="N191:N204" si="71">IF(H191=0,0,L191/H191)</f>
        <v>0.55235999999999985</v>
      </c>
      <c r="O191" s="14"/>
      <c r="P191" s="1">
        <f>SUM(OSRRefP22_11x_0)</f>
        <v>776.18</v>
      </c>
      <c r="Q191" s="1"/>
      <c r="R191" s="5">
        <f t="shared" ref="R191:R204" si="72">IF(P$12=0,0,P191/P$12)</f>
        <v>1.0746311225318028E-3</v>
      </c>
      <c r="S191" s="1"/>
      <c r="T191" s="1">
        <f>SUM(OSRRefT22_11x_0)</f>
        <v>500</v>
      </c>
      <c r="U191" s="1"/>
      <c r="V191" s="5">
        <f t="shared" ref="V191:V204" si="73">IF(T$12=0,0,T191/T$12)</f>
        <v>6.2618786600677709E-4</v>
      </c>
      <c r="W191" s="1"/>
      <c r="X191" s="1">
        <f t="shared" ref="X191:X204" si="74">+P191-T191</f>
        <v>276.17999999999995</v>
      </c>
      <c r="Y191" s="1"/>
      <c r="Z191" s="5">
        <f t="shared" ref="Z191:Z204" si="75">IF(T191=0,0,X191/T191)</f>
        <v>0.55235999999999985</v>
      </c>
    </row>
    <row r="192" spans="1:26" s="24" customFormat="1" hidden="1" outlineLevel="2" x14ac:dyDescent="0.25">
      <c r="A192" s="29"/>
      <c r="B192" s="11" t="str">
        <f>CONCATENATE("          ", "6279", " - ", "GENERAL EXPENSE")</f>
        <v xml:space="preserve">          6279 - GENERAL EXPENSE</v>
      </c>
      <c r="C192" s="11"/>
      <c r="D192" s="7">
        <v>776.18</v>
      </c>
      <c r="E192" s="2"/>
      <c r="F192" s="6">
        <f t="shared" si="68"/>
        <v>1.0746311225318028E-3</v>
      </c>
      <c r="G192" s="2"/>
      <c r="H192" s="7">
        <v>500</v>
      </c>
      <c r="I192" s="2"/>
      <c r="J192" s="6">
        <f t="shared" si="69"/>
        <v>6.2618786600677709E-4</v>
      </c>
      <c r="K192" s="2"/>
      <c r="L192" s="7">
        <f t="shared" si="70"/>
        <v>276.17999999999995</v>
      </c>
      <c r="M192" s="2"/>
      <c r="N192" s="6">
        <f t="shared" si="71"/>
        <v>0.55235999999999985</v>
      </c>
      <c r="O192" s="11"/>
      <c r="P192" s="7">
        <v>776.18</v>
      </c>
      <c r="Q192" s="2"/>
      <c r="R192" s="6">
        <f t="shared" si="72"/>
        <v>1.0746311225318028E-3</v>
      </c>
      <c r="S192" s="2"/>
      <c r="T192" s="7">
        <v>500</v>
      </c>
      <c r="U192" s="2"/>
      <c r="V192" s="6">
        <f t="shared" si="73"/>
        <v>6.2618786600677709E-4</v>
      </c>
      <c r="W192" s="2"/>
      <c r="X192" s="7">
        <f t="shared" si="74"/>
        <v>276.17999999999995</v>
      </c>
      <c r="Y192" s="2"/>
      <c r="Z192" s="6">
        <f t="shared" si="75"/>
        <v>0.55235999999999985</v>
      </c>
    </row>
    <row r="193" spans="1:26" s="27" customFormat="1" outlineLevel="1" collapsed="1" x14ac:dyDescent="0.25">
      <c r="A193" s="28"/>
      <c r="B193" s="14" t="str">
        <f>CONCATENATE("     ","Insurance                                         ")</f>
        <v xml:space="preserve">     Insurance                                         </v>
      </c>
      <c r="C193" s="14"/>
      <c r="D193" s="1">
        <f>SUM(OSRRefD22_12x_0)</f>
        <v>4044.74</v>
      </c>
      <c r="E193" s="1"/>
      <c r="F193" s="5">
        <f t="shared" si="68"/>
        <v>5.5999941850463607E-3</v>
      </c>
      <c r="G193" s="1"/>
      <c r="H193" s="1">
        <f>SUM(OSRRefH22_12x_0)</f>
        <v>3815</v>
      </c>
      <c r="I193" s="1"/>
      <c r="J193" s="5">
        <f t="shared" si="69"/>
        <v>4.7778134176317093E-3</v>
      </c>
      <c r="K193" s="1"/>
      <c r="L193" s="1">
        <f t="shared" si="70"/>
        <v>229.73999999999978</v>
      </c>
      <c r="M193" s="1"/>
      <c r="N193" s="5">
        <f t="shared" si="71"/>
        <v>6.0220183486238477E-2</v>
      </c>
      <c r="O193" s="14"/>
      <c r="P193" s="1">
        <f>SUM(OSRRefP22_12x_0)</f>
        <v>4044.74</v>
      </c>
      <c r="Q193" s="1"/>
      <c r="R193" s="5">
        <f t="shared" si="72"/>
        <v>5.5999941850463607E-3</v>
      </c>
      <c r="S193" s="1"/>
      <c r="T193" s="1">
        <f>SUM(OSRRefT22_12x_0)</f>
        <v>3815</v>
      </c>
      <c r="U193" s="1"/>
      <c r="V193" s="5">
        <f t="shared" si="73"/>
        <v>4.7778134176317093E-3</v>
      </c>
      <c r="W193" s="1"/>
      <c r="X193" s="1">
        <f t="shared" si="74"/>
        <v>229.73999999999978</v>
      </c>
      <c r="Y193" s="1"/>
      <c r="Z193" s="5">
        <f t="shared" si="75"/>
        <v>6.0220183486238477E-2</v>
      </c>
    </row>
    <row r="194" spans="1:26" s="24" customFormat="1" hidden="1" outlineLevel="2" x14ac:dyDescent="0.25">
      <c r="A194" s="29"/>
      <c r="B194" s="11" t="str">
        <f>CONCATENATE("          ", "6314", " - ", "LIABILITY INSURANCE")</f>
        <v xml:space="preserve">          6314 - LIABILITY INSURANCE</v>
      </c>
      <c r="C194" s="11"/>
      <c r="D194" s="7">
        <v>4044.74</v>
      </c>
      <c r="E194" s="2"/>
      <c r="F194" s="6">
        <f t="shared" si="68"/>
        <v>5.5999941850463607E-3</v>
      </c>
      <c r="G194" s="2"/>
      <c r="H194" s="7">
        <v>3815</v>
      </c>
      <c r="I194" s="2"/>
      <c r="J194" s="6">
        <f t="shared" si="69"/>
        <v>4.7778134176317093E-3</v>
      </c>
      <c r="K194" s="2"/>
      <c r="L194" s="7">
        <f t="shared" si="70"/>
        <v>229.73999999999978</v>
      </c>
      <c r="M194" s="2"/>
      <c r="N194" s="6">
        <f t="shared" si="71"/>
        <v>6.0220183486238477E-2</v>
      </c>
      <c r="O194" s="11"/>
      <c r="P194" s="7">
        <v>4044.74</v>
      </c>
      <c r="Q194" s="2"/>
      <c r="R194" s="6">
        <f t="shared" si="72"/>
        <v>5.5999941850463607E-3</v>
      </c>
      <c r="S194" s="2"/>
      <c r="T194" s="7">
        <v>3815</v>
      </c>
      <c r="U194" s="2"/>
      <c r="V194" s="6">
        <f t="shared" si="73"/>
        <v>4.7778134176317093E-3</v>
      </c>
      <c r="W194" s="2"/>
      <c r="X194" s="7">
        <f t="shared" si="74"/>
        <v>229.73999999999978</v>
      </c>
      <c r="Y194" s="2"/>
      <c r="Z194" s="6">
        <f t="shared" si="75"/>
        <v>6.0220183486238477E-2</v>
      </c>
    </row>
    <row r="195" spans="1:26" s="27" customFormat="1" outlineLevel="1" collapsed="1" x14ac:dyDescent="0.25">
      <c r="A195" s="28"/>
      <c r="B195" s="14" t="str">
        <f>CONCATENATE("     ","Inventory Adjustment                              ")</f>
        <v xml:space="preserve">     Inventory Adjustment                              </v>
      </c>
      <c r="C195" s="14"/>
      <c r="D195" s="1">
        <f>SUM(OSRRefD22_13x_0)</f>
        <v>4150</v>
      </c>
      <c r="E195" s="1"/>
      <c r="F195" s="5">
        <f t="shared" si="68"/>
        <v>5.7457279993132805E-3</v>
      </c>
      <c r="G195" s="1"/>
      <c r="H195" s="1">
        <f>SUM(OSRRefH22_13x_0)</f>
        <v>4150</v>
      </c>
      <c r="I195" s="1"/>
      <c r="J195" s="5">
        <f t="shared" si="69"/>
        <v>5.1973592878562505E-3</v>
      </c>
      <c r="K195" s="1"/>
      <c r="L195" s="1">
        <f t="shared" si="70"/>
        <v>0</v>
      </c>
      <c r="M195" s="1"/>
      <c r="N195" s="5">
        <f t="shared" si="71"/>
        <v>0</v>
      </c>
      <c r="O195" s="14"/>
      <c r="P195" s="1">
        <f>SUM(OSRRefP22_13x_0)</f>
        <v>4150</v>
      </c>
      <c r="Q195" s="1"/>
      <c r="R195" s="5">
        <f t="shared" si="72"/>
        <v>5.7457279993132805E-3</v>
      </c>
      <c r="S195" s="1"/>
      <c r="T195" s="1">
        <f>SUM(OSRRefT22_13x_0)</f>
        <v>4150</v>
      </c>
      <c r="U195" s="1"/>
      <c r="V195" s="5">
        <f t="shared" si="73"/>
        <v>5.1973592878562505E-3</v>
      </c>
      <c r="W195" s="1"/>
      <c r="X195" s="1">
        <f t="shared" si="74"/>
        <v>0</v>
      </c>
      <c r="Y195" s="1"/>
      <c r="Z195" s="5">
        <f t="shared" si="75"/>
        <v>0</v>
      </c>
    </row>
    <row r="196" spans="1:26" s="24" customFormat="1" hidden="1" outlineLevel="2" x14ac:dyDescent="0.25">
      <c r="A196" s="29"/>
      <c r="B196" s="11" t="str">
        <f>CONCATENATE("          ", "6408", " - ", "INVENTORY ADJUSTMENT")</f>
        <v xml:space="preserve">          6408 - INVENTORY ADJUSTMENT</v>
      </c>
      <c r="C196" s="11"/>
      <c r="D196" s="7">
        <v>4150</v>
      </c>
      <c r="E196" s="2"/>
      <c r="F196" s="6">
        <f t="shared" si="68"/>
        <v>5.7457279993132805E-3</v>
      </c>
      <c r="G196" s="2"/>
      <c r="H196" s="7">
        <v>4150</v>
      </c>
      <c r="I196" s="2"/>
      <c r="J196" s="6">
        <f t="shared" si="69"/>
        <v>5.1973592878562505E-3</v>
      </c>
      <c r="K196" s="2"/>
      <c r="L196" s="7">
        <f t="shared" si="70"/>
        <v>0</v>
      </c>
      <c r="M196" s="2"/>
      <c r="N196" s="6">
        <f t="shared" si="71"/>
        <v>0</v>
      </c>
      <c r="O196" s="11"/>
      <c r="P196" s="7">
        <v>4150</v>
      </c>
      <c r="Q196" s="2"/>
      <c r="R196" s="6">
        <f t="shared" si="72"/>
        <v>5.7457279993132805E-3</v>
      </c>
      <c r="S196" s="2"/>
      <c r="T196" s="7">
        <v>4150</v>
      </c>
      <c r="U196" s="2"/>
      <c r="V196" s="6">
        <f t="shared" si="73"/>
        <v>5.1973592878562505E-3</v>
      </c>
      <c r="W196" s="2"/>
      <c r="X196" s="7">
        <f t="shared" si="74"/>
        <v>0</v>
      </c>
      <c r="Y196" s="2"/>
      <c r="Z196" s="6">
        <f t="shared" si="75"/>
        <v>0</v>
      </c>
    </row>
    <row r="197" spans="1:26" s="27" customFormat="1" outlineLevel="1" collapsed="1" x14ac:dyDescent="0.25">
      <c r="A197" s="28"/>
      <c r="B197" s="14" t="str">
        <f>CONCATENATE("     ","Professional Services                             ")</f>
        <v xml:space="preserve">     Professional Services                             </v>
      </c>
      <c r="C197" s="14"/>
      <c r="D197" s="1">
        <f>SUM(OSRRefD22_14x_0)</f>
        <v>6158.41</v>
      </c>
      <c r="E197" s="1"/>
      <c r="F197" s="5">
        <f t="shared" si="68"/>
        <v>8.526397293554434E-3</v>
      </c>
      <c r="G197" s="1"/>
      <c r="H197" s="1">
        <f>SUM(OSRRefH22_14x_0)</f>
        <v>3415</v>
      </c>
      <c r="I197" s="1"/>
      <c r="J197" s="5">
        <f t="shared" si="69"/>
        <v>4.2768631248262879E-3</v>
      </c>
      <c r="K197" s="1"/>
      <c r="L197" s="1">
        <f t="shared" si="70"/>
        <v>2743.41</v>
      </c>
      <c r="M197" s="1"/>
      <c r="N197" s="5">
        <f t="shared" si="71"/>
        <v>0.80334114202049778</v>
      </c>
      <c r="O197" s="14"/>
      <c r="P197" s="1">
        <f>SUM(OSRRefP22_14x_0)</f>
        <v>6158.41</v>
      </c>
      <c r="Q197" s="1"/>
      <c r="R197" s="5">
        <f t="shared" si="72"/>
        <v>8.526397293554434E-3</v>
      </c>
      <c r="S197" s="1"/>
      <c r="T197" s="1">
        <f>SUM(OSRRefT22_14x_0)</f>
        <v>3415</v>
      </c>
      <c r="U197" s="1"/>
      <c r="V197" s="5">
        <f t="shared" si="73"/>
        <v>4.2768631248262879E-3</v>
      </c>
      <c r="W197" s="1"/>
      <c r="X197" s="1">
        <f t="shared" si="74"/>
        <v>2743.41</v>
      </c>
      <c r="Y197" s="1"/>
      <c r="Z197" s="5">
        <f t="shared" si="75"/>
        <v>0.80334114202049778</v>
      </c>
    </row>
    <row r="198" spans="1:26" s="24" customFormat="1" hidden="1" outlineLevel="2" x14ac:dyDescent="0.25">
      <c r="A198" s="29"/>
      <c r="B198" s="11" t="str">
        <f>CONCATENATE("          ", "6336", " - ", "PROFESSIONAL SERVICES")</f>
        <v xml:space="preserve">          6336 - PROFESSIONAL SERVICES</v>
      </c>
      <c r="C198" s="11"/>
      <c r="D198" s="7">
        <v>6158.41</v>
      </c>
      <c r="E198" s="2"/>
      <c r="F198" s="6">
        <f t="shared" si="68"/>
        <v>8.526397293554434E-3</v>
      </c>
      <c r="G198" s="2"/>
      <c r="H198" s="7">
        <v>3415</v>
      </c>
      <c r="I198" s="2"/>
      <c r="J198" s="6">
        <f t="shared" si="69"/>
        <v>4.2768631248262879E-3</v>
      </c>
      <c r="K198" s="2"/>
      <c r="L198" s="7">
        <f t="shared" si="70"/>
        <v>2743.41</v>
      </c>
      <c r="M198" s="2"/>
      <c r="N198" s="6">
        <f t="shared" si="71"/>
        <v>0.80334114202049778</v>
      </c>
      <c r="O198" s="11"/>
      <c r="P198" s="7">
        <v>6158.41</v>
      </c>
      <c r="Q198" s="2"/>
      <c r="R198" s="6">
        <f t="shared" si="72"/>
        <v>8.526397293554434E-3</v>
      </c>
      <c r="S198" s="2"/>
      <c r="T198" s="7">
        <v>3415</v>
      </c>
      <c r="U198" s="2"/>
      <c r="V198" s="6">
        <f t="shared" si="73"/>
        <v>4.2768631248262879E-3</v>
      </c>
      <c r="W198" s="2"/>
      <c r="X198" s="7">
        <f t="shared" si="74"/>
        <v>2743.41</v>
      </c>
      <c r="Y198" s="2"/>
      <c r="Z198" s="6">
        <f t="shared" si="75"/>
        <v>0.80334114202049778</v>
      </c>
    </row>
    <row r="199" spans="1:26" s="27" customFormat="1" outlineLevel="1" collapsed="1" x14ac:dyDescent="0.25">
      <c r="A199" s="28"/>
      <c r="B199" s="14" t="str">
        <f>CONCATENATE("     ","Rent                                              ")</f>
        <v xml:space="preserve">     Rent                                              </v>
      </c>
      <c r="C199" s="14"/>
      <c r="D199" s="1">
        <f>SUM(OSRRefD22_15x_0)</f>
        <v>6100</v>
      </c>
      <c r="E199" s="1"/>
      <c r="F199" s="5">
        <f t="shared" si="68"/>
        <v>8.4455279026050632E-3</v>
      </c>
      <c r="G199" s="1"/>
      <c r="H199" s="1">
        <f>SUM(OSRRefH22_15x_0)</f>
        <v>6400</v>
      </c>
      <c r="I199" s="1"/>
      <c r="J199" s="5">
        <f t="shared" si="69"/>
        <v>8.0152046848867477E-3</v>
      </c>
      <c r="K199" s="1"/>
      <c r="L199" s="1">
        <f t="shared" si="70"/>
        <v>-300</v>
      </c>
      <c r="M199" s="1"/>
      <c r="N199" s="5">
        <f t="shared" si="71"/>
        <v>-4.6875E-2</v>
      </c>
      <c r="O199" s="14"/>
      <c r="P199" s="1">
        <f>SUM(OSRRefP22_15x_0)</f>
        <v>6100</v>
      </c>
      <c r="Q199" s="1"/>
      <c r="R199" s="5">
        <f t="shared" si="72"/>
        <v>8.4455279026050632E-3</v>
      </c>
      <c r="S199" s="1"/>
      <c r="T199" s="1">
        <f>SUM(OSRRefT22_15x_0)</f>
        <v>6400</v>
      </c>
      <c r="U199" s="1"/>
      <c r="V199" s="5">
        <f t="shared" si="73"/>
        <v>8.0152046848867477E-3</v>
      </c>
      <c r="W199" s="1"/>
      <c r="X199" s="1">
        <f t="shared" si="74"/>
        <v>-300</v>
      </c>
      <c r="Y199" s="1"/>
      <c r="Z199" s="5">
        <f t="shared" si="75"/>
        <v>-4.6875E-2</v>
      </c>
    </row>
    <row r="200" spans="1:26" s="24" customFormat="1" hidden="1" outlineLevel="2" x14ac:dyDescent="0.25">
      <c r="A200" s="29"/>
      <c r="B200" s="11" t="str">
        <f>CONCATENATE("          ", "6273", " - ", "RENT")</f>
        <v xml:space="preserve">          6273 - RENT</v>
      </c>
      <c r="C200" s="11"/>
      <c r="D200" s="7">
        <v>6100</v>
      </c>
      <c r="E200" s="2"/>
      <c r="F200" s="6">
        <f t="shared" si="68"/>
        <v>8.4455279026050632E-3</v>
      </c>
      <c r="G200" s="2"/>
      <c r="H200" s="7">
        <v>6400</v>
      </c>
      <c r="I200" s="2"/>
      <c r="J200" s="6">
        <f t="shared" si="69"/>
        <v>8.0152046848867477E-3</v>
      </c>
      <c r="K200" s="2"/>
      <c r="L200" s="7">
        <f t="shared" si="70"/>
        <v>-300</v>
      </c>
      <c r="M200" s="2"/>
      <c r="N200" s="6">
        <f t="shared" si="71"/>
        <v>-4.6875E-2</v>
      </c>
      <c r="O200" s="11"/>
      <c r="P200" s="7">
        <v>6100</v>
      </c>
      <c r="Q200" s="2"/>
      <c r="R200" s="6">
        <f t="shared" si="72"/>
        <v>8.4455279026050632E-3</v>
      </c>
      <c r="S200" s="2"/>
      <c r="T200" s="7">
        <v>6400</v>
      </c>
      <c r="U200" s="2"/>
      <c r="V200" s="6">
        <f t="shared" si="73"/>
        <v>8.0152046848867477E-3</v>
      </c>
      <c r="W200" s="2"/>
      <c r="X200" s="7">
        <f t="shared" si="74"/>
        <v>-300</v>
      </c>
      <c r="Y200" s="2"/>
      <c r="Z200" s="6">
        <f t="shared" si="75"/>
        <v>-4.6875E-2</v>
      </c>
    </row>
    <row r="201" spans="1:26" s="27" customFormat="1" outlineLevel="1" collapsed="1" x14ac:dyDescent="0.25">
      <c r="A201" s="28"/>
      <c r="B201" s="14" t="str">
        <f>CONCATENATE("     ","Repair and Maintenance                            ")</f>
        <v xml:space="preserve">     Repair and Maintenance                            </v>
      </c>
      <c r="C201" s="14"/>
      <c r="D201" s="1">
        <f>SUM(OSRRefD22_16x_0)</f>
        <v>22745.309999999998</v>
      </c>
      <c r="E201" s="1"/>
      <c r="F201" s="5">
        <f t="shared" si="68"/>
        <v>3.1491172173508518E-2</v>
      </c>
      <c r="G201" s="1"/>
      <c r="H201" s="1">
        <f>SUM(OSRRefH22_16x_0)</f>
        <v>56825</v>
      </c>
      <c r="I201" s="1"/>
      <c r="J201" s="5">
        <f t="shared" si="69"/>
        <v>7.1166250971670217E-2</v>
      </c>
      <c r="K201" s="1"/>
      <c r="L201" s="1">
        <f t="shared" si="70"/>
        <v>-34079.69</v>
      </c>
      <c r="M201" s="1"/>
      <c r="N201" s="5">
        <f t="shared" si="71"/>
        <v>-0.59973057633084037</v>
      </c>
      <c r="O201" s="14"/>
      <c r="P201" s="1">
        <f>SUM(OSRRefP22_16x_0)</f>
        <v>22745.309999999998</v>
      </c>
      <c r="Q201" s="1"/>
      <c r="R201" s="5">
        <f t="shared" si="72"/>
        <v>3.1491172173508518E-2</v>
      </c>
      <c r="S201" s="1"/>
      <c r="T201" s="1">
        <f>SUM(OSRRefT22_16x_0)</f>
        <v>56825</v>
      </c>
      <c r="U201" s="1"/>
      <c r="V201" s="5">
        <f t="shared" si="73"/>
        <v>7.1166250971670217E-2</v>
      </c>
      <c r="W201" s="1"/>
      <c r="X201" s="1">
        <f t="shared" si="74"/>
        <v>-34079.69</v>
      </c>
      <c r="Y201" s="1"/>
      <c r="Z201" s="5">
        <f t="shared" si="75"/>
        <v>-0.59973057633084037</v>
      </c>
    </row>
    <row r="202" spans="1:26" s="24" customFormat="1" hidden="1" outlineLevel="2" x14ac:dyDescent="0.25">
      <c r="A202" s="29"/>
      <c r="B202" s="11" t="str">
        <f>CONCATENATE("          ", "6371", " - ", "COMPUTER SOFTWARE MAINTENANCE")</f>
        <v xml:space="preserve">          6371 - COMPUTER SOFTWARE MAINTENANCE</v>
      </c>
      <c r="C202" s="11"/>
      <c r="D202" s="7">
        <v>601</v>
      </c>
      <c r="E202" s="2"/>
      <c r="F202" s="6">
        <f t="shared" si="68"/>
        <v>8.3209217532223653E-4</v>
      </c>
      <c r="G202" s="2"/>
      <c r="H202" s="7">
        <v>48535</v>
      </c>
      <c r="I202" s="2"/>
      <c r="J202" s="6">
        <f t="shared" si="69"/>
        <v>6.0784056153277859E-2</v>
      </c>
      <c r="K202" s="2"/>
      <c r="L202" s="7">
        <f t="shared" si="70"/>
        <v>-47934</v>
      </c>
      <c r="M202" s="2"/>
      <c r="N202" s="6">
        <f t="shared" si="71"/>
        <v>-0.98761718347584215</v>
      </c>
      <c r="O202" s="11"/>
      <c r="P202" s="7">
        <v>601</v>
      </c>
      <c r="Q202" s="2"/>
      <c r="R202" s="6">
        <f t="shared" si="72"/>
        <v>8.3209217532223653E-4</v>
      </c>
      <c r="S202" s="2"/>
      <c r="T202" s="7">
        <v>48535</v>
      </c>
      <c r="U202" s="2"/>
      <c r="V202" s="6">
        <f t="shared" si="73"/>
        <v>6.0784056153277859E-2</v>
      </c>
      <c r="W202" s="2"/>
      <c r="X202" s="7">
        <f t="shared" si="74"/>
        <v>-47934</v>
      </c>
      <c r="Y202" s="2"/>
      <c r="Z202" s="6">
        <f t="shared" si="75"/>
        <v>-0.98761718347584215</v>
      </c>
    </row>
    <row r="203" spans="1:26" s="24" customFormat="1" hidden="1" outlineLevel="2" x14ac:dyDescent="0.25">
      <c r="A203" s="29"/>
      <c r="B203" s="11" t="str">
        <f>CONCATENATE("          ", "6373", " - ", "MAINTENANCE CONTRACTS")</f>
        <v xml:space="preserve">          6373 - MAINTENANCE CONTRACTS</v>
      </c>
      <c r="C203" s="11"/>
      <c r="D203" s="7">
        <v>6478.86</v>
      </c>
      <c r="E203" s="2"/>
      <c r="F203" s="6">
        <f t="shared" si="68"/>
        <v>8.9700644109953834E-3</v>
      </c>
      <c r="G203" s="2"/>
      <c r="H203" s="7">
        <v>7040</v>
      </c>
      <c r="I203" s="2"/>
      <c r="J203" s="6">
        <f t="shared" si="69"/>
        <v>8.8167251533754227E-3</v>
      </c>
      <c r="K203" s="2"/>
      <c r="L203" s="7">
        <f t="shared" si="70"/>
        <v>-561.14000000000033</v>
      </c>
      <c r="M203" s="2"/>
      <c r="N203" s="6">
        <f t="shared" si="71"/>
        <v>-7.9707386363636404E-2</v>
      </c>
      <c r="O203" s="11"/>
      <c r="P203" s="7">
        <v>6478.86</v>
      </c>
      <c r="Q203" s="2"/>
      <c r="R203" s="6">
        <f t="shared" si="72"/>
        <v>8.9700644109953834E-3</v>
      </c>
      <c r="S203" s="2"/>
      <c r="T203" s="7">
        <v>7040</v>
      </c>
      <c r="U203" s="2"/>
      <c r="V203" s="6">
        <f t="shared" si="73"/>
        <v>8.8167251533754227E-3</v>
      </c>
      <c r="W203" s="2"/>
      <c r="X203" s="7">
        <f t="shared" si="74"/>
        <v>-561.14000000000033</v>
      </c>
      <c r="Y203" s="2"/>
      <c r="Z203" s="6">
        <f t="shared" si="75"/>
        <v>-7.9707386363636404E-2</v>
      </c>
    </row>
    <row r="204" spans="1:26" s="24" customFormat="1" hidden="1" outlineLevel="2" x14ac:dyDescent="0.25">
      <c r="A204" s="29"/>
      <c r="B204" s="11" t="str">
        <f>CONCATENATE("          ", "6375", " - ", "OUTSIDE REPAIRS &amp; MAINTENANCE")</f>
        <v xml:space="preserve">          6375 - OUTSIDE REPAIRS &amp; MAINTENANCE</v>
      </c>
      <c r="C204" s="11"/>
      <c r="D204" s="7">
        <v>15665.449999999999</v>
      </c>
      <c r="E204" s="2"/>
      <c r="F204" s="6">
        <f t="shared" si="68"/>
        <v>2.1689015587190899E-2</v>
      </c>
      <c r="G204" s="2"/>
      <c r="H204" s="7">
        <v>1250</v>
      </c>
      <c r="I204" s="2"/>
      <c r="J204" s="6">
        <f t="shared" si="69"/>
        <v>1.5654696650169429E-3</v>
      </c>
      <c r="K204" s="2"/>
      <c r="L204" s="7">
        <f t="shared" si="70"/>
        <v>14415.449999999999</v>
      </c>
      <c r="M204" s="2"/>
      <c r="N204" s="6">
        <f t="shared" si="71"/>
        <v>11.532359999999999</v>
      </c>
      <c r="O204" s="11"/>
      <c r="P204" s="7">
        <v>15665.449999999999</v>
      </c>
      <c r="Q204" s="2"/>
      <c r="R204" s="6">
        <f t="shared" si="72"/>
        <v>2.1689015587190899E-2</v>
      </c>
      <c r="S204" s="2"/>
      <c r="T204" s="7">
        <v>1250</v>
      </c>
      <c r="U204" s="2"/>
      <c r="V204" s="6">
        <f t="shared" si="73"/>
        <v>1.5654696650169429E-3</v>
      </c>
      <c r="W204" s="2"/>
      <c r="X204" s="7">
        <f t="shared" si="74"/>
        <v>14415.449999999999</v>
      </c>
      <c r="Y204" s="2"/>
      <c r="Z204" s="6">
        <f t="shared" si="75"/>
        <v>11.532359999999999</v>
      </c>
    </row>
    <row r="205" spans="1:26" s="27" customFormat="1" outlineLevel="1" collapsed="1" x14ac:dyDescent="0.25">
      <c r="A205" s="28"/>
      <c r="B205" s="14" t="str">
        <f>CONCATENATE("     ","Royalty &amp; Commissions                             ")</f>
        <v xml:space="preserve">     Royalty &amp; Commissions                             </v>
      </c>
      <c r="C205" s="14"/>
      <c r="D205" s="1">
        <f>SUM(OSRRefD22_17x_0)</f>
        <v>5086.05</v>
      </c>
      <c r="E205" s="1"/>
      <c r="F205" s="5">
        <f t="shared" ref="F205:F209" si="76">IF(D$12=0,0,D205/D$12)</f>
        <v>7.0417011785318829E-3</v>
      </c>
      <c r="G205" s="1"/>
      <c r="H205" s="1">
        <f>SUM(OSRRefH22_17x_0)</f>
        <v>16485</v>
      </c>
      <c r="I205" s="1"/>
      <c r="J205" s="5">
        <f t="shared" ref="J205:J209" si="77">IF(H$12=0,0,H205/H$12)</f>
        <v>2.0645413942243441E-2</v>
      </c>
      <c r="K205" s="1"/>
      <c r="L205" s="1">
        <f t="shared" ref="L205:L209" si="78">+D205-H205</f>
        <v>-11398.95</v>
      </c>
      <c r="M205" s="1"/>
      <c r="N205" s="5">
        <f t="shared" ref="N205:N209" si="79">IF(H205=0,0,L205/H205)</f>
        <v>-0.69147406733394001</v>
      </c>
      <c r="O205" s="14"/>
      <c r="P205" s="1">
        <f>SUM(OSRRefP22_17x_0)</f>
        <v>5086.05</v>
      </c>
      <c r="Q205" s="1"/>
      <c r="R205" s="5">
        <f t="shared" ref="R205:R209" si="80">IF(P$12=0,0,P205/P$12)</f>
        <v>7.0417011785318829E-3</v>
      </c>
      <c r="S205" s="1"/>
      <c r="T205" s="1">
        <f>SUM(OSRRefT22_17x_0)</f>
        <v>16485</v>
      </c>
      <c r="U205" s="1"/>
      <c r="V205" s="5">
        <f t="shared" ref="V205:V209" si="81">IF(T$12=0,0,T205/T$12)</f>
        <v>2.0645413942243441E-2</v>
      </c>
      <c r="W205" s="1"/>
      <c r="X205" s="1">
        <f t="shared" ref="X205:X209" si="82">+P205-T205</f>
        <v>-11398.95</v>
      </c>
      <c r="Y205" s="1"/>
      <c r="Z205" s="5">
        <f t="shared" ref="Z205:Z209" si="83">IF(T205=0,0,X205/T205)</f>
        <v>-0.69147406733394001</v>
      </c>
    </row>
    <row r="206" spans="1:26" s="24" customFormat="1" hidden="1" outlineLevel="2" x14ac:dyDescent="0.25">
      <c r="A206" s="29"/>
      <c r="B206" s="11" t="str">
        <f>CONCATENATE("          ", "6252", " - ", "ROYALTY DUE CSTV")</f>
        <v xml:space="preserve">          6252 - ROYALTY DUE CSTV</v>
      </c>
      <c r="C206" s="11"/>
      <c r="D206" s="7"/>
      <c r="E206" s="2"/>
      <c r="F206" s="6">
        <f t="shared" si="76"/>
        <v>0</v>
      </c>
      <c r="G206" s="2"/>
      <c r="H206" s="7">
        <v>1085</v>
      </c>
      <c r="I206" s="2"/>
      <c r="J206" s="6">
        <f t="shared" si="77"/>
        <v>1.3588276692347064E-3</v>
      </c>
      <c r="K206" s="2"/>
      <c r="L206" s="7">
        <f t="shared" si="78"/>
        <v>-1085</v>
      </c>
      <c r="M206" s="2"/>
      <c r="N206" s="6">
        <f t="shared" si="79"/>
        <v>-1</v>
      </c>
      <c r="O206" s="11"/>
      <c r="P206" s="7"/>
      <c r="Q206" s="2"/>
      <c r="R206" s="6">
        <f t="shared" si="80"/>
        <v>0</v>
      </c>
      <c r="S206" s="2"/>
      <c r="T206" s="7">
        <v>1085</v>
      </c>
      <c r="U206" s="2"/>
      <c r="V206" s="6">
        <f t="shared" si="81"/>
        <v>1.3588276692347064E-3</v>
      </c>
      <c r="W206" s="2"/>
      <c r="X206" s="7">
        <f t="shared" si="82"/>
        <v>-1085</v>
      </c>
      <c r="Y206" s="2"/>
      <c r="Z206" s="6">
        <f t="shared" si="83"/>
        <v>-1</v>
      </c>
    </row>
    <row r="207" spans="1:26" s="24" customFormat="1" hidden="1" outlineLevel="2" x14ac:dyDescent="0.25">
      <c r="A207" s="29"/>
      <c r="B207" s="11" t="str">
        <f>CONCATENATE("          ", "6253", " - ", "ROYALTY DUE ATHLETICS-LRG")</f>
        <v xml:space="preserve">          6253 - ROYALTY DUE ATHLETICS-LRG</v>
      </c>
      <c r="C207" s="11"/>
      <c r="D207" s="7">
        <v>4366.95</v>
      </c>
      <c r="E207" s="2"/>
      <c r="F207" s="6">
        <f t="shared" si="76"/>
        <v>6.0460980449641277E-3</v>
      </c>
      <c r="G207" s="2"/>
      <c r="H207" s="7">
        <v>3700</v>
      </c>
      <c r="I207" s="2"/>
      <c r="J207" s="6">
        <f t="shared" si="77"/>
        <v>4.6337902084501508E-3</v>
      </c>
      <c r="K207" s="2"/>
      <c r="L207" s="7">
        <f t="shared" si="78"/>
        <v>666.94999999999982</v>
      </c>
      <c r="M207" s="2"/>
      <c r="N207" s="6">
        <f t="shared" si="79"/>
        <v>0.1802567567567567</v>
      </c>
      <c r="O207" s="11"/>
      <c r="P207" s="7">
        <v>4366.95</v>
      </c>
      <c r="Q207" s="2"/>
      <c r="R207" s="6">
        <f t="shared" si="80"/>
        <v>6.0460980449641277E-3</v>
      </c>
      <c r="S207" s="2"/>
      <c r="T207" s="7">
        <v>3700</v>
      </c>
      <c r="U207" s="2"/>
      <c r="V207" s="6">
        <f t="shared" si="81"/>
        <v>4.6337902084501508E-3</v>
      </c>
      <c r="W207" s="2"/>
      <c r="X207" s="7">
        <f t="shared" si="82"/>
        <v>666.94999999999982</v>
      </c>
      <c r="Y207" s="2"/>
      <c r="Z207" s="6">
        <f t="shared" si="83"/>
        <v>0.1802567567567567</v>
      </c>
    </row>
    <row r="208" spans="1:26" s="24" customFormat="1" hidden="1" outlineLevel="2" x14ac:dyDescent="0.25">
      <c r="A208" s="29"/>
      <c r="B208" s="11" t="str">
        <f>CONCATENATE("          ", "6254", " - ", "ROYALTY &amp; COMMISSIONS")</f>
        <v xml:space="preserve">          6254 - ROYALTY &amp; COMMISSIONS</v>
      </c>
      <c r="C208" s="11"/>
      <c r="D208" s="7">
        <v>114.09</v>
      </c>
      <c r="E208" s="2"/>
      <c r="F208" s="6">
        <f t="shared" si="76"/>
        <v>1.5795906203413306E-4</v>
      </c>
      <c r="G208" s="2"/>
      <c r="H208" s="7">
        <v>11700</v>
      </c>
      <c r="I208" s="2"/>
      <c r="J208" s="6">
        <f t="shared" si="77"/>
        <v>1.4652796064558585E-2</v>
      </c>
      <c r="K208" s="2"/>
      <c r="L208" s="7">
        <f t="shared" si="78"/>
        <v>-11585.91</v>
      </c>
      <c r="M208" s="2"/>
      <c r="N208" s="6">
        <f t="shared" si="79"/>
        <v>-0.99024871794871794</v>
      </c>
      <c r="O208" s="11"/>
      <c r="P208" s="7">
        <v>114.09</v>
      </c>
      <c r="Q208" s="2"/>
      <c r="R208" s="6">
        <f t="shared" si="80"/>
        <v>1.5795906203413306E-4</v>
      </c>
      <c r="S208" s="2"/>
      <c r="T208" s="7">
        <v>11700</v>
      </c>
      <c r="U208" s="2"/>
      <c r="V208" s="6">
        <f t="shared" si="81"/>
        <v>1.4652796064558585E-2</v>
      </c>
      <c r="W208" s="2"/>
      <c r="X208" s="7">
        <f t="shared" si="82"/>
        <v>-11585.91</v>
      </c>
      <c r="Y208" s="2"/>
      <c r="Z208" s="6">
        <f t="shared" si="83"/>
        <v>-0.99024871794871794</v>
      </c>
    </row>
    <row r="209" spans="1:26" s="24" customFormat="1" hidden="1" outlineLevel="2" x14ac:dyDescent="0.25">
      <c r="A209" s="29"/>
      <c r="B209" s="11" t="str">
        <f>CONCATENATE("          ", "6259", " - ", "ROYALTY &amp; COMMISSIONS")</f>
        <v xml:space="preserve">          6259 - ROYALTY &amp; COMMISSIONS</v>
      </c>
      <c r="C209" s="11"/>
      <c r="D209" s="7">
        <v>605.01</v>
      </c>
      <c r="E209" s="2"/>
      <c r="F209" s="6">
        <f t="shared" si="76"/>
        <v>8.3764407153362117E-4</v>
      </c>
      <c r="G209" s="2"/>
      <c r="H209" s="7"/>
      <c r="I209" s="2"/>
      <c r="J209" s="6">
        <f t="shared" si="77"/>
        <v>0</v>
      </c>
      <c r="K209" s="2"/>
      <c r="L209" s="7">
        <f t="shared" si="78"/>
        <v>605.01</v>
      </c>
      <c r="M209" s="2"/>
      <c r="N209" s="6">
        <f t="shared" si="79"/>
        <v>0</v>
      </c>
      <c r="O209" s="11"/>
      <c r="P209" s="7">
        <v>605.01</v>
      </c>
      <c r="Q209" s="2"/>
      <c r="R209" s="6">
        <f t="shared" si="80"/>
        <v>8.3764407153362117E-4</v>
      </c>
      <c r="S209" s="2"/>
      <c r="T209" s="7"/>
      <c r="U209" s="2"/>
      <c r="V209" s="6">
        <f t="shared" si="81"/>
        <v>0</v>
      </c>
      <c r="W209" s="2"/>
      <c r="X209" s="7">
        <f t="shared" si="82"/>
        <v>605.01</v>
      </c>
      <c r="Y209" s="2"/>
      <c r="Z209" s="6">
        <f t="shared" si="83"/>
        <v>0</v>
      </c>
    </row>
    <row r="210" spans="1:26" s="27" customFormat="1" outlineLevel="1" collapsed="1" x14ac:dyDescent="0.25">
      <c r="A210" s="28"/>
      <c r="B210" s="14" t="str">
        <f>CONCATENATE("     ","Services                                          ")</f>
        <v xml:space="preserve">     Services                                          </v>
      </c>
      <c r="C210" s="14"/>
      <c r="D210" s="1">
        <f>SUM(OSRRefD22_18x_0)</f>
        <v>4629.08</v>
      </c>
      <c r="E210" s="1"/>
      <c r="F210" s="5">
        <f t="shared" ref="F210:F214" si="84">IF(D$12=0,0,D210/D$12)</f>
        <v>6.4090203776050892E-3</v>
      </c>
      <c r="G210" s="1"/>
      <c r="H210" s="1">
        <f>SUM(OSRRefH22_18x_0)</f>
        <v>4432.5</v>
      </c>
      <c r="I210" s="1"/>
      <c r="J210" s="5">
        <f t="shared" ref="J210:J214" si="85">IF(H$12=0,0,H210/H$12)</f>
        <v>5.5511554321500791E-3</v>
      </c>
      <c r="K210" s="1"/>
      <c r="L210" s="1">
        <f t="shared" ref="L210:L214" si="86">+D210-H210</f>
        <v>196.57999999999993</v>
      </c>
      <c r="M210" s="1"/>
      <c r="N210" s="5">
        <f t="shared" ref="N210:N214" si="87">IF(H210=0,0,L210/H210)</f>
        <v>4.4349689791314144E-2</v>
      </c>
      <c r="O210" s="14"/>
      <c r="P210" s="1">
        <f>SUM(OSRRefP22_18x_0)</f>
        <v>4629.08</v>
      </c>
      <c r="Q210" s="1"/>
      <c r="R210" s="5">
        <f t="shared" ref="R210:R214" si="88">IF(P$12=0,0,P210/P$12)</f>
        <v>6.4090203776050892E-3</v>
      </c>
      <c r="S210" s="1"/>
      <c r="T210" s="1">
        <f>SUM(OSRRefT22_18x_0)</f>
        <v>4432.5</v>
      </c>
      <c r="U210" s="1"/>
      <c r="V210" s="5">
        <f t="shared" ref="V210:V214" si="89">IF(T$12=0,0,T210/T$12)</f>
        <v>5.5511554321500791E-3</v>
      </c>
      <c r="W210" s="1"/>
      <c r="X210" s="1">
        <f t="shared" ref="X210:X214" si="90">+P210-T210</f>
        <v>196.57999999999993</v>
      </c>
      <c r="Y210" s="1"/>
      <c r="Z210" s="5">
        <f t="shared" ref="Z210:Z214" si="91">IF(T210=0,0,X210/T210)</f>
        <v>4.4349689791314144E-2</v>
      </c>
    </row>
    <row r="211" spans="1:26" s="24" customFormat="1" hidden="1" outlineLevel="2" x14ac:dyDescent="0.25">
      <c r="A211" s="29"/>
      <c r="B211" s="11" t="str">
        <f>CONCATENATE("          ", "6282", " - ", "JANITORIAL/EXTERMINATOR EXPENS")</f>
        <v xml:space="preserve">          6282 - JANITORIAL/EXTERMINATOR EXPENS</v>
      </c>
      <c r="C211" s="11"/>
      <c r="D211" s="7">
        <v>266.5</v>
      </c>
      <c r="E211" s="2"/>
      <c r="F211" s="6">
        <f t="shared" si="84"/>
        <v>3.6897265344987696E-4</v>
      </c>
      <c r="G211" s="2"/>
      <c r="H211" s="7">
        <v>50</v>
      </c>
      <c r="I211" s="2"/>
      <c r="J211" s="6">
        <f t="shared" si="85"/>
        <v>6.2618786600677717E-5</v>
      </c>
      <c r="K211" s="2"/>
      <c r="L211" s="7">
        <f t="shared" si="86"/>
        <v>216.5</v>
      </c>
      <c r="M211" s="2"/>
      <c r="N211" s="6">
        <f t="shared" si="87"/>
        <v>4.33</v>
      </c>
      <c r="O211" s="11"/>
      <c r="P211" s="7">
        <v>266.5</v>
      </c>
      <c r="Q211" s="2"/>
      <c r="R211" s="6">
        <f t="shared" si="88"/>
        <v>3.6897265344987696E-4</v>
      </c>
      <c r="S211" s="2"/>
      <c r="T211" s="7">
        <v>50</v>
      </c>
      <c r="U211" s="2"/>
      <c r="V211" s="6">
        <f t="shared" si="89"/>
        <v>6.2618786600677717E-5</v>
      </c>
      <c r="W211" s="2"/>
      <c r="X211" s="7">
        <f t="shared" si="90"/>
        <v>216.5</v>
      </c>
      <c r="Y211" s="2"/>
      <c r="Z211" s="6">
        <f t="shared" si="91"/>
        <v>4.33</v>
      </c>
    </row>
    <row r="212" spans="1:26" s="24" customFormat="1" hidden="1" outlineLevel="2" x14ac:dyDescent="0.25">
      <c r="A212" s="29"/>
      <c r="B212" s="11" t="str">
        <f>CONCATENATE("          ", "6283", " - ", "PLANT SERVICE")</f>
        <v xml:space="preserve">          6283 - PLANT SERVICE</v>
      </c>
      <c r="C212" s="11"/>
      <c r="D212" s="7">
        <v>180.66</v>
      </c>
      <c r="E212" s="2"/>
      <c r="F212" s="6">
        <f t="shared" si="84"/>
        <v>2.5012607719420175E-4</v>
      </c>
      <c r="G212" s="2"/>
      <c r="H212" s="7">
        <v>60</v>
      </c>
      <c r="I212" s="2"/>
      <c r="J212" s="6">
        <f t="shared" si="85"/>
        <v>7.5142543920813249E-5</v>
      </c>
      <c r="K212" s="2"/>
      <c r="L212" s="7">
        <f t="shared" si="86"/>
        <v>120.66</v>
      </c>
      <c r="M212" s="2"/>
      <c r="N212" s="6">
        <f t="shared" si="87"/>
        <v>2.0110000000000001</v>
      </c>
      <c r="O212" s="11"/>
      <c r="P212" s="7">
        <v>180.66</v>
      </c>
      <c r="Q212" s="2"/>
      <c r="R212" s="6">
        <f t="shared" si="88"/>
        <v>2.5012607719420175E-4</v>
      </c>
      <c r="S212" s="2"/>
      <c r="T212" s="7">
        <v>60</v>
      </c>
      <c r="U212" s="2"/>
      <c r="V212" s="6">
        <f t="shared" si="89"/>
        <v>7.5142543920813249E-5</v>
      </c>
      <c r="W212" s="2"/>
      <c r="X212" s="7">
        <f t="shared" si="90"/>
        <v>120.66</v>
      </c>
      <c r="Y212" s="2"/>
      <c r="Z212" s="6">
        <f t="shared" si="91"/>
        <v>2.0110000000000001</v>
      </c>
    </row>
    <row r="213" spans="1:26" s="24" customFormat="1" hidden="1" outlineLevel="2" x14ac:dyDescent="0.25">
      <c r="A213" s="29"/>
      <c r="B213" s="11" t="str">
        <f>CONCATENATE("          ", "6284", " - ", "TRASH REMOVAL EXPENSE")</f>
        <v xml:space="preserve">          6284 - TRASH REMOVAL EXPENSE</v>
      </c>
      <c r="C213" s="11"/>
      <c r="D213" s="7">
        <v>134.82</v>
      </c>
      <c r="E213" s="2"/>
      <c r="F213" s="6">
        <f t="shared" si="84"/>
        <v>1.8666001177528109E-4</v>
      </c>
      <c r="G213" s="2"/>
      <c r="H213" s="7">
        <v>62.5</v>
      </c>
      <c r="I213" s="2"/>
      <c r="J213" s="6">
        <f t="shared" si="85"/>
        <v>7.8273483250847136E-5</v>
      </c>
      <c r="K213" s="2"/>
      <c r="L213" s="7">
        <f t="shared" si="86"/>
        <v>72.319999999999993</v>
      </c>
      <c r="M213" s="2"/>
      <c r="N213" s="6">
        <f t="shared" si="87"/>
        <v>1.1571199999999999</v>
      </c>
      <c r="O213" s="11"/>
      <c r="P213" s="7">
        <v>134.82</v>
      </c>
      <c r="Q213" s="2"/>
      <c r="R213" s="6">
        <f t="shared" si="88"/>
        <v>1.8666001177528109E-4</v>
      </c>
      <c r="S213" s="2"/>
      <c r="T213" s="7">
        <v>62.5</v>
      </c>
      <c r="U213" s="2"/>
      <c r="V213" s="6">
        <f t="shared" si="89"/>
        <v>7.8273483250847136E-5</v>
      </c>
      <c r="W213" s="2"/>
      <c r="X213" s="7">
        <f t="shared" si="90"/>
        <v>72.319999999999993</v>
      </c>
      <c r="Y213" s="2"/>
      <c r="Z213" s="6">
        <f t="shared" si="91"/>
        <v>1.1571199999999999</v>
      </c>
    </row>
    <row r="214" spans="1:26" s="24" customFormat="1" hidden="1" outlineLevel="2" x14ac:dyDescent="0.25">
      <c r="A214" s="29"/>
      <c r="B214" s="11" t="str">
        <f>CONCATENATE("          ", "6285", " - ", "JANITORIAL SERVICES")</f>
        <v xml:space="preserve">          6285 - JANITORIAL SERVICES</v>
      </c>
      <c r="C214" s="11"/>
      <c r="D214" s="7">
        <v>4047.1</v>
      </c>
      <c r="E214" s="2"/>
      <c r="F214" s="6">
        <f t="shared" si="84"/>
        <v>5.6032616351857295E-3</v>
      </c>
      <c r="G214" s="2"/>
      <c r="H214" s="7">
        <v>4260</v>
      </c>
      <c r="I214" s="2"/>
      <c r="J214" s="6">
        <f t="shared" si="85"/>
        <v>5.335120618377741E-3</v>
      </c>
      <c r="K214" s="2"/>
      <c r="L214" s="7">
        <f t="shared" si="86"/>
        <v>-212.90000000000009</v>
      </c>
      <c r="M214" s="2"/>
      <c r="N214" s="6">
        <f t="shared" si="87"/>
        <v>-4.9976525821596264E-2</v>
      </c>
      <c r="O214" s="11"/>
      <c r="P214" s="7">
        <v>4047.1</v>
      </c>
      <c r="Q214" s="2"/>
      <c r="R214" s="6">
        <f t="shared" si="88"/>
        <v>5.6032616351857295E-3</v>
      </c>
      <c r="S214" s="2"/>
      <c r="T214" s="7">
        <v>4260</v>
      </c>
      <c r="U214" s="2"/>
      <c r="V214" s="6">
        <f t="shared" si="89"/>
        <v>5.335120618377741E-3</v>
      </c>
      <c r="W214" s="2"/>
      <c r="X214" s="7">
        <f t="shared" si="90"/>
        <v>-212.90000000000009</v>
      </c>
      <c r="Y214" s="2"/>
      <c r="Z214" s="6">
        <f t="shared" si="91"/>
        <v>-4.9976525821596264E-2</v>
      </c>
    </row>
    <row r="215" spans="1:26" s="27" customFormat="1" outlineLevel="1" collapsed="1" x14ac:dyDescent="0.25">
      <c r="A215" s="28"/>
      <c r="B215" s="14" t="str">
        <f>CONCATENATE("     ","Subscriptions &amp; Dues                              ")</f>
        <v xml:space="preserve">     Subscriptions &amp; Dues                              </v>
      </c>
      <c r="C215" s="14"/>
      <c r="D215" s="1">
        <f>SUM(OSRRefD22_19x_0)</f>
        <v>462.25</v>
      </c>
      <c r="E215" s="1"/>
      <c r="F215" s="5">
        <f t="shared" ref="F215:F217" si="92">IF(D$12=0,0,D215/D$12)</f>
        <v>6.3999102835724431E-4</v>
      </c>
      <c r="G215" s="1"/>
      <c r="H215" s="1">
        <f>SUM(OSRRefH22_19x_0)</f>
        <v>2685</v>
      </c>
      <c r="I215" s="1"/>
      <c r="J215" s="5">
        <f t="shared" ref="J215:J217" si="93">IF(H$12=0,0,H215/H$12)</f>
        <v>3.3626288404563932E-3</v>
      </c>
      <c r="K215" s="1"/>
      <c r="L215" s="1">
        <f t="shared" ref="L215:L217" si="94">+D215-H215</f>
        <v>-2222.75</v>
      </c>
      <c r="M215" s="1"/>
      <c r="N215" s="5">
        <f t="shared" ref="N215:N217" si="95">IF(H215=0,0,L215/H215)</f>
        <v>-0.82783985102420854</v>
      </c>
      <c r="O215" s="14"/>
      <c r="P215" s="1">
        <f>SUM(OSRRefP22_19x_0)</f>
        <v>462.25</v>
      </c>
      <c r="Q215" s="1"/>
      <c r="R215" s="5">
        <f t="shared" ref="R215:R217" si="96">IF(P$12=0,0,P215/P$12)</f>
        <v>6.3999102835724431E-4</v>
      </c>
      <c r="S215" s="1"/>
      <c r="T215" s="1">
        <f>SUM(OSRRefT22_19x_0)</f>
        <v>2685</v>
      </c>
      <c r="U215" s="1"/>
      <c r="V215" s="5">
        <f t="shared" ref="V215:V217" si="97">IF(T$12=0,0,T215/T$12)</f>
        <v>3.3626288404563932E-3</v>
      </c>
      <c r="W215" s="1"/>
      <c r="X215" s="1">
        <f t="shared" ref="X215:X217" si="98">+P215-T215</f>
        <v>-2222.75</v>
      </c>
      <c r="Y215" s="1"/>
      <c r="Z215" s="5">
        <f t="shared" ref="Z215:Z217" si="99">IF(T215=0,0,X215/T215)</f>
        <v>-0.82783985102420854</v>
      </c>
    </row>
    <row r="216" spans="1:26" s="24" customFormat="1" hidden="1" outlineLevel="2" x14ac:dyDescent="0.25">
      <c r="A216" s="29"/>
      <c r="B216" s="11" t="str">
        <f>CONCATENATE("          ", "6258", " - ", "MEMBERSHIP DUES")</f>
        <v xml:space="preserve">          6258 - MEMBERSHIP DUES</v>
      </c>
      <c r="C216" s="11"/>
      <c r="D216" s="7">
        <v>288.85000000000002</v>
      </c>
      <c r="E216" s="2"/>
      <c r="F216" s="6">
        <f t="shared" si="92"/>
        <v>3.9991651387991355E-4</v>
      </c>
      <c r="G216" s="2"/>
      <c r="H216" s="7">
        <v>1895</v>
      </c>
      <c r="I216" s="2"/>
      <c r="J216" s="6">
        <f t="shared" si="93"/>
        <v>2.3732520121656853E-3</v>
      </c>
      <c r="K216" s="2"/>
      <c r="L216" s="7">
        <f t="shared" si="94"/>
        <v>-1606.15</v>
      </c>
      <c r="M216" s="2"/>
      <c r="N216" s="6">
        <f t="shared" si="95"/>
        <v>-0.84757255936675469</v>
      </c>
      <c r="O216" s="11"/>
      <c r="P216" s="7">
        <v>288.85000000000002</v>
      </c>
      <c r="Q216" s="2"/>
      <c r="R216" s="6">
        <f t="shared" si="96"/>
        <v>3.9991651387991355E-4</v>
      </c>
      <c r="S216" s="2"/>
      <c r="T216" s="7">
        <v>1895</v>
      </c>
      <c r="U216" s="2"/>
      <c r="V216" s="6">
        <f t="shared" si="97"/>
        <v>2.3732520121656853E-3</v>
      </c>
      <c r="W216" s="2"/>
      <c r="X216" s="7">
        <f t="shared" si="98"/>
        <v>-1606.15</v>
      </c>
      <c r="Y216" s="2"/>
      <c r="Z216" s="6">
        <f t="shared" si="99"/>
        <v>-0.84757255936675469</v>
      </c>
    </row>
    <row r="217" spans="1:26" s="24" customFormat="1" hidden="1" outlineLevel="2" x14ac:dyDescent="0.25">
      <c r="A217" s="29"/>
      <c r="B217" s="11" t="str">
        <f>CONCATENATE("          ", "6275", " - ", "SUBSCRIPTIONS")</f>
        <v xml:space="preserve">          6275 - SUBSCRIPTIONS</v>
      </c>
      <c r="C217" s="11"/>
      <c r="D217" s="7">
        <v>173.4</v>
      </c>
      <c r="E217" s="2"/>
      <c r="F217" s="6">
        <f t="shared" si="92"/>
        <v>2.4007451447733083E-4</v>
      </c>
      <c r="G217" s="2"/>
      <c r="H217" s="7">
        <v>790</v>
      </c>
      <c r="I217" s="2"/>
      <c r="J217" s="6">
        <f t="shared" si="93"/>
        <v>9.8937682829070787E-4</v>
      </c>
      <c r="K217" s="2"/>
      <c r="L217" s="7">
        <f t="shared" si="94"/>
        <v>-616.6</v>
      </c>
      <c r="M217" s="2"/>
      <c r="N217" s="6">
        <f t="shared" si="95"/>
        <v>-0.78050632911392404</v>
      </c>
      <c r="O217" s="11"/>
      <c r="P217" s="7">
        <v>173.4</v>
      </c>
      <c r="Q217" s="2"/>
      <c r="R217" s="6">
        <f t="shared" si="96"/>
        <v>2.4007451447733083E-4</v>
      </c>
      <c r="S217" s="2"/>
      <c r="T217" s="7">
        <v>790</v>
      </c>
      <c r="U217" s="2"/>
      <c r="V217" s="6">
        <f t="shared" si="97"/>
        <v>9.8937682829070787E-4</v>
      </c>
      <c r="W217" s="2"/>
      <c r="X217" s="7">
        <f t="shared" si="98"/>
        <v>-616.6</v>
      </c>
      <c r="Y217" s="2"/>
      <c r="Z217" s="6">
        <f t="shared" si="99"/>
        <v>-0.78050632911392404</v>
      </c>
    </row>
    <row r="218" spans="1:26" s="27" customFormat="1" outlineLevel="1" collapsed="1" x14ac:dyDescent="0.25">
      <c r="A218" s="28"/>
      <c r="B218" s="14" t="str">
        <f>CONCATENATE("     ","Supplies                                          ")</f>
        <v xml:space="preserve">     Supplies                                          </v>
      </c>
      <c r="C218" s="14"/>
      <c r="D218" s="1">
        <f>SUM(OSRRefD22_20x_0)</f>
        <v>7620.79</v>
      </c>
      <c r="E218" s="1"/>
      <c r="F218" s="5">
        <f t="shared" ref="F218:F225" si="100">IF(D$12=0,0,D218/D$12)</f>
        <v>1.055108107949076E-2</v>
      </c>
      <c r="G218" s="1"/>
      <c r="H218" s="1">
        <f>SUM(OSRRefH22_20x_0)</f>
        <v>12010</v>
      </c>
      <c r="I218" s="1"/>
      <c r="J218" s="5">
        <f t="shared" ref="J218:J225" si="101">IF(H$12=0,0,H218/H$12)</f>
        <v>1.5041032541482787E-2</v>
      </c>
      <c r="K218" s="1"/>
      <c r="L218" s="1">
        <f t="shared" ref="L218:L225" si="102">+D218-H218</f>
        <v>-4389.21</v>
      </c>
      <c r="M218" s="1"/>
      <c r="N218" s="5">
        <f t="shared" ref="N218:N225" si="103">IF(H218=0,0,L218/H218)</f>
        <v>-0.36546294754371356</v>
      </c>
      <c r="O218" s="14"/>
      <c r="P218" s="1">
        <f>SUM(OSRRefP22_20x_0)</f>
        <v>7620.79</v>
      </c>
      <c r="Q218" s="1"/>
      <c r="R218" s="5">
        <f t="shared" ref="R218:R225" si="104">IF(P$12=0,0,P218/P$12)</f>
        <v>1.055108107949076E-2</v>
      </c>
      <c r="S218" s="1"/>
      <c r="T218" s="1">
        <f>SUM(OSRRefT22_20x_0)</f>
        <v>12010</v>
      </c>
      <c r="U218" s="1"/>
      <c r="V218" s="5">
        <f t="shared" ref="V218:V225" si="105">IF(T$12=0,0,T218/T$12)</f>
        <v>1.5041032541482787E-2</v>
      </c>
      <c r="W218" s="1"/>
      <c r="X218" s="1">
        <f t="shared" ref="X218:X225" si="106">+P218-T218</f>
        <v>-4389.21</v>
      </c>
      <c r="Y218" s="1"/>
      <c r="Z218" s="5">
        <f t="shared" ref="Z218:Z225" si="107">IF(T218=0,0,X218/T218)</f>
        <v>-0.36546294754371356</v>
      </c>
    </row>
    <row r="219" spans="1:26" s="24" customFormat="1" hidden="1" outlineLevel="2" x14ac:dyDescent="0.25">
      <c r="A219" s="29"/>
      <c r="B219" s="11" t="str">
        <f>CONCATENATE("          ", "6234", " - ", "EXPENDABLE SUPPLIES &amp; EQUIPMEN")</f>
        <v xml:space="preserve">          6234 - EXPENDABLE SUPPLIES &amp; EQUIPMEN</v>
      </c>
      <c r="C219" s="11"/>
      <c r="D219" s="7">
        <v>702.08</v>
      </c>
      <c r="E219" s="2"/>
      <c r="F219" s="6">
        <f t="shared" si="100"/>
        <v>9.7203872620671525E-4</v>
      </c>
      <c r="G219" s="2"/>
      <c r="H219" s="7">
        <v>1300</v>
      </c>
      <c r="I219" s="2"/>
      <c r="J219" s="6">
        <f t="shared" si="101"/>
        <v>1.6280884516176204E-3</v>
      </c>
      <c r="K219" s="2"/>
      <c r="L219" s="7">
        <f t="shared" si="102"/>
        <v>-597.91999999999996</v>
      </c>
      <c r="M219" s="2"/>
      <c r="N219" s="6">
        <f t="shared" si="103"/>
        <v>-0.45993846153846152</v>
      </c>
      <c r="O219" s="11"/>
      <c r="P219" s="7">
        <v>702.08</v>
      </c>
      <c r="Q219" s="2"/>
      <c r="R219" s="6">
        <f t="shared" si="104"/>
        <v>9.7203872620671525E-4</v>
      </c>
      <c r="S219" s="2"/>
      <c r="T219" s="7">
        <v>1300</v>
      </c>
      <c r="U219" s="2"/>
      <c r="V219" s="6">
        <f t="shared" si="105"/>
        <v>1.6280884516176204E-3</v>
      </c>
      <c r="W219" s="2"/>
      <c r="X219" s="7">
        <f t="shared" si="106"/>
        <v>-597.91999999999996</v>
      </c>
      <c r="Y219" s="2"/>
      <c r="Z219" s="6">
        <f t="shared" si="107"/>
        <v>-0.45993846153846152</v>
      </c>
    </row>
    <row r="220" spans="1:26" s="24" customFormat="1" hidden="1" outlineLevel="2" x14ac:dyDescent="0.25">
      <c r="A220" s="29"/>
      <c r="B220" s="11" t="str">
        <f>CONCATENATE("          ", "6237", " - ", "JANITORIAL SUPPLIES")</f>
        <v xml:space="preserve">          6237 - JANITORIAL SUPPLIES</v>
      </c>
      <c r="C220" s="11"/>
      <c r="D220" s="7">
        <v>448.83</v>
      </c>
      <c r="E220" s="2"/>
      <c r="F220" s="6">
        <f t="shared" si="100"/>
        <v>6.2141086697151322E-4</v>
      </c>
      <c r="G220" s="2"/>
      <c r="H220" s="7">
        <v>35</v>
      </c>
      <c r="I220" s="2"/>
      <c r="J220" s="6">
        <f t="shared" si="101"/>
        <v>4.3833150620474398E-5</v>
      </c>
      <c r="K220" s="2"/>
      <c r="L220" s="7">
        <f t="shared" si="102"/>
        <v>413.83</v>
      </c>
      <c r="M220" s="2"/>
      <c r="N220" s="6">
        <f t="shared" si="103"/>
        <v>11.823714285714285</v>
      </c>
      <c r="O220" s="11"/>
      <c r="P220" s="7">
        <v>448.83</v>
      </c>
      <c r="Q220" s="2"/>
      <c r="R220" s="6">
        <f t="shared" si="104"/>
        <v>6.2141086697151322E-4</v>
      </c>
      <c r="S220" s="2"/>
      <c r="T220" s="7">
        <v>35</v>
      </c>
      <c r="U220" s="2"/>
      <c r="V220" s="6">
        <f t="shared" si="105"/>
        <v>4.3833150620474398E-5</v>
      </c>
      <c r="W220" s="2"/>
      <c r="X220" s="7">
        <f t="shared" si="106"/>
        <v>413.83</v>
      </c>
      <c r="Y220" s="2"/>
      <c r="Z220" s="6">
        <f t="shared" si="107"/>
        <v>11.823714285714285</v>
      </c>
    </row>
    <row r="221" spans="1:26" s="24" customFormat="1" hidden="1" outlineLevel="2" x14ac:dyDescent="0.25">
      <c r="A221" s="29"/>
      <c r="B221" s="11" t="str">
        <f>CONCATENATE("          ", "6241", " - ", "OFFICE EXPENSE")</f>
        <v xml:space="preserve">          6241 - OFFICE EXPENSE</v>
      </c>
      <c r="C221" s="11"/>
      <c r="D221" s="7">
        <v>2490.4899999999998</v>
      </c>
      <c r="E221" s="2"/>
      <c r="F221" s="6">
        <f t="shared" si="100"/>
        <v>3.4481152108457183E-3</v>
      </c>
      <c r="G221" s="2"/>
      <c r="H221" s="7">
        <v>1500</v>
      </c>
      <c r="I221" s="2"/>
      <c r="J221" s="6">
        <f t="shared" si="101"/>
        <v>1.8785635980203314E-3</v>
      </c>
      <c r="K221" s="2"/>
      <c r="L221" s="7">
        <f t="shared" si="102"/>
        <v>990.48999999999978</v>
      </c>
      <c r="M221" s="2"/>
      <c r="N221" s="6">
        <f t="shared" si="103"/>
        <v>0.66032666666666651</v>
      </c>
      <c r="O221" s="11"/>
      <c r="P221" s="7">
        <v>2490.4899999999998</v>
      </c>
      <c r="Q221" s="2"/>
      <c r="R221" s="6">
        <f t="shared" si="104"/>
        <v>3.4481152108457183E-3</v>
      </c>
      <c r="S221" s="2"/>
      <c r="T221" s="7">
        <v>1500</v>
      </c>
      <c r="U221" s="2"/>
      <c r="V221" s="6">
        <f t="shared" si="105"/>
        <v>1.8785635980203314E-3</v>
      </c>
      <c r="W221" s="2"/>
      <c r="X221" s="7">
        <f t="shared" si="106"/>
        <v>990.48999999999978</v>
      </c>
      <c r="Y221" s="2"/>
      <c r="Z221" s="6">
        <f t="shared" si="107"/>
        <v>0.66032666666666651</v>
      </c>
    </row>
    <row r="222" spans="1:26" s="24" customFormat="1" hidden="1" outlineLevel="2" x14ac:dyDescent="0.25">
      <c r="A222" s="29"/>
      <c r="B222" s="11" t="str">
        <f>CONCATENATE("          ", "6243", " - ", "PAPER SUPPLIES")</f>
        <v xml:space="preserve">          6243 - PAPER SUPPLIES</v>
      </c>
      <c r="C222" s="11"/>
      <c r="D222" s="7">
        <v>1161.3399999999999</v>
      </c>
      <c r="E222" s="2"/>
      <c r="F222" s="6">
        <f t="shared" si="100"/>
        <v>1.607890061378912E-3</v>
      </c>
      <c r="G222" s="2"/>
      <c r="H222" s="7">
        <v>250</v>
      </c>
      <c r="I222" s="2"/>
      <c r="J222" s="6">
        <f t="shared" si="101"/>
        <v>3.1309393300338854E-4</v>
      </c>
      <c r="K222" s="2"/>
      <c r="L222" s="7">
        <f t="shared" si="102"/>
        <v>911.33999999999992</v>
      </c>
      <c r="M222" s="2"/>
      <c r="N222" s="6">
        <f t="shared" si="103"/>
        <v>3.6453599999999997</v>
      </c>
      <c r="O222" s="11"/>
      <c r="P222" s="7">
        <v>1161.3399999999999</v>
      </c>
      <c r="Q222" s="2"/>
      <c r="R222" s="6">
        <f t="shared" si="104"/>
        <v>1.607890061378912E-3</v>
      </c>
      <c r="S222" s="2"/>
      <c r="T222" s="7">
        <v>250</v>
      </c>
      <c r="U222" s="2"/>
      <c r="V222" s="6">
        <f t="shared" si="105"/>
        <v>3.1309393300338854E-4</v>
      </c>
      <c r="W222" s="2"/>
      <c r="X222" s="7">
        <f t="shared" si="106"/>
        <v>911.33999999999992</v>
      </c>
      <c r="Y222" s="2"/>
      <c r="Z222" s="6">
        <f t="shared" si="107"/>
        <v>3.6453599999999997</v>
      </c>
    </row>
    <row r="223" spans="1:26" s="24" customFormat="1" hidden="1" outlineLevel="2" x14ac:dyDescent="0.25">
      <c r="A223" s="29"/>
      <c r="B223" s="11" t="str">
        <f>CONCATENATE("          ", "6245", " - ", "PRINTING")</f>
        <v xml:space="preserve">          6245 - PRINTING</v>
      </c>
      <c r="C223" s="11"/>
      <c r="D223" s="7"/>
      <c r="E223" s="2"/>
      <c r="F223" s="6">
        <f t="shared" si="100"/>
        <v>0</v>
      </c>
      <c r="G223" s="2"/>
      <c r="H223" s="7">
        <v>100</v>
      </c>
      <c r="I223" s="2"/>
      <c r="J223" s="6">
        <f t="shared" si="101"/>
        <v>1.2523757320135543E-4</v>
      </c>
      <c r="K223" s="2"/>
      <c r="L223" s="7">
        <f t="shared" si="102"/>
        <v>-100</v>
      </c>
      <c r="M223" s="2"/>
      <c r="N223" s="6">
        <f t="shared" si="103"/>
        <v>-1</v>
      </c>
      <c r="O223" s="11"/>
      <c r="P223" s="7"/>
      <c r="Q223" s="2"/>
      <c r="R223" s="6">
        <f t="shared" si="104"/>
        <v>0</v>
      </c>
      <c r="S223" s="2"/>
      <c r="T223" s="7">
        <v>100</v>
      </c>
      <c r="U223" s="2"/>
      <c r="V223" s="6">
        <f t="shared" si="105"/>
        <v>1.2523757320135543E-4</v>
      </c>
      <c r="W223" s="2"/>
      <c r="X223" s="7">
        <f t="shared" si="106"/>
        <v>-100</v>
      </c>
      <c r="Y223" s="2"/>
      <c r="Z223" s="6">
        <f t="shared" si="107"/>
        <v>-1</v>
      </c>
    </row>
    <row r="224" spans="1:26" s="24" customFormat="1" hidden="1" outlineLevel="2" x14ac:dyDescent="0.25">
      <c r="A224" s="29"/>
      <c r="B224" s="11" t="str">
        <f>CONCATENATE("          ", "6247", " - ", "STORE SUPPLIES")</f>
        <v xml:space="preserve">          6247 - STORE SUPPLIES</v>
      </c>
      <c r="C224" s="11"/>
      <c r="D224" s="7">
        <v>2818.05</v>
      </c>
      <c r="E224" s="2"/>
      <c r="F224" s="6">
        <f t="shared" si="100"/>
        <v>3.9016262140879015E-3</v>
      </c>
      <c r="G224" s="2"/>
      <c r="H224" s="7">
        <v>7825</v>
      </c>
      <c r="I224" s="2"/>
      <c r="J224" s="6">
        <f t="shared" si="101"/>
        <v>9.7998401030060626E-3</v>
      </c>
      <c r="K224" s="2"/>
      <c r="L224" s="7">
        <f t="shared" si="102"/>
        <v>-5006.95</v>
      </c>
      <c r="M224" s="2"/>
      <c r="N224" s="6">
        <f t="shared" si="103"/>
        <v>-0.63986581469648562</v>
      </c>
      <c r="O224" s="11"/>
      <c r="P224" s="7">
        <v>2818.05</v>
      </c>
      <c r="Q224" s="2"/>
      <c r="R224" s="6">
        <f t="shared" si="104"/>
        <v>3.9016262140879015E-3</v>
      </c>
      <c r="S224" s="2"/>
      <c r="T224" s="7">
        <v>7825</v>
      </c>
      <c r="U224" s="2"/>
      <c r="V224" s="6">
        <f t="shared" si="105"/>
        <v>9.7998401030060626E-3</v>
      </c>
      <c r="W224" s="2"/>
      <c r="X224" s="7">
        <f t="shared" si="106"/>
        <v>-5006.95</v>
      </c>
      <c r="Y224" s="2"/>
      <c r="Z224" s="6">
        <f t="shared" si="107"/>
        <v>-0.63986581469648562</v>
      </c>
    </row>
    <row r="225" spans="1:26" s="24" customFormat="1" hidden="1" outlineLevel="2" x14ac:dyDescent="0.25">
      <c r="A225" s="29"/>
      <c r="B225" s="11" t="str">
        <f>CONCATENATE("          ", "6248", " - ", "UNIFORMS")</f>
        <v xml:space="preserve">          6248 - UNIFORMS</v>
      </c>
      <c r="C225" s="11"/>
      <c r="D225" s="7"/>
      <c r="E225" s="2"/>
      <c r="F225" s="6">
        <f t="shared" si="100"/>
        <v>0</v>
      </c>
      <c r="G225" s="2"/>
      <c r="H225" s="7">
        <v>1000</v>
      </c>
      <c r="I225" s="2"/>
      <c r="J225" s="6">
        <f t="shared" si="101"/>
        <v>1.2523757320135542E-3</v>
      </c>
      <c r="K225" s="2"/>
      <c r="L225" s="7">
        <f t="shared" si="102"/>
        <v>-1000</v>
      </c>
      <c r="M225" s="2"/>
      <c r="N225" s="6">
        <f t="shared" si="103"/>
        <v>-1</v>
      </c>
      <c r="O225" s="11"/>
      <c r="P225" s="7"/>
      <c r="Q225" s="2"/>
      <c r="R225" s="6">
        <f t="shared" si="104"/>
        <v>0</v>
      </c>
      <c r="S225" s="2"/>
      <c r="T225" s="7">
        <v>1000</v>
      </c>
      <c r="U225" s="2"/>
      <c r="V225" s="6">
        <f t="shared" si="105"/>
        <v>1.2523757320135542E-3</v>
      </c>
      <c r="W225" s="2"/>
      <c r="X225" s="7">
        <f t="shared" si="106"/>
        <v>-1000</v>
      </c>
      <c r="Y225" s="2"/>
      <c r="Z225" s="6">
        <f t="shared" si="107"/>
        <v>-1</v>
      </c>
    </row>
    <row r="226" spans="1:26" s="27" customFormat="1" outlineLevel="1" collapsed="1" x14ac:dyDescent="0.25">
      <c r="A226" s="28"/>
      <c r="B226" s="14" t="str">
        <f>CONCATENATE("     ","Telephone/Data Lines                              ")</f>
        <v xml:space="preserve">     Telephone/Data Lines                              </v>
      </c>
      <c r="C226" s="14"/>
      <c r="D226" s="1">
        <f>SUM(OSRRefD22_21x_0)</f>
        <v>1966.32</v>
      </c>
      <c r="E226" s="1"/>
      <c r="F226" s="5">
        <f t="shared" ref="F226:F228" si="108">IF(D$12=0,0,D226/D$12)</f>
        <v>2.7223951517131783E-3</v>
      </c>
      <c r="G226" s="1"/>
      <c r="H226" s="1">
        <f>SUM(OSRRefH22_21x_0)</f>
        <v>2645</v>
      </c>
      <c r="I226" s="1"/>
      <c r="J226" s="5">
        <f t="shared" ref="J226:J228" si="109">IF(H$12=0,0,H226/H$12)</f>
        <v>3.3125338111758512E-3</v>
      </c>
      <c r="K226" s="1"/>
      <c r="L226" s="1">
        <f t="shared" ref="L226:L228" si="110">+D226-H226</f>
        <v>-678.68000000000006</v>
      </c>
      <c r="M226" s="1"/>
      <c r="N226" s="5">
        <f t="shared" ref="N226:N228" si="111">IF(H226=0,0,L226/H226)</f>
        <v>-0.25658979206049154</v>
      </c>
      <c r="O226" s="14"/>
      <c r="P226" s="1">
        <f>SUM(OSRRefP22_21x_0)</f>
        <v>1966.32</v>
      </c>
      <c r="Q226" s="1"/>
      <c r="R226" s="5">
        <f t="shared" ref="R226:R228" si="112">IF(P$12=0,0,P226/P$12)</f>
        <v>2.7223951517131783E-3</v>
      </c>
      <c r="S226" s="1"/>
      <c r="T226" s="1">
        <f>SUM(OSRRefT22_21x_0)</f>
        <v>2645</v>
      </c>
      <c r="U226" s="1"/>
      <c r="V226" s="5">
        <f t="shared" ref="V226:V228" si="113">IF(T$12=0,0,T226/T$12)</f>
        <v>3.3125338111758512E-3</v>
      </c>
      <c r="W226" s="1"/>
      <c r="X226" s="1">
        <f t="shared" ref="X226:X228" si="114">+P226-T226</f>
        <v>-678.68000000000006</v>
      </c>
      <c r="Y226" s="1"/>
      <c r="Z226" s="5">
        <f t="shared" ref="Z226:Z228" si="115">IF(T226=0,0,X226/T226)</f>
        <v>-0.25658979206049154</v>
      </c>
    </row>
    <row r="227" spans="1:26" s="24" customFormat="1" hidden="1" outlineLevel="2" x14ac:dyDescent="0.25">
      <c r="A227" s="29"/>
      <c r="B227" s="11" t="str">
        <f>CONCATENATE("          ", "6303", " - ", "DATA PHONE LINES")</f>
        <v xml:space="preserve">          6303 - DATA PHONE LINES</v>
      </c>
      <c r="C227" s="11"/>
      <c r="D227" s="7">
        <v>295</v>
      </c>
      <c r="E227" s="2"/>
      <c r="F227" s="6">
        <f t="shared" si="108"/>
        <v>4.0843126742106452E-4</v>
      </c>
      <c r="G227" s="2"/>
      <c r="H227" s="7">
        <v>1130</v>
      </c>
      <c r="I227" s="2"/>
      <c r="J227" s="6">
        <f t="shared" si="109"/>
        <v>1.4151845771753163E-3</v>
      </c>
      <c r="K227" s="2"/>
      <c r="L227" s="7">
        <f t="shared" si="110"/>
        <v>-835</v>
      </c>
      <c r="M227" s="2"/>
      <c r="N227" s="6">
        <f t="shared" si="111"/>
        <v>-0.73893805309734517</v>
      </c>
      <c r="O227" s="11"/>
      <c r="P227" s="7">
        <v>295</v>
      </c>
      <c r="Q227" s="2"/>
      <c r="R227" s="6">
        <f t="shared" si="112"/>
        <v>4.0843126742106452E-4</v>
      </c>
      <c r="S227" s="2"/>
      <c r="T227" s="7">
        <v>1130</v>
      </c>
      <c r="U227" s="2"/>
      <c r="V227" s="6">
        <f t="shared" si="113"/>
        <v>1.4151845771753163E-3</v>
      </c>
      <c r="W227" s="2"/>
      <c r="X227" s="7">
        <f t="shared" si="114"/>
        <v>-835</v>
      </c>
      <c r="Y227" s="2"/>
      <c r="Z227" s="6">
        <f t="shared" si="115"/>
        <v>-0.73893805309734517</v>
      </c>
    </row>
    <row r="228" spans="1:26" s="24" customFormat="1" hidden="1" outlineLevel="2" x14ac:dyDescent="0.25">
      <c r="A228" s="29"/>
      <c r="B228" s="11" t="str">
        <f>CONCATENATE("          ", "6309", " - ", "TELEPHONE")</f>
        <v xml:space="preserve">          6309 - TELEPHONE</v>
      </c>
      <c r="C228" s="11"/>
      <c r="D228" s="7">
        <v>1671.32</v>
      </c>
      <c r="E228" s="2"/>
      <c r="F228" s="6">
        <f t="shared" si="108"/>
        <v>2.3139638842921135E-3</v>
      </c>
      <c r="G228" s="2"/>
      <c r="H228" s="7">
        <v>1515</v>
      </c>
      <c r="I228" s="2"/>
      <c r="J228" s="6">
        <f t="shared" si="109"/>
        <v>1.8973492340005347E-3</v>
      </c>
      <c r="K228" s="2"/>
      <c r="L228" s="7">
        <f t="shared" si="110"/>
        <v>156.31999999999994</v>
      </c>
      <c r="M228" s="2"/>
      <c r="N228" s="6">
        <f t="shared" si="111"/>
        <v>0.10318151815181514</v>
      </c>
      <c r="O228" s="11"/>
      <c r="P228" s="7">
        <v>1671.32</v>
      </c>
      <c r="Q228" s="2"/>
      <c r="R228" s="6">
        <f t="shared" si="112"/>
        <v>2.3139638842921135E-3</v>
      </c>
      <c r="S228" s="2"/>
      <c r="T228" s="7">
        <v>1515</v>
      </c>
      <c r="U228" s="2"/>
      <c r="V228" s="6">
        <f t="shared" si="113"/>
        <v>1.8973492340005347E-3</v>
      </c>
      <c r="W228" s="2"/>
      <c r="X228" s="7">
        <f t="shared" si="114"/>
        <v>156.31999999999994</v>
      </c>
      <c r="Y228" s="2"/>
      <c r="Z228" s="6">
        <f t="shared" si="115"/>
        <v>0.10318151815181514</v>
      </c>
    </row>
    <row r="229" spans="1:26" s="27" customFormat="1" outlineLevel="1" collapsed="1" x14ac:dyDescent="0.25">
      <c r="A229" s="28"/>
      <c r="B229" s="14" t="str">
        <f>CONCATENATE("     ","Training                                          ")</f>
        <v xml:space="preserve">     Training                                          </v>
      </c>
      <c r="C229" s="14"/>
      <c r="D229" s="1">
        <f>SUM(OSRRefD22_22x_0)</f>
        <v>791.67</v>
      </c>
      <c r="E229" s="1"/>
      <c r="F229" s="5">
        <f t="shared" ref="F229:F234" si="116">IF(D$12=0,0,D229/D$12)</f>
        <v>1.096077225353336E-3</v>
      </c>
      <c r="G229" s="1"/>
      <c r="H229" s="1">
        <f>SUM(OSRRefH22_22x_0)</f>
        <v>2075</v>
      </c>
      <c r="I229" s="1"/>
      <c r="J229" s="5">
        <f t="shared" ref="J229:J234" si="117">IF(H$12=0,0,H229/H$12)</f>
        <v>2.5986796439281252E-3</v>
      </c>
      <c r="K229" s="1"/>
      <c r="L229" s="1">
        <f t="shared" ref="L229:L234" si="118">+D229-H229</f>
        <v>-1283.33</v>
      </c>
      <c r="M229" s="1"/>
      <c r="N229" s="5">
        <f t="shared" ref="N229:N234" si="119">IF(H229=0,0,L229/H229)</f>
        <v>-0.61847228915662644</v>
      </c>
      <c r="O229" s="14"/>
      <c r="P229" s="1">
        <f>SUM(OSRRefP22_22x_0)</f>
        <v>791.67</v>
      </c>
      <c r="Q229" s="1"/>
      <c r="R229" s="5">
        <f t="shared" ref="R229:R234" si="120">IF(P$12=0,0,P229/P$12)</f>
        <v>1.096077225353336E-3</v>
      </c>
      <c r="S229" s="1"/>
      <c r="T229" s="1">
        <f>SUM(OSRRefT22_22x_0)</f>
        <v>2075</v>
      </c>
      <c r="U229" s="1"/>
      <c r="V229" s="5">
        <f t="shared" ref="V229:V234" si="121">IF(T$12=0,0,T229/T$12)</f>
        <v>2.5986796439281252E-3</v>
      </c>
      <c r="W229" s="1"/>
      <c r="X229" s="1">
        <f t="shared" ref="X229:X234" si="122">+P229-T229</f>
        <v>-1283.33</v>
      </c>
      <c r="Y229" s="1"/>
      <c r="Z229" s="5">
        <f t="shared" ref="Z229:Z234" si="123">IF(T229=0,0,X229/T229)</f>
        <v>-0.61847228915662644</v>
      </c>
    </row>
    <row r="230" spans="1:26" s="24" customFormat="1" hidden="1" outlineLevel="2" x14ac:dyDescent="0.25">
      <c r="A230" s="29"/>
      <c r="B230" s="11" t="str">
        <f>CONCATENATE("          ", "6376", " - ", "TRAINING")</f>
        <v xml:space="preserve">          6376 - TRAINING</v>
      </c>
      <c r="C230" s="11"/>
      <c r="D230" s="7">
        <v>791.67</v>
      </c>
      <c r="E230" s="2"/>
      <c r="F230" s="6">
        <f t="shared" si="116"/>
        <v>1.096077225353336E-3</v>
      </c>
      <c r="G230" s="2"/>
      <c r="H230" s="7">
        <v>2075</v>
      </c>
      <c r="I230" s="2"/>
      <c r="J230" s="6">
        <f t="shared" si="117"/>
        <v>2.5986796439281252E-3</v>
      </c>
      <c r="K230" s="2"/>
      <c r="L230" s="7">
        <f t="shared" si="118"/>
        <v>-1283.33</v>
      </c>
      <c r="M230" s="2"/>
      <c r="N230" s="6">
        <f t="shared" si="119"/>
        <v>-0.61847228915662644</v>
      </c>
      <c r="O230" s="11"/>
      <c r="P230" s="7">
        <v>791.67</v>
      </c>
      <c r="Q230" s="2"/>
      <c r="R230" s="6">
        <f t="shared" si="120"/>
        <v>1.096077225353336E-3</v>
      </c>
      <c r="S230" s="2"/>
      <c r="T230" s="7">
        <v>2075</v>
      </c>
      <c r="U230" s="2"/>
      <c r="V230" s="6">
        <f t="shared" si="121"/>
        <v>2.5986796439281252E-3</v>
      </c>
      <c r="W230" s="2"/>
      <c r="X230" s="7">
        <f t="shared" si="122"/>
        <v>-1283.33</v>
      </c>
      <c r="Y230" s="2"/>
      <c r="Z230" s="6">
        <f t="shared" si="123"/>
        <v>-0.61847228915662644</v>
      </c>
    </row>
    <row r="231" spans="1:26" s="27" customFormat="1" outlineLevel="1" collapsed="1" x14ac:dyDescent="0.25">
      <c r="A231" s="28"/>
      <c r="B231" s="14" t="str">
        <f>CONCATENATE("     ","Travel                                            ")</f>
        <v xml:space="preserve">     Travel                                            </v>
      </c>
      <c r="C231" s="14"/>
      <c r="D231" s="1">
        <f>SUM(OSRRefD22_23x_0)</f>
        <v>221.68</v>
      </c>
      <c r="E231" s="1"/>
      <c r="F231" s="5">
        <f t="shared" si="116"/>
        <v>3.069187910572935E-4</v>
      </c>
      <c r="G231" s="1"/>
      <c r="H231" s="1">
        <f>SUM(OSRRefH22_23x_0)</f>
        <v>560</v>
      </c>
      <c r="I231" s="1"/>
      <c r="J231" s="5">
        <f t="shared" si="117"/>
        <v>7.0133040992759036E-4</v>
      </c>
      <c r="K231" s="1"/>
      <c r="L231" s="1">
        <f t="shared" si="118"/>
        <v>-338.32</v>
      </c>
      <c r="M231" s="1"/>
      <c r="N231" s="5">
        <f t="shared" si="119"/>
        <v>-0.60414285714285709</v>
      </c>
      <c r="O231" s="14"/>
      <c r="P231" s="1">
        <f>SUM(OSRRefP22_23x_0)</f>
        <v>221.68</v>
      </c>
      <c r="Q231" s="1"/>
      <c r="R231" s="5">
        <f t="shared" si="120"/>
        <v>3.069187910572935E-4</v>
      </c>
      <c r="S231" s="1"/>
      <c r="T231" s="1">
        <f>SUM(OSRRefT22_23x_0)</f>
        <v>560</v>
      </c>
      <c r="U231" s="1"/>
      <c r="V231" s="5">
        <f t="shared" si="121"/>
        <v>7.0133040992759036E-4</v>
      </c>
      <c r="W231" s="1"/>
      <c r="X231" s="1">
        <f t="shared" si="122"/>
        <v>-338.32</v>
      </c>
      <c r="Y231" s="1"/>
      <c r="Z231" s="5">
        <f t="shared" si="123"/>
        <v>-0.60414285714285709</v>
      </c>
    </row>
    <row r="232" spans="1:26" s="24" customFormat="1" hidden="1" outlineLevel="2" x14ac:dyDescent="0.25">
      <c r="A232" s="29"/>
      <c r="B232" s="11" t="str">
        <f>CONCATENATE("          ", "6292", " - ", "TRAVEL/CONFERENCE")</f>
        <v xml:space="preserve">          6292 - TRAVEL/CONFERENCE</v>
      </c>
      <c r="C232" s="11"/>
      <c r="D232" s="7">
        <v>150.47999999999999</v>
      </c>
      <c r="E232" s="2"/>
      <c r="F232" s="6">
        <f t="shared" si="116"/>
        <v>2.0834148176787046E-4</v>
      </c>
      <c r="G232" s="2"/>
      <c r="H232" s="7"/>
      <c r="I232" s="2"/>
      <c r="J232" s="6">
        <f t="shared" si="117"/>
        <v>0</v>
      </c>
      <c r="K232" s="2"/>
      <c r="L232" s="7">
        <f t="shared" si="118"/>
        <v>150.47999999999999</v>
      </c>
      <c r="M232" s="2"/>
      <c r="N232" s="6">
        <f t="shared" si="119"/>
        <v>0</v>
      </c>
      <c r="O232" s="11"/>
      <c r="P232" s="7">
        <v>150.47999999999999</v>
      </c>
      <c r="Q232" s="2"/>
      <c r="R232" s="6">
        <f t="shared" si="120"/>
        <v>2.0834148176787046E-4</v>
      </c>
      <c r="S232" s="2"/>
      <c r="T232" s="7"/>
      <c r="U232" s="2"/>
      <c r="V232" s="6">
        <f t="shared" si="121"/>
        <v>0</v>
      </c>
      <c r="W232" s="2"/>
      <c r="X232" s="7">
        <f t="shared" si="122"/>
        <v>150.47999999999999</v>
      </c>
      <c r="Y232" s="2"/>
      <c r="Z232" s="6">
        <f t="shared" si="123"/>
        <v>0</v>
      </c>
    </row>
    <row r="233" spans="1:26" s="24" customFormat="1" hidden="1" outlineLevel="2" x14ac:dyDescent="0.25">
      <c r="A233" s="29"/>
      <c r="B233" s="11" t="str">
        <f>CONCATENATE("          ", "6294", " - ", "TRAVEL OPERATIONAL")</f>
        <v xml:space="preserve">          6294 - TRAVEL OPERATIONAL</v>
      </c>
      <c r="C233" s="11"/>
      <c r="D233" s="7"/>
      <c r="E233" s="2"/>
      <c r="F233" s="6">
        <f t="shared" si="116"/>
        <v>0</v>
      </c>
      <c r="G233" s="2"/>
      <c r="H233" s="7">
        <v>110</v>
      </c>
      <c r="I233" s="2"/>
      <c r="J233" s="6">
        <f t="shared" si="117"/>
        <v>1.3776133052149098E-4</v>
      </c>
      <c r="K233" s="2"/>
      <c r="L233" s="7">
        <f t="shared" si="118"/>
        <v>-110</v>
      </c>
      <c r="M233" s="2"/>
      <c r="N233" s="6">
        <f t="shared" si="119"/>
        <v>-1</v>
      </c>
      <c r="O233" s="11"/>
      <c r="P233" s="7"/>
      <c r="Q233" s="2"/>
      <c r="R233" s="6">
        <f t="shared" si="120"/>
        <v>0</v>
      </c>
      <c r="S233" s="2"/>
      <c r="T233" s="7">
        <v>110</v>
      </c>
      <c r="U233" s="2"/>
      <c r="V233" s="6">
        <f t="shared" si="121"/>
        <v>1.3776133052149098E-4</v>
      </c>
      <c r="W233" s="2"/>
      <c r="X233" s="7">
        <f t="shared" si="122"/>
        <v>-110</v>
      </c>
      <c r="Y233" s="2"/>
      <c r="Z233" s="6">
        <f t="shared" si="123"/>
        <v>-1</v>
      </c>
    </row>
    <row r="234" spans="1:26" s="24" customFormat="1" hidden="1" outlineLevel="2" x14ac:dyDescent="0.25">
      <c r="A234" s="29"/>
      <c r="B234" s="11" t="str">
        <f>CONCATENATE("          ", "6298", " - ", "VEHICLE MILEAGE")</f>
        <v xml:space="preserve">          6298 - VEHICLE MILEAGE</v>
      </c>
      <c r="C234" s="11"/>
      <c r="D234" s="7">
        <v>71.2</v>
      </c>
      <c r="E234" s="2"/>
      <c r="F234" s="6">
        <f t="shared" si="116"/>
        <v>9.857730928942304E-5</v>
      </c>
      <c r="G234" s="2"/>
      <c r="H234" s="7">
        <v>450</v>
      </c>
      <c r="I234" s="2"/>
      <c r="J234" s="6">
        <f t="shared" si="117"/>
        <v>5.6356907940609941E-4</v>
      </c>
      <c r="K234" s="2"/>
      <c r="L234" s="7">
        <f t="shared" si="118"/>
        <v>-378.8</v>
      </c>
      <c r="M234" s="2"/>
      <c r="N234" s="6">
        <f t="shared" si="119"/>
        <v>-0.84177777777777785</v>
      </c>
      <c r="O234" s="11"/>
      <c r="P234" s="7">
        <v>71.2</v>
      </c>
      <c r="Q234" s="2"/>
      <c r="R234" s="6">
        <f t="shared" si="120"/>
        <v>9.857730928942304E-5</v>
      </c>
      <c r="S234" s="2"/>
      <c r="T234" s="7">
        <v>450</v>
      </c>
      <c r="U234" s="2"/>
      <c r="V234" s="6">
        <f t="shared" si="121"/>
        <v>5.6356907940609941E-4</v>
      </c>
      <c r="W234" s="2"/>
      <c r="X234" s="7">
        <f t="shared" si="122"/>
        <v>-378.8</v>
      </c>
      <c r="Y234" s="2"/>
      <c r="Z234" s="6">
        <f t="shared" si="123"/>
        <v>-0.84177777777777785</v>
      </c>
    </row>
    <row r="235" spans="1:26" s="27" customFormat="1" outlineLevel="1" collapsed="1" x14ac:dyDescent="0.25">
      <c r="A235" s="28"/>
      <c r="B235" s="14" t="str">
        <f>CONCATENATE("     ","Utilities                                         ")</f>
        <v xml:space="preserve">     Utilities                                         </v>
      </c>
      <c r="C235" s="14"/>
      <c r="D235" s="1">
        <f>SUM(OSRRefD22_24x_0)</f>
        <v>5636</v>
      </c>
      <c r="E235" s="1"/>
      <c r="F235" s="5">
        <f t="shared" ref="F235:F236" si="124">IF(D$12=0,0,D235/D$12)</f>
        <v>7.8031139768987108E-3</v>
      </c>
      <c r="G235" s="1"/>
      <c r="H235" s="1">
        <f>SUM(OSRRefH22_24x_0)</f>
        <v>5100</v>
      </c>
      <c r="I235" s="1"/>
      <c r="J235" s="5">
        <f t="shared" ref="J235:J236" si="125">IF(H$12=0,0,H235/H$12)</f>
        <v>6.3871162332691271E-3</v>
      </c>
      <c r="K235" s="1"/>
      <c r="L235" s="1">
        <f t="shared" ref="L235:L236" si="126">+D235-H235</f>
        <v>536</v>
      </c>
      <c r="M235" s="1"/>
      <c r="N235" s="5">
        <f t="shared" ref="N235:N236" si="127">IF(H235=0,0,L235/H235)</f>
        <v>0.10509803921568628</v>
      </c>
      <c r="O235" s="14"/>
      <c r="P235" s="1">
        <f>SUM(OSRRefP22_24x_0)</f>
        <v>5636</v>
      </c>
      <c r="Q235" s="1"/>
      <c r="R235" s="5">
        <f t="shared" ref="R235:R236" si="128">IF(P$12=0,0,P235/P$12)</f>
        <v>7.8031139768987108E-3</v>
      </c>
      <c r="S235" s="1"/>
      <c r="T235" s="1">
        <f>SUM(OSRRefT22_24x_0)</f>
        <v>5100</v>
      </c>
      <c r="U235" s="1"/>
      <c r="V235" s="5">
        <f t="shared" ref="V235:V236" si="129">IF(T$12=0,0,T235/T$12)</f>
        <v>6.3871162332691271E-3</v>
      </c>
      <c r="W235" s="1"/>
      <c r="X235" s="1">
        <f t="shared" ref="X235:X236" si="130">+P235-T235</f>
        <v>536</v>
      </c>
      <c r="Y235" s="1"/>
      <c r="Z235" s="5">
        <f t="shared" ref="Z235:Z236" si="131">IF(T235=0,0,X235/T235)</f>
        <v>0.10509803921568628</v>
      </c>
    </row>
    <row r="236" spans="1:26" s="24" customFormat="1" hidden="1" outlineLevel="2" x14ac:dyDescent="0.25">
      <c r="A236" s="29"/>
      <c r="B236" s="11" t="str">
        <f>CONCATENATE("          ", "6274", " - ", "UTILITIES")</f>
        <v xml:space="preserve">          6274 - UTILITIES</v>
      </c>
      <c r="C236" s="11"/>
      <c r="D236" s="7">
        <v>5636</v>
      </c>
      <c r="E236" s="2"/>
      <c r="F236" s="6">
        <f t="shared" si="124"/>
        <v>7.8031139768987108E-3</v>
      </c>
      <c r="G236" s="2"/>
      <c r="H236" s="7">
        <v>5100</v>
      </c>
      <c r="I236" s="2"/>
      <c r="J236" s="6">
        <f t="shared" si="125"/>
        <v>6.3871162332691271E-3</v>
      </c>
      <c r="K236" s="2"/>
      <c r="L236" s="7">
        <f t="shared" si="126"/>
        <v>536</v>
      </c>
      <c r="M236" s="2"/>
      <c r="N236" s="6">
        <f t="shared" si="127"/>
        <v>0.10509803921568628</v>
      </c>
      <c r="O236" s="11"/>
      <c r="P236" s="7">
        <v>5636</v>
      </c>
      <c r="Q236" s="2"/>
      <c r="R236" s="6">
        <f t="shared" si="128"/>
        <v>7.8031139768987108E-3</v>
      </c>
      <c r="S236" s="2"/>
      <c r="T236" s="7">
        <v>5100</v>
      </c>
      <c r="U236" s="2"/>
      <c r="V236" s="6">
        <f t="shared" si="129"/>
        <v>6.3871162332691271E-3</v>
      </c>
      <c r="W236" s="2"/>
      <c r="X236" s="7">
        <f t="shared" si="130"/>
        <v>536</v>
      </c>
      <c r="Y236" s="2"/>
      <c r="Z236" s="6">
        <f t="shared" si="131"/>
        <v>0.10509803921568628</v>
      </c>
    </row>
    <row r="237" spans="1:26" s="57" customFormat="1" x14ac:dyDescent="0.25">
      <c r="A237" s="36"/>
      <c r="B237" s="36"/>
      <c r="C237" s="36"/>
      <c r="D237" s="1"/>
      <c r="E237" s="1"/>
      <c r="F237" s="5"/>
      <c r="G237" s="1"/>
      <c r="H237" s="1"/>
      <c r="I237" s="1"/>
      <c r="J237" s="5"/>
      <c r="K237" s="1"/>
      <c r="L237" s="1"/>
      <c r="M237" s="1"/>
      <c r="N237" s="5"/>
      <c r="O237" s="36"/>
      <c r="P237" s="1"/>
      <c r="Q237" s="1"/>
      <c r="R237" s="5"/>
      <c r="S237" s="1"/>
      <c r="T237" s="1"/>
      <c r="U237" s="1"/>
      <c r="V237" s="5"/>
      <c r="W237" s="1"/>
      <c r="X237" s="1"/>
      <c r="Y237" s="1"/>
      <c r="Z237" s="5"/>
    </row>
    <row r="238" spans="1:26" s="23" customFormat="1" collapsed="1" x14ac:dyDescent="0.25">
      <c r="A238" s="10"/>
      <c r="B238" s="25" t="s">
        <v>0</v>
      </c>
      <c r="C238" s="10"/>
      <c r="D238" s="4">
        <f>SUM(OSRRefD25x_0)</f>
        <v>70884.909999999989</v>
      </c>
      <c r="E238" s="4"/>
      <c r="F238" s="12">
        <f t="shared" ref="F238:F245" si="132">IF(D$12=0,0,D238/D$12)</f>
        <v>9.8141063160434194E-2</v>
      </c>
      <c r="G238" s="4"/>
      <c r="H238" s="4">
        <f>SUM(OSRRefH25x_0)</f>
        <v>61025</v>
      </c>
      <c r="I238" s="4"/>
      <c r="J238" s="12">
        <f t="shared" ref="J238:J245" si="133">IF(H$12=0,0,H238/H$12)</f>
        <v>7.6426229046127142E-2</v>
      </c>
      <c r="K238" s="4"/>
      <c r="L238" s="4">
        <f t="shared" ref="L238:L245" si="134">+D238-H238</f>
        <v>9859.9099999999889</v>
      </c>
      <c r="M238" s="4"/>
      <c r="N238" s="12">
        <f t="shared" ref="N238:N245" si="135">IF(H238=0,0,L238/H238)</f>
        <v>0.16157165096272003</v>
      </c>
      <c r="O238" s="10"/>
      <c r="P238" s="4">
        <f>SUM(OSRRefP25x_0)</f>
        <v>70884.909999999989</v>
      </c>
      <c r="Q238" s="4"/>
      <c r="R238" s="12">
        <f t="shared" ref="R238:R245" si="136">IF(P$12=0,0,P238/P$12)</f>
        <v>9.8141063160434194E-2</v>
      </c>
      <c r="S238" s="4"/>
      <c r="T238" s="4">
        <f>SUM(OSRRefT25x_0)</f>
        <v>61025</v>
      </c>
      <c r="U238" s="4"/>
      <c r="V238" s="12">
        <f t="shared" ref="V238:V245" si="137">IF(T$12=0,0,T238/T$12)</f>
        <v>7.6426229046127142E-2</v>
      </c>
      <c r="W238" s="4"/>
      <c r="X238" s="4">
        <f t="shared" ref="X238:X245" si="138">+P238-T238</f>
        <v>9859.9099999999889</v>
      </c>
      <c r="Y238" s="4"/>
      <c r="Z238" s="12">
        <f t="shared" ref="Z238:Z245" si="139">IF(T238=0,0,X238/T238)</f>
        <v>0.16157165096272003</v>
      </c>
    </row>
    <row r="239" spans="1:26" s="24" customFormat="1" hidden="1" outlineLevel="1" x14ac:dyDescent="0.25">
      <c r="A239" s="51"/>
      <c r="B239" s="11" t="str">
        <f>CONCATENATE("          ", "4098", " - ", "TAXABLE SALES-GRAD RENTALS")</f>
        <v xml:space="preserve">          4098 - TAXABLE SALES-GRAD RENTALS</v>
      </c>
      <c r="C239" s="11"/>
      <c r="D239" s="2">
        <f>--74.7</f>
        <v>74.7</v>
      </c>
      <c r="E239" s="2"/>
      <c r="F239" s="22">
        <f t="shared" si="132"/>
        <v>1.0342310398763906E-4</v>
      </c>
      <c r="G239" s="2"/>
      <c r="H239" s="2"/>
      <c r="I239" s="2"/>
      <c r="J239" s="22">
        <f t="shared" si="133"/>
        <v>0</v>
      </c>
      <c r="K239" s="2"/>
      <c r="L239" s="2">
        <f t="shared" si="134"/>
        <v>74.7</v>
      </c>
      <c r="M239" s="2"/>
      <c r="N239" s="22">
        <f t="shared" si="135"/>
        <v>0</v>
      </c>
      <c r="O239" s="11"/>
      <c r="P239" s="2">
        <f>--74.7</f>
        <v>74.7</v>
      </c>
      <c r="Q239" s="2"/>
      <c r="R239" s="22">
        <f t="shared" si="136"/>
        <v>1.0342310398763906E-4</v>
      </c>
      <c r="S239" s="2"/>
      <c r="T239" s="2"/>
      <c r="U239" s="2"/>
      <c r="V239" s="22">
        <f t="shared" si="137"/>
        <v>0</v>
      </c>
      <c r="W239" s="2"/>
      <c r="X239" s="2">
        <f t="shared" si="138"/>
        <v>74.7</v>
      </c>
      <c r="Y239" s="2"/>
      <c r="Z239" s="22">
        <f t="shared" si="139"/>
        <v>0</v>
      </c>
    </row>
    <row r="240" spans="1:26" s="24" customFormat="1" hidden="1" outlineLevel="1" x14ac:dyDescent="0.25">
      <c r="A240" s="51"/>
      <c r="B240" s="11" t="str">
        <f>CONCATENATE("          ", "4187", " - ", "NON-TAXABLE SALES-COMPUTER REP")</f>
        <v xml:space="preserve">          4187 - NON-TAXABLE SALES-COMPUTER REP</v>
      </c>
      <c r="C240" s="11"/>
      <c r="D240" s="2">
        <f>--781.89</f>
        <v>781.89</v>
      </c>
      <c r="E240" s="2"/>
      <c r="F240" s="22">
        <f t="shared" si="132"/>
        <v>1.0825366904537496E-3</v>
      </c>
      <c r="G240" s="2"/>
      <c r="H240" s="2"/>
      <c r="I240" s="2"/>
      <c r="J240" s="22">
        <f t="shared" si="133"/>
        <v>0</v>
      </c>
      <c r="K240" s="2"/>
      <c r="L240" s="2">
        <f t="shared" si="134"/>
        <v>781.89</v>
      </c>
      <c r="M240" s="2"/>
      <c r="N240" s="22">
        <f t="shared" si="135"/>
        <v>0</v>
      </c>
      <c r="O240" s="11"/>
      <c r="P240" s="2">
        <f>--781.89</f>
        <v>781.89</v>
      </c>
      <c r="Q240" s="2"/>
      <c r="R240" s="22">
        <f t="shared" si="136"/>
        <v>1.0825366904537496E-3</v>
      </c>
      <c r="S240" s="2"/>
      <c r="T240" s="2"/>
      <c r="U240" s="2"/>
      <c r="V240" s="22">
        <f t="shared" si="137"/>
        <v>0</v>
      </c>
      <c r="W240" s="2"/>
      <c r="X240" s="2">
        <f t="shared" si="138"/>
        <v>781.89</v>
      </c>
      <c r="Y240" s="2"/>
      <c r="Z240" s="22">
        <f t="shared" si="139"/>
        <v>0</v>
      </c>
    </row>
    <row r="241" spans="1:26" s="24" customFormat="1" hidden="1" outlineLevel="1" x14ac:dyDescent="0.25">
      <c r="A241" s="51"/>
      <c r="B241" s="11" t="str">
        <f>CONCATENATE("          ", "4198", " - ", "NON-TAXABLE SALES-GRAD RENTALS")</f>
        <v xml:space="preserve">          4198 - NON-TAXABLE SALES-GRAD RENTALS</v>
      </c>
      <c r="C241" s="11"/>
      <c r="D241" s="2">
        <f>--255</f>
        <v>255</v>
      </c>
      <c r="E241" s="2"/>
      <c r="F241" s="22">
        <f t="shared" si="132"/>
        <v>3.5305075658431E-4</v>
      </c>
      <c r="G241" s="2"/>
      <c r="H241" s="2"/>
      <c r="I241" s="2"/>
      <c r="J241" s="22">
        <f t="shared" si="133"/>
        <v>0</v>
      </c>
      <c r="K241" s="2"/>
      <c r="L241" s="2">
        <f t="shared" si="134"/>
        <v>255</v>
      </c>
      <c r="M241" s="2"/>
      <c r="N241" s="22">
        <f t="shared" si="135"/>
        <v>0</v>
      </c>
      <c r="O241" s="11"/>
      <c r="P241" s="2">
        <f>--255</f>
        <v>255</v>
      </c>
      <c r="Q241" s="2"/>
      <c r="R241" s="22">
        <f t="shared" si="136"/>
        <v>3.5305075658431E-4</v>
      </c>
      <c r="S241" s="2"/>
      <c r="T241" s="2"/>
      <c r="U241" s="2"/>
      <c r="V241" s="22">
        <f t="shared" si="137"/>
        <v>0</v>
      </c>
      <c r="W241" s="2"/>
      <c r="X241" s="2">
        <f t="shared" si="138"/>
        <v>255</v>
      </c>
      <c r="Y241" s="2"/>
      <c r="Z241" s="22">
        <f t="shared" si="139"/>
        <v>0</v>
      </c>
    </row>
    <row r="242" spans="1:26" s="24" customFormat="1" hidden="1" outlineLevel="1" x14ac:dyDescent="0.25">
      <c r="A242" s="51"/>
      <c r="B242" s="11" t="str">
        <f>CONCATENATE("          ", "4387", " - ", "SALES RETURN NON TAXABLE-COMPU")</f>
        <v xml:space="preserve">          4387 - SALES RETURN NON TAXABLE-COMPU</v>
      </c>
      <c r="C242" s="11"/>
      <c r="D242" s="2">
        <f>-630.8</f>
        <v>-630.79999999999995</v>
      </c>
      <c r="E242" s="2"/>
      <c r="F242" s="22">
        <f t="shared" si="132"/>
        <v>-8.7335065589561858E-4</v>
      </c>
      <c r="G242" s="2"/>
      <c r="H242" s="2"/>
      <c r="I242" s="2"/>
      <c r="J242" s="22">
        <f t="shared" si="133"/>
        <v>0</v>
      </c>
      <c r="K242" s="2"/>
      <c r="L242" s="2">
        <f t="shared" si="134"/>
        <v>-630.79999999999995</v>
      </c>
      <c r="M242" s="2"/>
      <c r="N242" s="22">
        <f t="shared" si="135"/>
        <v>0</v>
      </c>
      <c r="O242" s="11"/>
      <c r="P242" s="2">
        <f>-630.8</f>
        <v>-630.79999999999995</v>
      </c>
      <c r="Q242" s="2"/>
      <c r="R242" s="22">
        <f t="shared" si="136"/>
        <v>-8.7335065589561858E-4</v>
      </c>
      <c r="S242" s="2"/>
      <c r="T242" s="2"/>
      <c r="U242" s="2"/>
      <c r="V242" s="22">
        <f t="shared" si="137"/>
        <v>0</v>
      </c>
      <c r="W242" s="2"/>
      <c r="X242" s="2">
        <f t="shared" si="138"/>
        <v>-630.79999999999995</v>
      </c>
      <c r="Y242" s="2"/>
      <c r="Z242" s="22">
        <f t="shared" si="139"/>
        <v>0</v>
      </c>
    </row>
    <row r="243" spans="1:26" s="24" customFormat="1" hidden="1" outlineLevel="1" x14ac:dyDescent="0.25">
      <c r="A243" s="51"/>
      <c r="B243" s="11" t="str">
        <f>CONCATENATE("          ", "9150", " - ", "MISC. INCOME")</f>
        <v xml:space="preserve">          9150 - MISC. INCOME</v>
      </c>
      <c r="C243" s="11"/>
      <c r="D243" s="2">
        <f>--70498.61</f>
        <v>70498.61</v>
      </c>
      <c r="E243" s="2"/>
      <c r="F243" s="22">
        <f t="shared" si="132"/>
        <v>9.7606225877028246E-2</v>
      </c>
      <c r="G243" s="2"/>
      <c r="H243" s="2">
        <v>30575</v>
      </c>
      <c r="I243" s="2"/>
      <c r="J243" s="22">
        <f t="shared" si="133"/>
        <v>3.8291388006314424E-2</v>
      </c>
      <c r="K243" s="2"/>
      <c r="L243" s="2">
        <f t="shared" si="134"/>
        <v>39923.61</v>
      </c>
      <c r="M243" s="2"/>
      <c r="N243" s="22">
        <f t="shared" si="135"/>
        <v>1.305759934587081</v>
      </c>
      <c r="O243" s="11"/>
      <c r="P243" s="2">
        <f>--70498.61</f>
        <v>70498.61</v>
      </c>
      <c r="Q243" s="2"/>
      <c r="R243" s="22">
        <f t="shared" si="136"/>
        <v>9.7606225877028246E-2</v>
      </c>
      <c r="S243" s="2"/>
      <c r="T243" s="2">
        <v>30575</v>
      </c>
      <c r="U243" s="2"/>
      <c r="V243" s="22">
        <f t="shared" si="137"/>
        <v>3.8291388006314424E-2</v>
      </c>
      <c r="W243" s="2"/>
      <c r="X243" s="2">
        <f t="shared" si="138"/>
        <v>39923.61</v>
      </c>
      <c r="Y243" s="2"/>
      <c r="Z243" s="22">
        <f t="shared" si="139"/>
        <v>1.305759934587081</v>
      </c>
    </row>
    <row r="244" spans="1:26" s="24" customFormat="1" hidden="1" outlineLevel="1" x14ac:dyDescent="0.25">
      <c r="A244" s="51"/>
      <c r="B244" s="11" t="str">
        <f>CONCATENATE("          ", "9151", " - ", "MISC. INCOME")</f>
        <v xml:space="preserve">          9151 - MISC. INCOME</v>
      </c>
      <c r="C244" s="11"/>
      <c r="D244" s="2">
        <f>-94.49</f>
        <v>-94.49</v>
      </c>
      <c r="E244" s="2"/>
      <c r="F244" s="22">
        <f t="shared" si="132"/>
        <v>-1.3082261172412334E-4</v>
      </c>
      <c r="G244" s="2"/>
      <c r="H244" s="2">
        <v>12850</v>
      </c>
      <c r="I244" s="2"/>
      <c r="J244" s="22">
        <f t="shared" si="133"/>
        <v>1.6093028156374173E-2</v>
      </c>
      <c r="K244" s="2"/>
      <c r="L244" s="2">
        <f t="shared" si="134"/>
        <v>-12944.49</v>
      </c>
      <c r="M244" s="2"/>
      <c r="N244" s="22">
        <f t="shared" si="135"/>
        <v>-1.0073533073929961</v>
      </c>
      <c r="O244" s="11"/>
      <c r="P244" s="2">
        <f>-94.49</f>
        <v>-94.49</v>
      </c>
      <c r="Q244" s="2"/>
      <c r="R244" s="22">
        <f t="shared" si="136"/>
        <v>-1.3082261172412334E-4</v>
      </c>
      <c r="S244" s="2"/>
      <c r="T244" s="2">
        <v>12850</v>
      </c>
      <c r="U244" s="2"/>
      <c r="V244" s="22">
        <f t="shared" si="137"/>
        <v>1.6093028156374173E-2</v>
      </c>
      <c r="W244" s="2"/>
      <c r="X244" s="2">
        <f t="shared" si="138"/>
        <v>-12944.49</v>
      </c>
      <c r="Y244" s="2"/>
      <c r="Z244" s="22">
        <f t="shared" si="139"/>
        <v>-1.0073533073929961</v>
      </c>
    </row>
    <row r="245" spans="1:26" s="24" customFormat="1" hidden="1" outlineLevel="1" x14ac:dyDescent="0.25">
      <c r="A245" s="51"/>
      <c r="B245" s="11" t="str">
        <f>CONCATENATE("          ", "9160", " - ", "MISC. INCOME")</f>
        <v xml:space="preserve">          9160 - MISC. INCOME</v>
      </c>
      <c r="C245" s="11"/>
      <c r="D245" s="2">
        <f>0</f>
        <v>0</v>
      </c>
      <c r="E245" s="2"/>
      <c r="F245" s="22">
        <f t="shared" si="132"/>
        <v>0</v>
      </c>
      <c r="G245" s="2"/>
      <c r="H245" s="2">
        <v>17600</v>
      </c>
      <c r="I245" s="2"/>
      <c r="J245" s="22">
        <f t="shared" si="133"/>
        <v>2.2041812883438556E-2</v>
      </c>
      <c r="K245" s="2"/>
      <c r="L245" s="2">
        <f t="shared" si="134"/>
        <v>-17600</v>
      </c>
      <c r="M245" s="2"/>
      <c r="N245" s="22">
        <f t="shared" si="135"/>
        <v>-1</v>
      </c>
      <c r="O245" s="11"/>
      <c r="P245" s="2">
        <f>0</f>
        <v>0</v>
      </c>
      <c r="Q245" s="2"/>
      <c r="R245" s="22">
        <f t="shared" si="136"/>
        <v>0</v>
      </c>
      <c r="S245" s="2"/>
      <c r="T245" s="2">
        <v>17600</v>
      </c>
      <c r="U245" s="2"/>
      <c r="V245" s="22">
        <f t="shared" si="137"/>
        <v>2.2041812883438556E-2</v>
      </c>
      <c r="W245" s="2"/>
      <c r="X245" s="2">
        <f t="shared" si="138"/>
        <v>-17600</v>
      </c>
      <c r="Y245" s="2"/>
      <c r="Z245" s="22">
        <f t="shared" si="139"/>
        <v>-1</v>
      </c>
    </row>
    <row r="246" spans="1:26" x14ac:dyDescent="0.25">
      <c r="A246" s="9"/>
      <c r="B246" s="10"/>
      <c r="C246" s="10"/>
      <c r="D246" s="3"/>
      <c r="E246" s="3"/>
      <c r="F246" s="8"/>
      <c r="G246" s="3"/>
      <c r="H246" s="3"/>
      <c r="I246" s="3"/>
      <c r="J246" s="8"/>
      <c r="K246" s="3"/>
      <c r="L246" s="3"/>
      <c r="M246" s="3"/>
      <c r="N246" s="8"/>
      <c r="O246" s="10"/>
      <c r="P246" s="3"/>
      <c r="Q246" s="3"/>
      <c r="R246" s="8"/>
      <c r="S246" s="3"/>
      <c r="T246" s="3"/>
      <c r="U246" s="3"/>
      <c r="V246" s="8"/>
      <c r="W246" s="3"/>
      <c r="X246" s="3"/>
      <c r="Y246" s="3"/>
      <c r="Z246" s="8"/>
    </row>
    <row r="247" spans="1:26" s="23" customFormat="1" x14ac:dyDescent="0.25">
      <c r="A247" s="10"/>
      <c r="B247" s="26" t="s">
        <v>3</v>
      </c>
      <c r="C247" s="26"/>
      <c r="D247" s="21">
        <f>+D142-D144+D238</f>
        <v>-123876.17999999957</v>
      </c>
      <c r="E247" s="13"/>
      <c r="F247" s="19">
        <f>IF(D$12=0,0,D247/D$12)</f>
        <v>-0.17150815322264323</v>
      </c>
      <c r="G247" s="13"/>
      <c r="H247" s="21">
        <f>+H142-H144+H238</f>
        <v>-115541.12740513514</v>
      </c>
      <c r="I247" s="13"/>
      <c r="J247" s="19">
        <f>IF(H$12=0,0,H247/H$12)</f>
        <v>-0.14470090401167746</v>
      </c>
      <c r="K247" s="15"/>
      <c r="L247" s="21">
        <f>+D247-H247</f>
        <v>-8335.0525948644354</v>
      </c>
      <c r="M247" s="15"/>
      <c r="N247" s="19">
        <f>IF(H247=0,0,L247/H247)</f>
        <v>7.213927007686434E-2</v>
      </c>
      <c r="O247" s="25"/>
      <c r="P247" s="21">
        <f>+P142-P144+P238</f>
        <v>-123876.17999999957</v>
      </c>
      <c r="Q247" s="13"/>
      <c r="R247" s="19">
        <f>IF(P$12=0,0,P247/P$12)</f>
        <v>-0.17150815322264323</v>
      </c>
      <c r="S247" s="13"/>
      <c r="T247" s="21">
        <f>+T142-T144+T238</f>
        <v>-115541.12740513514</v>
      </c>
      <c r="U247" s="13"/>
      <c r="V247" s="19">
        <f>IF(T$12=0,0,T247/T$12)</f>
        <v>-0.14470090401167746</v>
      </c>
      <c r="W247" s="15"/>
      <c r="X247" s="21">
        <f>+P247-T247</f>
        <v>-8335.0525948644354</v>
      </c>
      <c r="Y247" s="15"/>
      <c r="Z247" s="19">
        <f>IF(T247=0,0,X247/T247)</f>
        <v>7.213927007686434E-2</v>
      </c>
    </row>
    <row r="248" spans="1:26" x14ac:dyDescent="0.25">
      <c r="A248" s="9"/>
      <c r="B248" s="10"/>
      <c r="C248" s="9"/>
      <c r="D248" s="3"/>
      <c r="E248" s="3"/>
      <c r="F248" s="8"/>
      <c r="G248" s="3"/>
      <c r="H248" s="3"/>
      <c r="I248" s="3"/>
      <c r="J248" s="8"/>
      <c r="K248" s="3"/>
      <c r="L248" s="3"/>
      <c r="M248" s="3"/>
      <c r="N248" s="8"/>
      <c r="P248" s="3"/>
      <c r="Q248" s="3"/>
      <c r="R248" s="8"/>
      <c r="S248" s="3"/>
      <c r="T248" s="3"/>
      <c r="U248" s="3"/>
      <c r="V248" s="8"/>
      <c r="W248" s="3"/>
      <c r="X248" s="3"/>
      <c r="Y248" s="3"/>
      <c r="Z248" s="8"/>
    </row>
    <row r="249" spans="1:26" s="23" customFormat="1" x14ac:dyDescent="0.25">
      <c r="A249" s="52"/>
      <c r="B249" s="10" t="s">
        <v>14</v>
      </c>
      <c r="C249" s="10"/>
      <c r="D249" s="4">
        <v>150182.41999999998</v>
      </c>
      <c r="E249" s="4"/>
      <c r="F249" s="12">
        <f>IF(D$12=0,0,D249/D$12)</f>
        <v>0.20792947845750043</v>
      </c>
      <c r="G249" s="4"/>
      <c r="H249" s="4">
        <v>194595</v>
      </c>
      <c r="I249" s="4"/>
      <c r="J249" s="12">
        <f>IF(H$12=0,0,H249/H$12)</f>
        <v>0.24370605557117758</v>
      </c>
      <c r="K249" s="4"/>
      <c r="L249" s="4">
        <f>+D249-H249</f>
        <v>-44412.580000000016</v>
      </c>
      <c r="M249" s="4"/>
      <c r="N249" s="12">
        <f>IF(H249=0,0,L249/H249)</f>
        <v>-0.22823083840797562</v>
      </c>
      <c r="O249" s="10"/>
      <c r="P249" s="4">
        <v>150182.41999999998</v>
      </c>
      <c r="Q249" s="4"/>
      <c r="R249" s="12">
        <f>IF(P$12=0,0,P249/P$12)</f>
        <v>0.20792947845750043</v>
      </c>
      <c r="S249" s="4"/>
      <c r="T249" s="4">
        <v>194595</v>
      </c>
      <c r="U249" s="4"/>
      <c r="V249" s="12">
        <f>IF(T$12=0,0,T249/T$12)</f>
        <v>0.24370605557117758</v>
      </c>
      <c r="W249" s="4"/>
      <c r="X249" s="4">
        <f>+P249-T249</f>
        <v>-44412.580000000016</v>
      </c>
      <c r="Y249" s="4"/>
      <c r="Z249" s="12">
        <f>IF(T249=0,0,X249/T249)</f>
        <v>-0.22823083840797562</v>
      </c>
    </row>
    <row r="250" spans="1:26" x14ac:dyDescent="0.25">
      <c r="A250" s="9"/>
      <c r="B250" s="10"/>
      <c r="C250" s="10"/>
      <c r="D250" s="3"/>
      <c r="E250" s="3"/>
      <c r="F250" s="8"/>
      <c r="G250" s="3"/>
      <c r="H250" s="3"/>
      <c r="I250" s="3"/>
      <c r="J250" s="8"/>
      <c r="K250" s="3"/>
      <c r="L250" s="3"/>
      <c r="M250" s="3"/>
      <c r="N250" s="8"/>
      <c r="O250" s="10"/>
      <c r="P250" s="3"/>
      <c r="Q250" s="3"/>
      <c r="R250" s="8"/>
      <c r="S250" s="3"/>
      <c r="T250" s="3"/>
      <c r="U250" s="3"/>
      <c r="V250" s="8"/>
      <c r="W250" s="3"/>
      <c r="X250" s="3"/>
      <c r="Y250" s="3"/>
      <c r="Z250" s="8"/>
    </row>
    <row r="251" spans="1:26" s="23" customFormat="1" ht="15.75" thickBot="1" x14ac:dyDescent="0.3">
      <c r="A251" s="10"/>
      <c r="B251" s="26" t="s">
        <v>4</v>
      </c>
      <c r="C251" s="26"/>
      <c r="D251" s="32">
        <f>+D247-D249</f>
        <v>-274058.59999999957</v>
      </c>
      <c r="E251" s="13"/>
      <c r="F251" s="31">
        <f>IF(D$12=0,0,D251/D$12)</f>
        <v>-0.37943763168014366</v>
      </c>
      <c r="G251" s="13"/>
      <c r="H251" s="32">
        <f>+H247-H249</f>
        <v>-310136.12740513514</v>
      </c>
      <c r="I251" s="13"/>
      <c r="J251" s="31">
        <f>IF(H$12=0,0,H251/H$12)</f>
        <v>-0.38840695958285504</v>
      </c>
      <c r="K251" s="15"/>
      <c r="L251" s="32">
        <f>D251-H251</f>
        <v>36077.527405135566</v>
      </c>
      <c r="M251" s="15"/>
      <c r="N251" s="31">
        <f>IF(H251=0,0,L251/H251)</f>
        <v>-0.11632803861643307</v>
      </c>
      <c r="O251" s="25"/>
      <c r="P251" s="32">
        <f>+P247-P249</f>
        <v>-274058.59999999957</v>
      </c>
      <c r="Q251" s="13"/>
      <c r="R251" s="31">
        <f>IF(P$12=0,0,P251/P$12)</f>
        <v>-0.37943763168014366</v>
      </c>
      <c r="S251" s="13"/>
      <c r="T251" s="32">
        <f>+T247-T249</f>
        <v>-310136.12740513514</v>
      </c>
      <c r="U251" s="13"/>
      <c r="V251" s="31">
        <f>IF(T$12=0,0,T251/T$12)</f>
        <v>-0.38840695958285504</v>
      </c>
      <c r="W251" s="15"/>
      <c r="X251" s="32">
        <f>P251-T251</f>
        <v>36077.527405135566</v>
      </c>
      <c r="Y251" s="15"/>
      <c r="Z251" s="31">
        <f>IF(T251=0,0,X251/T251)</f>
        <v>-0.11632803861643307</v>
      </c>
    </row>
    <row r="252" spans="1:26" ht="15.75" thickTop="1" x14ac:dyDescent="0.25">
      <c r="A252" s="9"/>
      <c r="B252" s="9"/>
      <c r="C252" s="9"/>
      <c r="D252" s="3"/>
      <c r="E252" s="3"/>
      <c r="F252" s="8"/>
      <c r="G252" s="3"/>
      <c r="H252" s="3"/>
      <c r="I252" s="3"/>
      <c r="J252" s="8"/>
      <c r="K252" s="3"/>
      <c r="L252" s="3"/>
      <c r="M252" s="3"/>
      <c r="N252" s="8"/>
      <c r="P252" s="3"/>
      <c r="Q252" s="3"/>
      <c r="R252" s="8"/>
      <c r="S252" s="3"/>
      <c r="T252" s="3"/>
      <c r="U252" s="3"/>
      <c r="V252" s="8"/>
      <c r="W252" s="3"/>
      <c r="X252" s="3"/>
      <c r="Y252" s="3"/>
      <c r="Z252" s="8"/>
    </row>
    <row r="253" spans="1:26" x14ac:dyDescent="0.25">
      <c r="A253" s="9"/>
      <c r="B253" s="9"/>
      <c r="C253" s="9"/>
      <c r="D253" s="3"/>
      <c r="E253" s="3"/>
      <c r="F253" s="8"/>
      <c r="G253" s="3"/>
      <c r="H253" s="3"/>
      <c r="I253" s="3"/>
      <c r="J253" s="8"/>
      <c r="K253" s="3"/>
      <c r="L253" s="3"/>
      <c r="M253" s="3"/>
      <c r="N253" s="8"/>
      <c r="P253" s="3"/>
      <c r="Q253" s="3"/>
      <c r="R253" s="8"/>
      <c r="S253" s="3"/>
      <c r="T253" s="3"/>
      <c r="U253" s="3"/>
      <c r="V253" s="8"/>
      <c r="W253" s="3"/>
      <c r="X253" s="3"/>
      <c r="Y253" s="3"/>
      <c r="Z253" s="8"/>
    </row>
    <row r="254" spans="1:26" s="23" customFormat="1" ht="15.75" thickBot="1" x14ac:dyDescent="0.3">
      <c r="A254" s="10"/>
      <c r="B254" s="26" t="s">
        <v>5</v>
      </c>
      <c r="C254" s="26"/>
      <c r="D254" s="33">
        <f>SUM(D251:D253)</f>
        <v>-274058.59999999957</v>
      </c>
      <c r="E254" s="13"/>
      <c r="F254" s="34">
        <f>IF(D$12=0,0,D254/D$12)</f>
        <v>-0.37943763168014366</v>
      </c>
      <c r="G254" s="13"/>
      <c r="H254" s="33">
        <f>SUM(H251:H253)</f>
        <v>-310136.12740513514</v>
      </c>
      <c r="I254" s="13"/>
      <c r="J254" s="34">
        <f>IF(H$12=0,0,H254/H$12)</f>
        <v>-0.38840695958285504</v>
      </c>
      <c r="K254" s="15"/>
      <c r="L254" s="33">
        <f>+D254-H254</f>
        <v>36077.527405135566</v>
      </c>
      <c r="M254" s="15"/>
      <c r="N254" s="34">
        <f>IF(H254=0,0,L254/H254)</f>
        <v>-0.11632803861643307</v>
      </c>
      <c r="O254" s="25"/>
      <c r="P254" s="33">
        <f>SUM(P251:P253)</f>
        <v>-274058.59999999957</v>
      </c>
      <c r="Q254" s="13"/>
      <c r="R254" s="34">
        <f>IF(P$12=0,0,P254/P$12)</f>
        <v>-0.37943763168014366</v>
      </c>
      <c r="S254" s="13"/>
      <c r="T254" s="33">
        <f>SUM(T251:T253)</f>
        <v>-310136.12740513514</v>
      </c>
      <c r="U254" s="13"/>
      <c r="V254" s="34">
        <f>IF(T$12=0,0,T254/T$12)</f>
        <v>-0.38840695958285504</v>
      </c>
      <c r="W254" s="15"/>
      <c r="X254" s="33">
        <f>+P254-T254</f>
        <v>36077.527405135566</v>
      </c>
      <c r="Y254" s="15"/>
      <c r="Z254" s="34">
        <f>IF(T254=0,0,X254/T254)</f>
        <v>-0.11632803861643307</v>
      </c>
    </row>
    <row r="255" spans="1:26" ht="15.75" thickTop="1" x14ac:dyDescent="0.25">
      <c r="A255" s="9"/>
      <c r="C255" s="9"/>
      <c r="D255" s="17"/>
      <c r="E255" s="17"/>
      <c r="G255" s="17"/>
      <c r="H255" s="17"/>
      <c r="I255" s="17"/>
      <c r="J255" s="42"/>
      <c r="K255" s="17"/>
      <c r="L255" s="17"/>
      <c r="M255" s="17"/>
      <c r="P255" s="17"/>
      <c r="Q255" s="17"/>
      <c r="R255" s="42"/>
      <c r="S255" s="17"/>
      <c r="T255" s="17"/>
      <c r="U255" s="17"/>
      <c r="V255" s="42"/>
      <c r="W255" s="17"/>
      <c r="X255" s="17"/>
    </row>
    <row r="256" spans="1:26" x14ac:dyDescent="0.25">
      <c r="A256" s="9"/>
      <c r="B256" s="61">
        <v>43726.678167164355</v>
      </c>
      <c r="D256" s="17"/>
      <c r="E256" s="17"/>
      <c r="G256" s="17"/>
      <c r="H256" s="17"/>
      <c r="I256" s="17"/>
      <c r="J256" s="42"/>
      <c r="K256" s="17"/>
      <c r="L256" s="17"/>
      <c r="M256" s="17"/>
      <c r="P256" s="17"/>
      <c r="Q256" s="17"/>
      <c r="R256" s="42"/>
      <c r="S256" s="17"/>
      <c r="T256" s="17"/>
      <c r="U256" s="17"/>
      <c r="V256" s="42"/>
      <c r="W256" s="17"/>
      <c r="X256" s="17"/>
    </row>
    <row r="257" spans="1:24" x14ac:dyDescent="0.25">
      <c r="A257" s="9"/>
      <c r="B257" s="56" t="s">
        <v>314</v>
      </c>
      <c r="D257" s="17"/>
      <c r="E257" s="17"/>
      <c r="G257" s="17"/>
      <c r="H257" s="17"/>
      <c r="I257" s="17"/>
      <c r="J257" s="42"/>
      <c r="K257" s="17"/>
      <c r="L257" s="17"/>
      <c r="M257" s="17"/>
      <c r="P257" s="17"/>
      <c r="Q257" s="17"/>
      <c r="R257" s="42"/>
      <c r="S257" s="17"/>
      <c r="T257" s="17"/>
      <c r="U257" s="17"/>
      <c r="V257" s="42"/>
      <c r="W257" s="17"/>
      <c r="X257" s="17"/>
    </row>
    <row r="258" spans="1:24" x14ac:dyDescent="0.25">
      <c r="A258" s="9"/>
      <c r="B258" s="53"/>
      <c r="D258" s="17"/>
      <c r="E258" s="17"/>
      <c r="G258" s="17"/>
      <c r="H258" s="17"/>
      <c r="I258" s="17"/>
      <c r="J258" s="42"/>
      <c r="K258" s="17"/>
      <c r="L258" s="17"/>
      <c r="M258" s="17"/>
      <c r="P258" s="17"/>
      <c r="Q258" s="17"/>
      <c r="R258" s="42"/>
      <c r="S258" s="17"/>
      <c r="T258" s="17"/>
      <c r="U258" s="17"/>
      <c r="V258" s="42"/>
      <c r="W258" s="17"/>
      <c r="X258" s="17"/>
    </row>
    <row r="259" spans="1:24" x14ac:dyDescent="0.25">
      <c r="D259" s="17"/>
      <c r="E259" s="17"/>
      <c r="G259" s="17"/>
      <c r="H259" s="17"/>
      <c r="I259" s="17"/>
      <c r="J259" s="42"/>
      <c r="K259" s="17"/>
      <c r="L259" s="17"/>
      <c r="M259" s="17"/>
      <c r="P259" s="17"/>
      <c r="Q259" s="17"/>
      <c r="R259" s="42"/>
      <c r="S259" s="17"/>
      <c r="T259" s="17"/>
      <c r="U259" s="17"/>
      <c r="V259" s="42"/>
      <c r="W259" s="17"/>
      <c r="X259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","301", " - ", "Bookstore")</f>
        <v>Department 301 - Bookstore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124443.05999999997</v>
      </c>
      <c r="E18" s="20"/>
      <c r="F18" s="30">
        <f t="shared" ref="F18:F28" si="0">IF(D$12=0,0,D18/D$12)</f>
        <v>0</v>
      </c>
      <c r="G18" s="20"/>
      <c r="H18" s="20">
        <f>SUM(OSRRefH22x_0)</f>
        <v>170319.30295545867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-45876.2429554587</v>
      </c>
      <c r="M18" s="4"/>
      <c r="N18" s="30">
        <f t="shared" ref="N18:N28" si="3">IF(H18=0,0,L18/H18)</f>
        <v>-0.26935433717372659</v>
      </c>
      <c r="O18" s="10"/>
      <c r="P18" s="20">
        <f>SUM(OSRRefP22x_0)</f>
        <v>124443.05999999997</v>
      </c>
      <c r="Q18" s="20"/>
      <c r="R18" s="30">
        <f t="shared" ref="R18:R28" si="4">IF(P$12=0,0,P18/P$12)</f>
        <v>0</v>
      </c>
      <c r="S18" s="20"/>
      <c r="T18" s="20">
        <f>SUM(OSRRefT22x_0)</f>
        <v>170319.30295545867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-45876.2429554587</v>
      </c>
      <c r="Y18" s="4"/>
      <c r="Z18" s="30">
        <f t="shared" ref="Z18:Z28" si="7">IF(T18=0,0,X18/T18)</f>
        <v>-0.26935433717372659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14335.359999999997</v>
      </c>
      <c r="E19" s="1"/>
      <c r="F19" s="5">
        <f t="shared" si="0"/>
        <v>0</v>
      </c>
      <c r="G19" s="1"/>
      <c r="H19" s="1">
        <f>SUM(OSRRefH22_0x_0)</f>
        <v>16106.587918920181</v>
      </c>
      <c r="I19" s="1"/>
      <c r="J19" s="5">
        <f t="shared" si="1"/>
        <v>0</v>
      </c>
      <c r="K19" s="1"/>
      <c r="L19" s="1">
        <f t="shared" si="2"/>
        <v>-1771.2279189201836</v>
      </c>
      <c r="M19" s="1"/>
      <c r="N19" s="5">
        <f t="shared" si="3"/>
        <v>-0.10996915844848475</v>
      </c>
      <c r="O19" s="14"/>
      <c r="P19" s="1">
        <f>SUM(OSRRefP22_0x_0)</f>
        <v>14335.359999999997</v>
      </c>
      <c r="Q19" s="1"/>
      <c r="R19" s="5">
        <f t="shared" si="4"/>
        <v>0</v>
      </c>
      <c r="S19" s="1"/>
      <c r="T19" s="1">
        <f>SUM(OSRRefT22_0x_0)</f>
        <v>16106.587918920181</v>
      </c>
      <c r="U19" s="1"/>
      <c r="V19" s="5">
        <f t="shared" si="5"/>
        <v>0</v>
      </c>
      <c r="W19" s="1"/>
      <c r="X19" s="1">
        <f t="shared" si="6"/>
        <v>-1771.2279189201836</v>
      </c>
      <c r="Y19" s="1"/>
      <c r="Z19" s="5">
        <f t="shared" si="7"/>
        <v>-0.10996915844848475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2562.7399999999998</v>
      </c>
      <c r="E20" s="2"/>
      <c r="F20" s="6">
        <f t="shared" si="0"/>
        <v>0</v>
      </c>
      <c r="G20" s="2"/>
      <c r="H20" s="7">
        <v>3811.1037019586502</v>
      </c>
      <c r="I20" s="2"/>
      <c r="J20" s="6">
        <f t="shared" si="1"/>
        <v>0</v>
      </c>
      <c r="K20" s="2"/>
      <c r="L20" s="7">
        <f t="shared" si="2"/>
        <v>-1248.3637019586504</v>
      </c>
      <c r="M20" s="2"/>
      <c r="N20" s="6">
        <f t="shared" si="3"/>
        <v>-0.3275596256583298</v>
      </c>
      <c r="O20" s="11"/>
      <c r="P20" s="7">
        <v>2562.7399999999998</v>
      </c>
      <c r="Q20" s="2"/>
      <c r="R20" s="6">
        <f t="shared" si="4"/>
        <v>0</v>
      </c>
      <c r="S20" s="2"/>
      <c r="T20" s="7">
        <v>3811.1037019586502</v>
      </c>
      <c r="U20" s="2"/>
      <c r="V20" s="6">
        <f t="shared" si="5"/>
        <v>0</v>
      </c>
      <c r="W20" s="2"/>
      <c r="X20" s="7">
        <f t="shared" si="6"/>
        <v>-1248.3637019586504</v>
      </c>
      <c r="Y20" s="2"/>
      <c r="Z20" s="6">
        <f t="shared" si="7"/>
        <v>-0.3275596256583298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346.87</v>
      </c>
      <c r="E21" s="2"/>
      <c r="F21" s="6">
        <f t="shared" si="0"/>
        <v>0</v>
      </c>
      <c r="G21" s="2"/>
      <c r="H21" s="7">
        <v>946.17758182692296</v>
      </c>
      <c r="I21" s="2"/>
      <c r="J21" s="6">
        <f t="shared" si="1"/>
        <v>0</v>
      </c>
      <c r="K21" s="2"/>
      <c r="L21" s="7">
        <f t="shared" si="2"/>
        <v>-599.30758182692296</v>
      </c>
      <c r="M21" s="2"/>
      <c r="N21" s="6">
        <f t="shared" si="3"/>
        <v>-0.63339862763367571</v>
      </c>
      <c r="O21" s="11"/>
      <c r="P21" s="7">
        <v>346.87</v>
      </c>
      <c r="Q21" s="2"/>
      <c r="R21" s="6">
        <f t="shared" si="4"/>
        <v>0</v>
      </c>
      <c r="S21" s="2"/>
      <c r="T21" s="7">
        <v>946.17758182692296</v>
      </c>
      <c r="U21" s="2"/>
      <c r="V21" s="6">
        <f t="shared" si="5"/>
        <v>0</v>
      </c>
      <c r="W21" s="2"/>
      <c r="X21" s="7">
        <f t="shared" si="6"/>
        <v>-599.30758182692296</v>
      </c>
      <c r="Y21" s="2"/>
      <c r="Z21" s="6">
        <f t="shared" si="7"/>
        <v>-0.63339862763367571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5472.97</v>
      </c>
      <c r="E22" s="2"/>
      <c r="F22" s="6">
        <f t="shared" si="0"/>
        <v>0</v>
      </c>
      <c r="G22" s="2"/>
      <c r="H22" s="7">
        <v>5680.25</v>
      </c>
      <c r="I22" s="2"/>
      <c r="J22" s="6">
        <f t="shared" si="1"/>
        <v>0</v>
      </c>
      <c r="K22" s="2"/>
      <c r="L22" s="7">
        <f t="shared" si="2"/>
        <v>-207.27999999999975</v>
      </c>
      <c r="M22" s="2"/>
      <c r="N22" s="6">
        <f t="shared" si="3"/>
        <v>-3.6491351613045155E-2</v>
      </c>
      <c r="O22" s="11"/>
      <c r="P22" s="7">
        <v>5472.97</v>
      </c>
      <c r="Q22" s="2"/>
      <c r="R22" s="6">
        <f t="shared" si="4"/>
        <v>0</v>
      </c>
      <c r="S22" s="2"/>
      <c r="T22" s="7">
        <v>5680.25</v>
      </c>
      <c r="U22" s="2"/>
      <c r="V22" s="6">
        <f t="shared" si="5"/>
        <v>0</v>
      </c>
      <c r="W22" s="2"/>
      <c r="X22" s="7">
        <f t="shared" si="6"/>
        <v>-207.27999999999975</v>
      </c>
      <c r="Y22" s="2"/>
      <c r="Z22" s="6">
        <f t="shared" si="7"/>
        <v>-3.6491351613045155E-2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87.63</v>
      </c>
      <c r="E23" s="2"/>
      <c r="F23" s="6">
        <f t="shared" si="0"/>
        <v>0</v>
      </c>
      <c r="G23" s="2"/>
      <c r="H23" s="7">
        <v>129.47693225</v>
      </c>
      <c r="I23" s="2"/>
      <c r="J23" s="6">
        <f t="shared" si="1"/>
        <v>0</v>
      </c>
      <c r="K23" s="2"/>
      <c r="L23" s="7">
        <f t="shared" si="2"/>
        <v>-41.846932250000009</v>
      </c>
      <c r="M23" s="2"/>
      <c r="N23" s="6">
        <f t="shared" si="3"/>
        <v>-0.32319990536383758</v>
      </c>
      <c r="O23" s="11"/>
      <c r="P23" s="7">
        <v>87.63</v>
      </c>
      <c r="Q23" s="2"/>
      <c r="R23" s="6">
        <f t="shared" si="4"/>
        <v>0</v>
      </c>
      <c r="S23" s="2"/>
      <c r="T23" s="7">
        <v>129.47693225</v>
      </c>
      <c r="U23" s="2"/>
      <c r="V23" s="6">
        <f t="shared" si="5"/>
        <v>0</v>
      </c>
      <c r="W23" s="2"/>
      <c r="X23" s="7">
        <f t="shared" si="6"/>
        <v>-41.846932250000009</v>
      </c>
      <c r="Y23" s="2"/>
      <c r="Z23" s="6">
        <f t="shared" si="7"/>
        <v>-0.32319990536383758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1730.14</v>
      </c>
      <c r="E24" s="2"/>
      <c r="F24" s="6">
        <f t="shared" si="0"/>
        <v>0</v>
      </c>
      <c r="G24" s="2"/>
      <c r="H24" s="7">
        <v>2202.7554182692297</v>
      </c>
      <c r="I24" s="2"/>
      <c r="J24" s="6">
        <f t="shared" si="1"/>
        <v>0</v>
      </c>
      <c r="K24" s="2"/>
      <c r="L24" s="7">
        <f t="shared" si="2"/>
        <v>-472.61541826922962</v>
      </c>
      <c r="M24" s="2"/>
      <c r="N24" s="6">
        <f t="shared" si="3"/>
        <v>-0.21455646611941037</v>
      </c>
      <c r="O24" s="11"/>
      <c r="P24" s="7">
        <v>1730.14</v>
      </c>
      <c r="Q24" s="2"/>
      <c r="R24" s="6">
        <f t="shared" si="4"/>
        <v>0</v>
      </c>
      <c r="S24" s="2"/>
      <c r="T24" s="7">
        <v>2202.7554182692297</v>
      </c>
      <c r="U24" s="2"/>
      <c r="V24" s="6">
        <f t="shared" si="5"/>
        <v>0</v>
      </c>
      <c r="W24" s="2"/>
      <c r="X24" s="7">
        <f t="shared" si="6"/>
        <v>-472.61541826922962</v>
      </c>
      <c r="Y24" s="2"/>
      <c r="Z24" s="6">
        <f t="shared" si="7"/>
        <v>-0.21455646611941037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2207.2199999999998</v>
      </c>
      <c r="E26" s="2"/>
      <c r="F26" s="6">
        <f t="shared" si="0"/>
        <v>0</v>
      </c>
      <c r="G26" s="2"/>
      <c r="H26" s="7">
        <v>1548.60050480769</v>
      </c>
      <c r="I26" s="2"/>
      <c r="J26" s="6">
        <f t="shared" si="1"/>
        <v>0</v>
      </c>
      <c r="K26" s="2"/>
      <c r="L26" s="7">
        <f t="shared" si="2"/>
        <v>658.61949519230984</v>
      </c>
      <c r="M26" s="2"/>
      <c r="N26" s="6">
        <f t="shared" si="3"/>
        <v>0.42529980659802202</v>
      </c>
      <c r="O26" s="11"/>
      <c r="P26" s="7">
        <v>2207.2199999999998</v>
      </c>
      <c r="Q26" s="2"/>
      <c r="R26" s="6">
        <f t="shared" si="4"/>
        <v>0</v>
      </c>
      <c r="S26" s="2"/>
      <c r="T26" s="7">
        <v>1548.60050480769</v>
      </c>
      <c r="U26" s="2"/>
      <c r="V26" s="6">
        <f t="shared" si="5"/>
        <v>0</v>
      </c>
      <c r="W26" s="2"/>
      <c r="X26" s="7">
        <f t="shared" si="6"/>
        <v>658.61949519230984</v>
      </c>
      <c r="Y26" s="2"/>
      <c r="Z26" s="6">
        <f t="shared" si="7"/>
        <v>0.42529980659802202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1546.58</v>
      </c>
      <c r="E27" s="2"/>
      <c r="F27" s="6">
        <f t="shared" si="0"/>
        <v>0</v>
      </c>
      <c r="G27" s="2"/>
      <c r="H27" s="7">
        <v>1288.2237798076899</v>
      </c>
      <c r="I27" s="2"/>
      <c r="J27" s="6">
        <f t="shared" si="1"/>
        <v>0</v>
      </c>
      <c r="K27" s="2"/>
      <c r="L27" s="7">
        <f t="shared" si="2"/>
        <v>258.35622019231005</v>
      </c>
      <c r="M27" s="2"/>
      <c r="N27" s="6">
        <f t="shared" si="3"/>
        <v>0.20055228310633907</v>
      </c>
      <c r="O27" s="11"/>
      <c r="P27" s="7">
        <v>1546.58</v>
      </c>
      <c r="Q27" s="2"/>
      <c r="R27" s="6">
        <f t="shared" si="4"/>
        <v>0</v>
      </c>
      <c r="S27" s="2"/>
      <c r="T27" s="7">
        <v>1288.2237798076899</v>
      </c>
      <c r="U27" s="2"/>
      <c r="V27" s="6">
        <f t="shared" si="5"/>
        <v>0</v>
      </c>
      <c r="W27" s="2"/>
      <c r="X27" s="7">
        <f t="shared" si="6"/>
        <v>258.35622019231005</v>
      </c>
      <c r="Y27" s="2"/>
      <c r="Z27" s="6">
        <f t="shared" si="7"/>
        <v>0.20055228310633907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381.21</v>
      </c>
      <c r="E28" s="2"/>
      <c r="F28" s="6">
        <f t="shared" si="0"/>
        <v>0</v>
      </c>
      <c r="G28" s="2"/>
      <c r="H28" s="7">
        <v>500</v>
      </c>
      <c r="I28" s="2"/>
      <c r="J28" s="6">
        <f t="shared" si="1"/>
        <v>0</v>
      </c>
      <c r="K28" s="2"/>
      <c r="L28" s="7">
        <f t="shared" si="2"/>
        <v>-118.79000000000002</v>
      </c>
      <c r="M28" s="2"/>
      <c r="N28" s="6">
        <f t="shared" si="3"/>
        <v>-0.23758000000000004</v>
      </c>
      <c r="O28" s="11"/>
      <c r="P28" s="7">
        <v>381.21</v>
      </c>
      <c r="Q28" s="2"/>
      <c r="R28" s="6">
        <f t="shared" si="4"/>
        <v>0</v>
      </c>
      <c r="S28" s="2"/>
      <c r="T28" s="7">
        <v>500</v>
      </c>
      <c r="U28" s="2"/>
      <c r="V28" s="6">
        <f t="shared" si="5"/>
        <v>0</v>
      </c>
      <c r="W28" s="2"/>
      <c r="X28" s="7">
        <f t="shared" si="6"/>
        <v>-118.79000000000002</v>
      </c>
      <c r="Y28" s="2"/>
      <c r="Z28" s="6">
        <f t="shared" si="7"/>
        <v>-0.23758000000000004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37776.719999999994</v>
      </c>
      <c r="E29" s="1"/>
      <c r="F29" s="5">
        <f t="shared" ref="F29:F39" si="8">IF(D$12=0,0,D29/D$12)</f>
        <v>0</v>
      </c>
      <c r="G29" s="1"/>
      <c r="H29" s="1">
        <f>SUM(OSRRefH22_1x_0)</f>
        <v>47035.715036538502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-9258.9950365385084</v>
      </c>
      <c r="M29" s="1"/>
      <c r="N29" s="5">
        <f t="shared" ref="N29:N39" si="11">IF(H29=0,0,L29/H29)</f>
        <v>-0.19685030894812364</v>
      </c>
      <c r="O29" s="14"/>
      <c r="P29" s="1">
        <f>SUM(OSRRefP22_1x_0)</f>
        <v>37776.719999999994</v>
      </c>
      <c r="Q29" s="1"/>
      <c r="R29" s="5">
        <f t="shared" ref="R29:R39" si="12">IF(P$12=0,0,P29/P$12)</f>
        <v>0</v>
      </c>
      <c r="S29" s="1"/>
      <c r="T29" s="1">
        <f>SUM(OSRRefT22_1x_0)</f>
        <v>47035.715036538502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-9258.9950365385084</v>
      </c>
      <c r="Y29" s="1"/>
      <c r="Z29" s="5">
        <f t="shared" ref="Z29:Z39" si="15">IF(T29=0,0,X29/T29)</f>
        <v>-0.19685030894812364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12860.28</v>
      </c>
      <c r="E30" s="2"/>
      <c r="F30" s="6">
        <f t="shared" si="8"/>
        <v>0</v>
      </c>
      <c r="G30" s="2"/>
      <c r="H30" s="7">
        <v>12056.793749999999</v>
      </c>
      <c r="I30" s="2"/>
      <c r="J30" s="6">
        <f t="shared" si="9"/>
        <v>0</v>
      </c>
      <c r="K30" s="2"/>
      <c r="L30" s="7">
        <f t="shared" si="10"/>
        <v>803.48625000000175</v>
      </c>
      <c r="M30" s="2"/>
      <c r="N30" s="6">
        <f t="shared" si="11"/>
        <v>6.66417844296293E-2</v>
      </c>
      <c r="O30" s="11"/>
      <c r="P30" s="7">
        <v>12860.28</v>
      </c>
      <c r="Q30" s="2"/>
      <c r="R30" s="6">
        <f t="shared" si="12"/>
        <v>0</v>
      </c>
      <c r="S30" s="2"/>
      <c r="T30" s="7">
        <v>12056.793749999999</v>
      </c>
      <c r="U30" s="2"/>
      <c r="V30" s="6">
        <f t="shared" si="13"/>
        <v>0</v>
      </c>
      <c r="W30" s="2"/>
      <c r="X30" s="7">
        <f t="shared" si="14"/>
        <v>803.48625000000175</v>
      </c>
      <c r="Y30" s="2"/>
      <c r="Z30" s="6">
        <f t="shared" si="15"/>
        <v>6.66417844296293E-2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6389.75</v>
      </c>
      <c r="E31" s="2"/>
      <c r="F31" s="6">
        <f t="shared" si="8"/>
        <v>0</v>
      </c>
      <c r="G31" s="2"/>
      <c r="H31" s="7">
        <v>10995.297836538501</v>
      </c>
      <c r="I31" s="2"/>
      <c r="J31" s="6">
        <f t="shared" si="9"/>
        <v>0</v>
      </c>
      <c r="K31" s="2"/>
      <c r="L31" s="7">
        <f t="shared" si="10"/>
        <v>-4605.5478365385006</v>
      </c>
      <c r="M31" s="2"/>
      <c r="N31" s="6">
        <f t="shared" si="11"/>
        <v>-0.41886521902424451</v>
      </c>
      <c r="O31" s="11"/>
      <c r="P31" s="7">
        <v>6389.75</v>
      </c>
      <c r="Q31" s="2"/>
      <c r="R31" s="6">
        <f t="shared" si="12"/>
        <v>0</v>
      </c>
      <c r="S31" s="2"/>
      <c r="T31" s="7">
        <v>10995.297836538501</v>
      </c>
      <c r="U31" s="2"/>
      <c r="V31" s="6">
        <f t="shared" si="13"/>
        <v>0</v>
      </c>
      <c r="W31" s="2"/>
      <c r="X31" s="7">
        <f t="shared" si="14"/>
        <v>-4605.5478365385006</v>
      </c>
      <c r="Y31" s="2"/>
      <c r="Z31" s="6">
        <f t="shared" si="15"/>
        <v>-0.41886521902424451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6523.62345</v>
      </c>
      <c r="I33" s="2"/>
      <c r="J33" s="6">
        <f t="shared" si="9"/>
        <v>0</v>
      </c>
      <c r="K33" s="2"/>
      <c r="L33" s="7">
        <f t="shared" si="10"/>
        <v>-6523.62345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6523.62345</v>
      </c>
      <c r="U33" s="2"/>
      <c r="V33" s="6">
        <f t="shared" si="13"/>
        <v>0</v>
      </c>
      <c r="W33" s="2"/>
      <c r="X33" s="7">
        <f t="shared" si="14"/>
        <v>-6523.62345</v>
      </c>
      <c r="Y33" s="2"/>
      <c r="Z33" s="6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8269.24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8269.24</v>
      </c>
      <c r="M34" s="2"/>
      <c r="N34" s="6">
        <f t="shared" si="11"/>
        <v>0</v>
      </c>
      <c r="O34" s="11"/>
      <c r="P34" s="7">
        <v>8269.24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8269.24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>
        <v>1380.94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1380.94</v>
      </c>
      <c r="M35" s="2"/>
      <c r="N35" s="6">
        <f t="shared" si="11"/>
        <v>0</v>
      </c>
      <c r="O35" s="11"/>
      <c r="P35" s="7">
        <v>1380.94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1380.94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8876.51</v>
      </c>
      <c r="E36" s="2"/>
      <c r="F36" s="6">
        <f t="shared" si="8"/>
        <v>0</v>
      </c>
      <c r="G36" s="2"/>
      <c r="H36" s="7">
        <v>17460</v>
      </c>
      <c r="I36" s="2"/>
      <c r="J36" s="6">
        <f t="shared" si="9"/>
        <v>0</v>
      </c>
      <c r="K36" s="2"/>
      <c r="L36" s="7">
        <f t="shared" si="10"/>
        <v>-8583.49</v>
      </c>
      <c r="M36" s="2"/>
      <c r="N36" s="6">
        <f t="shared" si="11"/>
        <v>-0.49160882016036656</v>
      </c>
      <c r="O36" s="11"/>
      <c r="P36" s="7">
        <v>8876.51</v>
      </c>
      <c r="Q36" s="2"/>
      <c r="R36" s="6">
        <f t="shared" si="12"/>
        <v>0</v>
      </c>
      <c r="S36" s="2"/>
      <c r="T36" s="7">
        <v>17460</v>
      </c>
      <c r="U36" s="2"/>
      <c r="V36" s="6">
        <f t="shared" si="13"/>
        <v>0</v>
      </c>
      <c r="W36" s="2"/>
      <c r="X36" s="7">
        <f t="shared" si="14"/>
        <v>-8583.49</v>
      </c>
      <c r="Y36" s="2"/>
      <c r="Z36" s="6">
        <f t="shared" si="15"/>
        <v>-0.49160882016036656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111.3</v>
      </c>
      <c r="E40" s="1"/>
      <c r="F40" s="5">
        <f t="shared" ref="F40:F49" si="16">IF(D$12=0,0,D40/D$12)</f>
        <v>0</v>
      </c>
      <c r="G40" s="1"/>
      <c r="H40" s="1">
        <f>SUM(OSRRefH22_2x_0)</f>
        <v>3200</v>
      </c>
      <c r="I40" s="1"/>
      <c r="J40" s="5">
        <f t="shared" ref="J40:J49" si="17">IF(H$12=0,0,H40/H$12)</f>
        <v>0</v>
      </c>
      <c r="K40" s="1"/>
      <c r="L40" s="1">
        <f t="shared" ref="L40:L49" si="18">+D40-H40</f>
        <v>-3088.7</v>
      </c>
      <c r="M40" s="1"/>
      <c r="N40" s="5">
        <f t="shared" ref="N40:N49" si="19">IF(H40=0,0,L40/H40)</f>
        <v>-0.9652187499999999</v>
      </c>
      <c r="O40" s="14"/>
      <c r="P40" s="1">
        <f>SUM(OSRRefP22_2x_0)</f>
        <v>111.3</v>
      </c>
      <c r="Q40" s="1"/>
      <c r="R40" s="5">
        <f t="shared" ref="R40:R49" si="20">IF(P$12=0,0,P40/P$12)</f>
        <v>0</v>
      </c>
      <c r="S40" s="1"/>
      <c r="T40" s="1">
        <f>SUM(OSRRefT22_2x_0)</f>
        <v>3200</v>
      </c>
      <c r="U40" s="1"/>
      <c r="V40" s="5">
        <f t="shared" ref="V40:V49" si="21">IF(T$12=0,0,T40/T$12)</f>
        <v>0</v>
      </c>
      <c r="W40" s="1"/>
      <c r="X40" s="1">
        <f t="shared" ref="X40:X49" si="22">+P40-T40</f>
        <v>-3088.7</v>
      </c>
      <c r="Y40" s="1"/>
      <c r="Z40" s="5">
        <f t="shared" ref="Z40:Z49" si="23">IF(T40=0,0,X40/T40)</f>
        <v>-0.9652187499999999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>
        <v>111.3</v>
      </c>
      <c r="E41" s="2"/>
      <c r="F41" s="6">
        <f t="shared" si="16"/>
        <v>0</v>
      </c>
      <c r="G41" s="2"/>
      <c r="H41" s="7">
        <v>3200</v>
      </c>
      <c r="I41" s="2"/>
      <c r="J41" s="6">
        <f t="shared" si="17"/>
        <v>0</v>
      </c>
      <c r="K41" s="2"/>
      <c r="L41" s="7">
        <f t="shared" si="18"/>
        <v>-3088.7</v>
      </c>
      <c r="M41" s="2"/>
      <c r="N41" s="6">
        <f t="shared" si="19"/>
        <v>-0.9652187499999999</v>
      </c>
      <c r="O41" s="11"/>
      <c r="P41" s="7">
        <v>111.3</v>
      </c>
      <c r="Q41" s="2"/>
      <c r="R41" s="6">
        <f t="shared" si="20"/>
        <v>0</v>
      </c>
      <c r="S41" s="2"/>
      <c r="T41" s="7">
        <v>3200</v>
      </c>
      <c r="U41" s="2"/>
      <c r="V41" s="6">
        <f t="shared" si="21"/>
        <v>0</v>
      </c>
      <c r="W41" s="2"/>
      <c r="X41" s="7">
        <f t="shared" si="22"/>
        <v>-3088.7</v>
      </c>
      <c r="Y41" s="2"/>
      <c r="Z41" s="6">
        <f t="shared" si="23"/>
        <v>-0.9652187499999999</v>
      </c>
    </row>
    <row r="42" spans="1:26" s="27" customFormat="1" outlineLevel="1" collapsed="1" x14ac:dyDescent="0.25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-12.95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-137.94999999999999</v>
      </c>
      <c r="M42" s="1"/>
      <c r="N42" s="5">
        <f t="shared" si="19"/>
        <v>-1.1035999999999999</v>
      </c>
      <c r="O42" s="14"/>
      <c r="P42" s="1">
        <f>SUM(OSRRefP22_3x_0)</f>
        <v>-12.95</v>
      </c>
      <c r="Q42" s="1"/>
      <c r="R42" s="5">
        <f t="shared" si="20"/>
        <v>0</v>
      </c>
      <c r="S42" s="1"/>
      <c r="T42" s="1">
        <f>SUM(OSRRefT22_3x_0)</f>
        <v>125</v>
      </c>
      <c r="U42" s="1"/>
      <c r="V42" s="5">
        <f t="shared" si="21"/>
        <v>0</v>
      </c>
      <c r="W42" s="1"/>
      <c r="X42" s="1">
        <f t="shared" si="22"/>
        <v>-137.94999999999999</v>
      </c>
      <c r="Y42" s="1"/>
      <c r="Z42" s="5">
        <f t="shared" si="23"/>
        <v>-1.1035999999999999</v>
      </c>
    </row>
    <row r="43" spans="1:26" s="24" customFormat="1" hidden="1" outlineLevel="2" x14ac:dyDescent="0.25">
      <c r="A43" s="29"/>
      <c r="B43" s="11" t="str">
        <f>CONCATENATE("          ", "6272", " - ", "CASH (OVER/SHORT)")</f>
        <v xml:space="preserve">          6272 - CASH (OVER/SHORT)</v>
      </c>
      <c r="C43" s="11"/>
      <c r="D43" s="7">
        <v>-12.95</v>
      </c>
      <c r="E43" s="2"/>
      <c r="F43" s="6">
        <f t="shared" si="16"/>
        <v>0</v>
      </c>
      <c r="G43" s="2"/>
      <c r="H43" s="7">
        <v>125</v>
      </c>
      <c r="I43" s="2"/>
      <c r="J43" s="6">
        <f t="shared" si="17"/>
        <v>0</v>
      </c>
      <c r="K43" s="2"/>
      <c r="L43" s="7">
        <f t="shared" si="18"/>
        <v>-137.94999999999999</v>
      </c>
      <c r="M43" s="2"/>
      <c r="N43" s="6">
        <f t="shared" si="19"/>
        <v>-1.1035999999999999</v>
      </c>
      <c r="O43" s="11"/>
      <c r="P43" s="7">
        <v>-12.95</v>
      </c>
      <c r="Q43" s="2"/>
      <c r="R43" s="6">
        <f t="shared" si="20"/>
        <v>0</v>
      </c>
      <c r="S43" s="2"/>
      <c r="T43" s="7">
        <v>125</v>
      </c>
      <c r="U43" s="2"/>
      <c r="V43" s="6">
        <f t="shared" si="21"/>
        <v>0</v>
      </c>
      <c r="W43" s="2"/>
      <c r="X43" s="7">
        <f t="shared" si="22"/>
        <v>-137.94999999999999</v>
      </c>
      <c r="Y43" s="2"/>
      <c r="Z43" s="6">
        <f t="shared" si="23"/>
        <v>-1.1035999999999999</v>
      </c>
    </row>
    <row r="44" spans="1:26" s="27" customFormat="1" outlineLevel="1" collapsed="1" x14ac:dyDescent="0.25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5108.18</v>
      </c>
      <c r="E44" s="1"/>
      <c r="F44" s="5">
        <f t="shared" si="16"/>
        <v>0</v>
      </c>
      <c r="G44" s="1"/>
      <c r="H44" s="1">
        <f>SUM(OSRRefH22_4x_0)</f>
        <v>4400</v>
      </c>
      <c r="I44" s="1"/>
      <c r="J44" s="5">
        <f t="shared" si="17"/>
        <v>0</v>
      </c>
      <c r="K44" s="1"/>
      <c r="L44" s="1">
        <f t="shared" si="18"/>
        <v>708.18000000000029</v>
      </c>
      <c r="M44" s="1"/>
      <c r="N44" s="5">
        <f t="shared" si="19"/>
        <v>0.16095000000000007</v>
      </c>
      <c r="O44" s="14"/>
      <c r="P44" s="1">
        <f>SUM(OSRRefP22_4x_0)</f>
        <v>5108.18</v>
      </c>
      <c r="Q44" s="1"/>
      <c r="R44" s="5">
        <f t="shared" si="20"/>
        <v>0</v>
      </c>
      <c r="S44" s="1"/>
      <c r="T44" s="1">
        <f>SUM(OSRRefT22_4x_0)</f>
        <v>4400</v>
      </c>
      <c r="U44" s="1"/>
      <c r="V44" s="5">
        <f t="shared" si="21"/>
        <v>0</v>
      </c>
      <c r="W44" s="1"/>
      <c r="X44" s="1">
        <f t="shared" si="22"/>
        <v>708.18000000000029</v>
      </c>
      <c r="Y44" s="1"/>
      <c r="Z44" s="5">
        <f t="shared" si="23"/>
        <v>0.16095000000000007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7">
        <v>5108.18</v>
      </c>
      <c r="E45" s="2"/>
      <c r="F45" s="6">
        <f t="shared" si="16"/>
        <v>0</v>
      </c>
      <c r="G45" s="2"/>
      <c r="H45" s="7">
        <v>4400</v>
      </c>
      <c r="I45" s="2"/>
      <c r="J45" s="6">
        <f t="shared" si="17"/>
        <v>0</v>
      </c>
      <c r="K45" s="2"/>
      <c r="L45" s="7">
        <f t="shared" si="18"/>
        <v>708.18000000000029</v>
      </c>
      <c r="M45" s="2"/>
      <c r="N45" s="6">
        <f t="shared" si="19"/>
        <v>0.16095000000000007</v>
      </c>
      <c r="O45" s="11"/>
      <c r="P45" s="7">
        <v>5108.18</v>
      </c>
      <c r="Q45" s="2"/>
      <c r="R45" s="6">
        <f t="shared" si="20"/>
        <v>0</v>
      </c>
      <c r="S45" s="2"/>
      <c r="T45" s="7">
        <v>4400</v>
      </c>
      <c r="U45" s="2"/>
      <c r="V45" s="6">
        <f t="shared" si="21"/>
        <v>0</v>
      </c>
      <c r="W45" s="2"/>
      <c r="X45" s="7">
        <f t="shared" si="22"/>
        <v>708.18000000000029</v>
      </c>
      <c r="Y45" s="2"/>
      <c r="Z45" s="6">
        <f t="shared" si="23"/>
        <v>0.16095000000000007</v>
      </c>
    </row>
    <row r="46" spans="1:26" s="27" customFormat="1" outlineLevel="1" collapsed="1" x14ac:dyDescent="0.25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29607.43</v>
      </c>
      <c r="E46" s="1"/>
      <c r="F46" s="5">
        <f t="shared" si="16"/>
        <v>0</v>
      </c>
      <c r="G46" s="1"/>
      <c r="H46" s="1">
        <f>SUM(OSRRefH22_5x_0)</f>
        <v>30202</v>
      </c>
      <c r="I46" s="1"/>
      <c r="J46" s="5">
        <f t="shared" si="17"/>
        <v>0</v>
      </c>
      <c r="K46" s="1"/>
      <c r="L46" s="1">
        <f t="shared" si="18"/>
        <v>-594.56999999999971</v>
      </c>
      <c r="M46" s="1"/>
      <c r="N46" s="5">
        <f t="shared" si="19"/>
        <v>-1.9686444606317452E-2</v>
      </c>
      <c r="O46" s="14"/>
      <c r="P46" s="1">
        <f>SUM(OSRRefP22_5x_0)</f>
        <v>29607.43</v>
      </c>
      <c r="Q46" s="1"/>
      <c r="R46" s="5">
        <f t="shared" si="20"/>
        <v>0</v>
      </c>
      <c r="S46" s="1"/>
      <c r="T46" s="1">
        <f>SUM(OSRRefT22_5x_0)</f>
        <v>30202</v>
      </c>
      <c r="U46" s="1"/>
      <c r="V46" s="5">
        <f t="shared" si="21"/>
        <v>0</v>
      </c>
      <c r="W46" s="1"/>
      <c r="X46" s="1">
        <f t="shared" si="22"/>
        <v>-594.56999999999971</v>
      </c>
      <c r="Y46" s="1"/>
      <c r="Z46" s="5">
        <f t="shared" si="23"/>
        <v>-1.9686444606317452E-2</v>
      </c>
    </row>
    <row r="47" spans="1:26" s="24" customFormat="1" hidden="1" outlineLevel="2" x14ac:dyDescent="0.25">
      <c r="A47" s="29"/>
      <c r="B47" s="11" t="str">
        <f>CONCATENATE("          ", "6321", " - ", "BUILDING DEPRECIATION")</f>
        <v xml:space="preserve">          6321 - BUILDING DEPRECIATION</v>
      </c>
      <c r="C47" s="11"/>
      <c r="D47" s="7">
        <v>16396.52</v>
      </c>
      <c r="E47" s="2"/>
      <c r="F47" s="6">
        <f t="shared" si="16"/>
        <v>0</v>
      </c>
      <c r="G47" s="2"/>
      <c r="H47" s="7">
        <v>16453</v>
      </c>
      <c r="I47" s="2"/>
      <c r="J47" s="6">
        <f t="shared" si="17"/>
        <v>0</v>
      </c>
      <c r="K47" s="2"/>
      <c r="L47" s="7">
        <f t="shared" si="18"/>
        <v>-56.479999999999563</v>
      </c>
      <c r="M47" s="2"/>
      <c r="N47" s="6">
        <f t="shared" si="19"/>
        <v>-3.432808606333165E-3</v>
      </c>
      <c r="O47" s="11"/>
      <c r="P47" s="7">
        <v>16396.52</v>
      </c>
      <c r="Q47" s="2"/>
      <c r="R47" s="6">
        <f t="shared" si="20"/>
        <v>0</v>
      </c>
      <c r="S47" s="2"/>
      <c r="T47" s="7">
        <v>16453</v>
      </c>
      <c r="U47" s="2"/>
      <c r="V47" s="6">
        <f t="shared" si="21"/>
        <v>0</v>
      </c>
      <c r="W47" s="2"/>
      <c r="X47" s="7">
        <f t="shared" si="22"/>
        <v>-56.479999999999563</v>
      </c>
      <c r="Y47" s="2"/>
      <c r="Z47" s="6">
        <f t="shared" si="23"/>
        <v>-3.432808606333165E-3</v>
      </c>
    </row>
    <row r="48" spans="1:26" s="24" customFormat="1" hidden="1" outlineLevel="2" x14ac:dyDescent="0.2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13210.91</v>
      </c>
      <c r="E48" s="2"/>
      <c r="F48" s="6">
        <f t="shared" si="16"/>
        <v>0</v>
      </c>
      <c r="G48" s="2"/>
      <c r="H48" s="7">
        <v>13049</v>
      </c>
      <c r="I48" s="2"/>
      <c r="J48" s="6">
        <f t="shared" si="17"/>
        <v>0</v>
      </c>
      <c r="K48" s="2"/>
      <c r="L48" s="7">
        <f t="shared" si="18"/>
        <v>161.90999999999985</v>
      </c>
      <c r="M48" s="2"/>
      <c r="N48" s="6">
        <f t="shared" si="19"/>
        <v>1.2407847344624098E-2</v>
      </c>
      <c r="O48" s="11"/>
      <c r="P48" s="7">
        <v>13210.91</v>
      </c>
      <c r="Q48" s="2"/>
      <c r="R48" s="6">
        <f t="shared" si="20"/>
        <v>0</v>
      </c>
      <c r="S48" s="2"/>
      <c r="T48" s="7">
        <v>13049</v>
      </c>
      <c r="U48" s="2"/>
      <c r="V48" s="6">
        <f t="shared" si="21"/>
        <v>0</v>
      </c>
      <c r="W48" s="2"/>
      <c r="X48" s="7">
        <f t="shared" si="22"/>
        <v>161.90999999999985</v>
      </c>
      <c r="Y48" s="2"/>
      <c r="Z48" s="6">
        <f t="shared" si="23"/>
        <v>1.2407847344624098E-2</v>
      </c>
    </row>
    <row r="49" spans="1:26" s="24" customFormat="1" hidden="1" outlineLevel="2" x14ac:dyDescent="0.25">
      <c r="A49" s="29"/>
      <c r="B49" s="11" t="str">
        <f>CONCATENATE("          ", "6324", " - ", "FURNITURE + FIXT DEPRECIATION")</f>
        <v xml:space="preserve">          6324 - FURNITURE + FIXT DEPRECIATION</v>
      </c>
      <c r="C49" s="11"/>
      <c r="D49" s="7"/>
      <c r="E49" s="2"/>
      <c r="F49" s="6">
        <f t="shared" si="16"/>
        <v>0</v>
      </c>
      <c r="G49" s="2"/>
      <c r="H49" s="7">
        <v>700</v>
      </c>
      <c r="I49" s="2"/>
      <c r="J49" s="6">
        <f t="shared" si="17"/>
        <v>0</v>
      </c>
      <c r="K49" s="2"/>
      <c r="L49" s="7">
        <f t="shared" si="18"/>
        <v>-700</v>
      </c>
      <c r="M49" s="2"/>
      <c r="N49" s="6">
        <f t="shared" si="19"/>
        <v>-1</v>
      </c>
      <c r="O49" s="11"/>
      <c r="P49" s="7"/>
      <c r="Q49" s="2"/>
      <c r="R49" s="6">
        <f t="shared" si="20"/>
        <v>0</v>
      </c>
      <c r="S49" s="2"/>
      <c r="T49" s="7">
        <v>700</v>
      </c>
      <c r="U49" s="2"/>
      <c r="V49" s="6">
        <f t="shared" si="21"/>
        <v>0</v>
      </c>
      <c r="W49" s="2"/>
      <c r="X49" s="7">
        <f t="shared" si="22"/>
        <v>-700</v>
      </c>
      <c r="Y49" s="2"/>
      <c r="Z49" s="6">
        <f t="shared" si="23"/>
        <v>-1</v>
      </c>
    </row>
    <row r="50" spans="1:26" s="27" customFormat="1" outlineLevel="1" collapsed="1" x14ac:dyDescent="0.25">
      <c r="A50" s="28"/>
      <c r="B50" s="14" t="str">
        <f>CONCATENATE("     ","Discounts and Markdowns                           ")</f>
        <v xml:space="preserve">     Discounts and Markdowns                           </v>
      </c>
      <c r="C50" s="14"/>
      <c r="D50" s="1">
        <f>SUM(OSRRefD22_6x_0)</f>
        <v>-391.71</v>
      </c>
      <c r="E50" s="1"/>
      <c r="F50" s="5">
        <f t="shared" ref="F50:F52" si="24">IF(D$12=0,0,D50/D$12)</f>
        <v>0</v>
      </c>
      <c r="G50" s="1"/>
      <c r="H50" s="1">
        <f>SUM(OSRRefH22_6x_0)</f>
        <v>-400</v>
      </c>
      <c r="I50" s="1"/>
      <c r="J50" s="5">
        <f t="shared" ref="J50:J52" si="25">IF(H$12=0,0,H50/H$12)</f>
        <v>0</v>
      </c>
      <c r="K50" s="1"/>
      <c r="L50" s="1">
        <f t="shared" ref="L50:L52" si="26">+D50-H50</f>
        <v>8.2900000000000205</v>
      </c>
      <c r="M50" s="1"/>
      <c r="N50" s="5">
        <f t="shared" ref="N50:N52" si="27">IF(H50=0,0,L50/H50)</f>
        <v>-2.0725000000000052E-2</v>
      </c>
      <c r="O50" s="14"/>
      <c r="P50" s="1">
        <f>SUM(OSRRefP22_6x_0)</f>
        <v>-391.71</v>
      </c>
      <c r="Q50" s="1"/>
      <c r="R50" s="5">
        <f t="shared" ref="R50:R52" si="28">IF(P$12=0,0,P50/P$12)</f>
        <v>0</v>
      </c>
      <c r="S50" s="1"/>
      <c r="T50" s="1">
        <f>SUM(OSRRefT22_6x_0)</f>
        <v>-400</v>
      </c>
      <c r="U50" s="1"/>
      <c r="V50" s="5">
        <f t="shared" ref="V50:V52" si="29">IF(T$12=0,0,T50/T$12)</f>
        <v>0</v>
      </c>
      <c r="W50" s="1"/>
      <c r="X50" s="1">
        <f t="shared" ref="X50:X52" si="30">+P50-T50</f>
        <v>8.2900000000000205</v>
      </c>
      <c r="Y50" s="1"/>
      <c r="Z50" s="5">
        <f t="shared" ref="Z50:Z52" si="31">IF(T50=0,0,X50/T50)</f>
        <v>-2.0725000000000052E-2</v>
      </c>
    </row>
    <row r="51" spans="1:26" s="24" customFormat="1" hidden="1" outlineLevel="2" x14ac:dyDescent="0.25">
      <c r="A51" s="29"/>
      <c r="B51" s="11" t="str">
        <f>CONCATENATE("          ", "6382", " - ", "DISCOUNTS/MARK DOWNS")</f>
        <v xml:space="preserve">          6382 - DISCOUNTS/MARK DOWNS</v>
      </c>
      <c r="C51" s="11"/>
      <c r="D51" s="7">
        <v>52</v>
      </c>
      <c r="E51" s="2"/>
      <c r="F51" s="6">
        <f t="shared" si="24"/>
        <v>0</v>
      </c>
      <c r="G51" s="2"/>
      <c r="H51" s="7">
        <v>-400</v>
      </c>
      <c r="I51" s="2"/>
      <c r="J51" s="6">
        <f t="shared" si="25"/>
        <v>0</v>
      </c>
      <c r="K51" s="2"/>
      <c r="L51" s="7">
        <f t="shared" si="26"/>
        <v>452</v>
      </c>
      <c r="M51" s="2"/>
      <c r="N51" s="6">
        <f t="shared" si="27"/>
        <v>-1.1299999999999999</v>
      </c>
      <c r="O51" s="11"/>
      <c r="P51" s="7">
        <v>52</v>
      </c>
      <c r="Q51" s="2"/>
      <c r="R51" s="6">
        <f t="shared" si="28"/>
        <v>0</v>
      </c>
      <c r="S51" s="2"/>
      <c r="T51" s="7">
        <v>-400</v>
      </c>
      <c r="U51" s="2"/>
      <c r="V51" s="6">
        <f t="shared" si="29"/>
        <v>0</v>
      </c>
      <c r="W51" s="2"/>
      <c r="X51" s="7">
        <f t="shared" si="30"/>
        <v>452</v>
      </c>
      <c r="Y51" s="2"/>
      <c r="Z51" s="6">
        <f t="shared" si="31"/>
        <v>-1.1299999999999999</v>
      </c>
    </row>
    <row r="52" spans="1:26" s="24" customFormat="1" hidden="1" outlineLevel="2" x14ac:dyDescent="0.25">
      <c r="A52" s="29"/>
      <c r="B52" s="11" t="str">
        <f>CONCATENATE("          ", "9175", " - ", "EARNED DISCOUNTS")</f>
        <v xml:space="preserve">          9175 - EARNED DISCOUNTS</v>
      </c>
      <c r="C52" s="11"/>
      <c r="D52" s="7">
        <v>-443.71</v>
      </c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-443.71</v>
      </c>
      <c r="M52" s="2"/>
      <c r="N52" s="6">
        <f t="shared" si="27"/>
        <v>0</v>
      </c>
      <c r="O52" s="11"/>
      <c r="P52" s="7">
        <v>-443.71</v>
      </c>
      <c r="Q52" s="2"/>
      <c r="R52" s="6">
        <f t="shared" si="28"/>
        <v>0</v>
      </c>
      <c r="S52" s="2"/>
      <c r="T52" s="7"/>
      <c r="U52" s="2"/>
      <c r="V52" s="6">
        <f t="shared" si="29"/>
        <v>0</v>
      </c>
      <c r="W52" s="2"/>
      <c r="X52" s="7">
        <f t="shared" si="30"/>
        <v>-443.71</v>
      </c>
      <c r="Y52" s="2"/>
      <c r="Z52" s="6">
        <f t="shared" si="31"/>
        <v>0</v>
      </c>
    </row>
    <row r="53" spans="1:26" s="27" customFormat="1" outlineLevel="1" collapsed="1" x14ac:dyDescent="0.25">
      <c r="A53" s="28"/>
      <c r="B53" s="14" t="str">
        <f>CONCATENATE("     ","Donations                                         ")</f>
        <v xml:space="preserve">     Donations                                         </v>
      </c>
      <c r="C53" s="14"/>
      <c r="D53" s="1">
        <f>SUM(OSRRefD22_7x_0)</f>
        <v>925.42</v>
      </c>
      <c r="E53" s="1"/>
      <c r="F53" s="5">
        <f t="shared" ref="F53:F55" si="32">IF(D$12=0,0,D53/D$12)</f>
        <v>0</v>
      </c>
      <c r="G53" s="1"/>
      <c r="H53" s="1">
        <f>SUM(OSRRefH22_7x_0)</f>
        <v>1000</v>
      </c>
      <c r="I53" s="1"/>
      <c r="J53" s="5">
        <f t="shared" ref="J53:J55" si="33">IF(H$12=0,0,H53/H$12)</f>
        <v>0</v>
      </c>
      <c r="K53" s="1"/>
      <c r="L53" s="1">
        <f t="shared" ref="L53:L55" si="34">+D53-H53</f>
        <v>-74.580000000000041</v>
      </c>
      <c r="M53" s="1"/>
      <c r="N53" s="5">
        <f t="shared" ref="N53:N55" si="35">IF(H53=0,0,L53/H53)</f>
        <v>-7.4580000000000035E-2</v>
      </c>
      <c r="O53" s="14"/>
      <c r="P53" s="1">
        <f>SUM(OSRRefP22_7x_0)</f>
        <v>925.42</v>
      </c>
      <c r="Q53" s="1"/>
      <c r="R53" s="5">
        <f t="shared" ref="R53:R55" si="36">IF(P$12=0,0,P53/P$12)</f>
        <v>0</v>
      </c>
      <c r="S53" s="1"/>
      <c r="T53" s="1">
        <f>SUM(OSRRefT22_7x_0)</f>
        <v>1000</v>
      </c>
      <c r="U53" s="1"/>
      <c r="V53" s="5">
        <f t="shared" ref="V53:V55" si="37">IF(T$12=0,0,T53/T$12)</f>
        <v>0</v>
      </c>
      <c r="W53" s="1"/>
      <c r="X53" s="1">
        <f t="shared" ref="X53:X55" si="38">+P53-T53</f>
        <v>-74.580000000000041</v>
      </c>
      <c r="Y53" s="1"/>
      <c r="Z53" s="5">
        <f t="shared" ref="Z53:Z55" si="39">IF(T53=0,0,X53/T53)</f>
        <v>-7.4580000000000035E-2</v>
      </c>
    </row>
    <row r="54" spans="1:26" s="24" customFormat="1" hidden="1" outlineLevel="2" x14ac:dyDescent="0.25">
      <c r="A54" s="29"/>
      <c r="B54" s="11" t="str">
        <f>CONCATENATE("          ", "6395", " - ", "DONATION-OFF CAMPUS")</f>
        <v xml:space="preserve">          6395 - DONATION-OFF CAMPUS</v>
      </c>
      <c r="C54" s="11"/>
      <c r="D54" s="7"/>
      <c r="E54" s="2"/>
      <c r="F54" s="6">
        <f t="shared" si="32"/>
        <v>0</v>
      </c>
      <c r="G54" s="2"/>
      <c r="H54" s="7">
        <v>1000</v>
      </c>
      <c r="I54" s="2"/>
      <c r="J54" s="6">
        <f t="shared" si="33"/>
        <v>0</v>
      </c>
      <c r="K54" s="2"/>
      <c r="L54" s="7">
        <f t="shared" si="34"/>
        <v>-1000</v>
      </c>
      <c r="M54" s="2"/>
      <c r="N54" s="6">
        <f t="shared" si="35"/>
        <v>-1</v>
      </c>
      <c r="O54" s="11"/>
      <c r="P54" s="7"/>
      <c r="Q54" s="2"/>
      <c r="R54" s="6">
        <f t="shared" si="36"/>
        <v>0</v>
      </c>
      <c r="S54" s="2"/>
      <c r="T54" s="7">
        <v>1000</v>
      </c>
      <c r="U54" s="2"/>
      <c r="V54" s="6">
        <f t="shared" si="37"/>
        <v>0</v>
      </c>
      <c r="W54" s="2"/>
      <c r="X54" s="7">
        <f t="shared" si="38"/>
        <v>-1000</v>
      </c>
      <c r="Y54" s="2"/>
      <c r="Z54" s="6">
        <f t="shared" si="39"/>
        <v>-1</v>
      </c>
    </row>
    <row r="55" spans="1:26" s="24" customFormat="1" hidden="1" outlineLevel="2" x14ac:dyDescent="0.25">
      <c r="A55" s="29"/>
      <c r="B55" s="11" t="str">
        <f>CONCATENATE("          ", "6399", " - ", "DONATION-ON CAMPUS")</f>
        <v xml:space="preserve">          6399 - DONATION-ON CAMPUS</v>
      </c>
      <c r="C55" s="11"/>
      <c r="D55" s="7">
        <v>925.42</v>
      </c>
      <c r="E55" s="2"/>
      <c r="F55" s="6">
        <f t="shared" si="32"/>
        <v>0</v>
      </c>
      <c r="G55" s="2"/>
      <c r="H55" s="7"/>
      <c r="I55" s="2"/>
      <c r="J55" s="6">
        <f t="shared" si="33"/>
        <v>0</v>
      </c>
      <c r="K55" s="2"/>
      <c r="L55" s="7">
        <f t="shared" si="34"/>
        <v>925.42</v>
      </c>
      <c r="M55" s="2"/>
      <c r="N55" s="6">
        <f t="shared" si="35"/>
        <v>0</v>
      </c>
      <c r="O55" s="11"/>
      <c r="P55" s="7">
        <v>925.42</v>
      </c>
      <c r="Q55" s="2"/>
      <c r="R55" s="6">
        <f t="shared" si="36"/>
        <v>0</v>
      </c>
      <c r="S55" s="2"/>
      <c r="T55" s="7"/>
      <c r="U55" s="2"/>
      <c r="V55" s="6">
        <f t="shared" si="37"/>
        <v>0</v>
      </c>
      <c r="W55" s="2"/>
      <c r="X55" s="7">
        <f t="shared" si="38"/>
        <v>925.42</v>
      </c>
      <c r="Y55" s="2"/>
      <c r="Z55" s="6">
        <f t="shared" si="39"/>
        <v>0</v>
      </c>
    </row>
    <row r="56" spans="1:26" s="27" customFormat="1" outlineLevel="1" collapsed="1" x14ac:dyDescent="0.25">
      <c r="A56" s="28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SUM(OSRRefD22_8x_0)</f>
        <v>259.63</v>
      </c>
      <c r="E56" s="1"/>
      <c r="F56" s="5">
        <f t="shared" ref="F56:F73" si="40">IF(D$12=0,0,D56/D$12)</f>
        <v>0</v>
      </c>
      <c r="G56" s="1"/>
      <c r="H56" s="1">
        <f>SUM(OSRRefH22_8x_0)</f>
        <v>200</v>
      </c>
      <c r="I56" s="1"/>
      <c r="J56" s="5">
        <f t="shared" ref="J56:J73" si="41">IF(H$12=0,0,H56/H$12)</f>
        <v>0</v>
      </c>
      <c r="K56" s="1"/>
      <c r="L56" s="1">
        <f t="shared" ref="L56:L73" si="42">+D56-H56</f>
        <v>59.629999999999995</v>
      </c>
      <c r="M56" s="1"/>
      <c r="N56" s="5">
        <f t="shared" ref="N56:N73" si="43">IF(H56=0,0,L56/H56)</f>
        <v>0.29814999999999997</v>
      </c>
      <c r="O56" s="14"/>
      <c r="P56" s="1">
        <f>SUM(OSRRefP22_8x_0)</f>
        <v>259.63</v>
      </c>
      <c r="Q56" s="1"/>
      <c r="R56" s="5">
        <f t="shared" ref="R56:R73" si="44">IF(P$12=0,0,P56/P$12)</f>
        <v>0</v>
      </c>
      <c r="S56" s="1"/>
      <c r="T56" s="1">
        <f>SUM(OSRRefT22_8x_0)</f>
        <v>200</v>
      </c>
      <c r="U56" s="1"/>
      <c r="V56" s="5">
        <f t="shared" ref="V56:V73" si="45">IF(T$12=0,0,T56/T$12)</f>
        <v>0</v>
      </c>
      <c r="W56" s="1"/>
      <c r="X56" s="1">
        <f t="shared" ref="X56:X73" si="46">+P56-T56</f>
        <v>59.629999999999995</v>
      </c>
      <c r="Y56" s="1"/>
      <c r="Z56" s="5">
        <f t="shared" ref="Z56:Z73" si="47">IF(T56=0,0,X56/T56)</f>
        <v>0.29814999999999997</v>
      </c>
    </row>
    <row r="57" spans="1:26" s="24" customFormat="1" hidden="1" outlineLevel="2" x14ac:dyDescent="0.25">
      <c r="A57" s="29"/>
      <c r="B57" s="11" t="str">
        <f>CONCATENATE("          ", "6277", " - ", "EMPLOYEE APPRECIATION")</f>
        <v xml:space="preserve">          6277 - EMPLOYEE APPRECIATION</v>
      </c>
      <c r="C57" s="11"/>
      <c r="D57" s="7">
        <v>259.63</v>
      </c>
      <c r="E57" s="2"/>
      <c r="F57" s="6">
        <f t="shared" si="40"/>
        <v>0</v>
      </c>
      <c r="G57" s="2"/>
      <c r="H57" s="7">
        <v>200</v>
      </c>
      <c r="I57" s="2"/>
      <c r="J57" s="6">
        <f t="shared" si="41"/>
        <v>0</v>
      </c>
      <c r="K57" s="2"/>
      <c r="L57" s="7">
        <f t="shared" si="42"/>
        <v>59.629999999999995</v>
      </c>
      <c r="M57" s="2"/>
      <c r="N57" s="6">
        <f t="shared" si="43"/>
        <v>0.29814999999999997</v>
      </c>
      <c r="O57" s="11"/>
      <c r="P57" s="7">
        <v>259.63</v>
      </c>
      <c r="Q57" s="2"/>
      <c r="R57" s="6">
        <f t="shared" si="44"/>
        <v>0</v>
      </c>
      <c r="S57" s="2"/>
      <c r="T57" s="7">
        <v>200</v>
      </c>
      <c r="U57" s="2"/>
      <c r="V57" s="6">
        <f t="shared" si="45"/>
        <v>0</v>
      </c>
      <c r="W57" s="2"/>
      <c r="X57" s="7">
        <f t="shared" si="46"/>
        <v>59.629999999999995</v>
      </c>
      <c r="Y57" s="2"/>
      <c r="Z57" s="6">
        <f t="shared" si="47"/>
        <v>0.29814999999999997</v>
      </c>
    </row>
    <row r="58" spans="1:26" s="27" customFormat="1" outlineLevel="1" collapsed="1" x14ac:dyDescent="0.25">
      <c r="A58" s="28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SUM(OSRRefD22_9x_0)</f>
        <v>0</v>
      </c>
      <c r="E58" s="1"/>
      <c r="F58" s="5">
        <f t="shared" si="40"/>
        <v>0</v>
      </c>
      <c r="G58" s="1"/>
      <c r="H58" s="1">
        <f>SUM(OSRRefH22_9x_0)</f>
        <v>30</v>
      </c>
      <c r="I58" s="1"/>
      <c r="J58" s="5">
        <f t="shared" si="41"/>
        <v>0</v>
      </c>
      <c r="K58" s="1"/>
      <c r="L58" s="1">
        <f t="shared" si="42"/>
        <v>-30</v>
      </c>
      <c r="M58" s="1"/>
      <c r="N58" s="5">
        <f t="shared" si="43"/>
        <v>-1</v>
      </c>
      <c r="O58" s="14"/>
      <c r="P58" s="1">
        <f>SUM(OSRRefP22_9x_0)</f>
        <v>0</v>
      </c>
      <c r="Q58" s="1"/>
      <c r="R58" s="5">
        <f t="shared" si="44"/>
        <v>0</v>
      </c>
      <c r="S58" s="1"/>
      <c r="T58" s="1">
        <f>SUM(OSRRefT22_9x_0)</f>
        <v>30</v>
      </c>
      <c r="U58" s="1"/>
      <c r="V58" s="5">
        <f t="shared" si="45"/>
        <v>0</v>
      </c>
      <c r="W58" s="1"/>
      <c r="X58" s="1">
        <f t="shared" si="46"/>
        <v>-30</v>
      </c>
      <c r="Y58" s="1"/>
      <c r="Z58" s="5">
        <f t="shared" si="47"/>
        <v>-1</v>
      </c>
    </row>
    <row r="59" spans="1:26" s="24" customFormat="1" hidden="1" outlineLevel="2" x14ac:dyDescent="0.25">
      <c r="A59" s="29"/>
      <c r="B59" s="11" t="str">
        <f>CONCATENATE("          ", "6307", " - ", "POSTAGE")</f>
        <v xml:space="preserve">          6307 - POSTAGE</v>
      </c>
      <c r="C59" s="11"/>
      <c r="D59" s="7"/>
      <c r="E59" s="2"/>
      <c r="F59" s="6">
        <f t="shared" si="40"/>
        <v>0</v>
      </c>
      <c r="G59" s="2"/>
      <c r="H59" s="7">
        <v>30</v>
      </c>
      <c r="I59" s="2"/>
      <c r="J59" s="6">
        <f t="shared" si="41"/>
        <v>0</v>
      </c>
      <c r="K59" s="2"/>
      <c r="L59" s="7">
        <f t="shared" si="42"/>
        <v>-30</v>
      </c>
      <c r="M59" s="2"/>
      <c r="N59" s="6">
        <f t="shared" si="43"/>
        <v>-1</v>
      </c>
      <c r="O59" s="11"/>
      <c r="P59" s="7"/>
      <c r="Q59" s="2"/>
      <c r="R59" s="6">
        <f t="shared" si="44"/>
        <v>0</v>
      </c>
      <c r="S59" s="2"/>
      <c r="T59" s="7">
        <v>30</v>
      </c>
      <c r="U59" s="2"/>
      <c r="V59" s="6">
        <f t="shared" si="45"/>
        <v>0</v>
      </c>
      <c r="W59" s="2"/>
      <c r="X59" s="7">
        <f t="shared" si="46"/>
        <v>-30</v>
      </c>
      <c r="Y59" s="2"/>
      <c r="Z59" s="6">
        <f t="shared" si="47"/>
        <v>-1</v>
      </c>
    </row>
    <row r="60" spans="1:26" s="27" customFormat="1" outlineLevel="1" collapsed="1" x14ac:dyDescent="0.25">
      <c r="A60" s="28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SUM(OSRRefD22_10x_0)</f>
        <v>73.790000000000006</v>
      </c>
      <c r="E60" s="1"/>
      <c r="F60" s="5">
        <f t="shared" si="40"/>
        <v>0</v>
      </c>
      <c r="G60" s="1"/>
      <c r="H60" s="1">
        <f>SUM(OSRRefH22_10x_0)</f>
        <v>100</v>
      </c>
      <c r="I60" s="1"/>
      <c r="J60" s="5">
        <f t="shared" si="41"/>
        <v>0</v>
      </c>
      <c r="K60" s="1"/>
      <c r="L60" s="1">
        <f t="shared" si="42"/>
        <v>-26.209999999999994</v>
      </c>
      <c r="M60" s="1"/>
      <c r="N60" s="5">
        <f t="shared" si="43"/>
        <v>-0.26209999999999994</v>
      </c>
      <c r="O60" s="14"/>
      <c r="P60" s="1">
        <f>SUM(OSRRefP22_10x_0)</f>
        <v>73.790000000000006</v>
      </c>
      <c r="Q60" s="1"/>
      <c r="R60" s="5">
        <f t="shared" si="44"/>
        <v>0</v>
      </c>
      <c r="S60" s="1"/>
      <c r="T60" s="1">
        <f>SUM(OSRRefT22_10x_0)</f>
        <v>100</v>
      </c>
      <c r="U60" s="1"/>
      <c r="V60" s="5">
        <f t="shared" si="45"/>
        <v>0</v>
      </c>
      <c r="W60" s="1"/>
      <c r="X60" s="1">
        <f t="shared" si="46"/>
        <v>-26.209999999999994</v>
      </c>
      <c r="Y60" s="1"/>
      <c r="Z60" s="5">
        <f t="shared" si="47"/>
        <v>-0.26209999999999994</v>
      </c>
    </row>
    <row r="61" spans="1:26" s="24" customFormat="1" hidden="1" outlineLevel="2" x14ac:dyDescent="0.25">
      <c r="A61" s="29"/>
      <c r="B61" s="11" t="str">
        <f>CONCATENATE("          ", "6279", " - ", "GENERAL EXPENSE")</f>
        <v xml:space="preserve">          6279 - GENERAL EXPENSE</v>
      </c>
      <c r="C61" s="11"/>
      <c r="D61" s="7">
        <v>73.790000000000006</v>
      </c>
      <c r="E61" s="2"/>
      <c r="F61" s="6">
        <f t="shared" si="40"/>
        <v>0</v>
      </c>
      <c r="G61" s="2"/>
      <c r="H61" s="7">
        <v>100</v>
      </c>
      <c r="I61" s="2"/>
      <c r="J61" s="6">
        <f t="shared" si="41"/>
        <v>0</v>
      </c>
      <c r="K61" s="2"/>
      <c r="L61" s="7">
        <f t="shared" si="42"/>
        <v>-26.209999999999994</v>
      </c>
      <c r="M61" s="2"/>
      <c r="N61" s="6">
        <f t="shared" si="43"/>
        <v>-0.26209999999999994</v>
      </c>
      <c r="O61" s="11"/>
      <c r="P61" s="7">
        <v>73.790000000000006</v>
      </c>
      <c r="Q61" s="2"/>
      <c r="R61" s="6">
        <f t="shared" si="44"/>
        <v>0</v>
      </c>
      <c r="S61" s="2"/>
      <c r="T61" s="7">
        <v>100</v>
      </c>
      <c r="U61" s="2"/>
      <c r="V61" s="6">
        <f t="shared" si="45"/>
        <v>0</v>
      </c>
      <c r="W61" s="2"/>
      <c r="X61" s="7">
        <f t="shared" si="46"/>
        <v>-26.209999999999994</v>
      </c>
      <c r="Y61" s="2"/>
      <c r="Z61" s="6">
        <f t="shared" si="47"/>
        <v>-0.26209999999999994</v>
      </c>
    </row>
    <row r="62" spans="1:26" s="27" customFormat="1" outlineLevel="1" collapsed="1" x14ac:dyDescent="0.25">
      <c r="A62" s="28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SUM(OSRRefD22_11x_0)</f>
        <v>3883.56</v>
      </c>
      <c r="E62" s="1"/>
      <c r="F62" s="5">
        <f t="shared" si="40"/>
        <v>0</v>
      </c>
      <c r="G62" s="1"/>
      <c r="H62" s="1">
        <f>SUM(OSRRefH22_11x_0)</f>
        <v>3660</v>
      </c>
      <c r="I62" s="1"/>
      <c r="J62" s="5">
        <f t="shared" si="41"/>
        <v>0</v>
      </c>
      <c r="K62" s="1"/>
      <c r="L62" s="1">
        <f t="shared" si="42"/>
        <v>223.55999999999995</v>
      </c>
      <c r="M62" s="1"/>
      <c r="N62" s="5">
        <f t="shared" si="43"/>
        <v>6.1081967213114742E-2</v>
      </c>
      <c r="O62" s="14"/>
      <c r="P62" s="1">
        <f>SUM(OSRRefP22_11x_0)</f>
        <v>3883.56</v>
      </c>
      <c r="Q62" s="1"/>
      <c r="R62" s="5">
        <f t="shared" si="44"/>
        <v>0</v>
      </c>
      <c r="S62" s="1"/>
      <c r="T62" s="1">
        <f>SUM(OSRRefT22_11x_0)</f>
        <v>3660</v>
      </c>
      <c r="U62" s="1"/>
      <c r="V62" s="5">
        <f t="shared" si="45"/>
        <v>0</v>
      </c>
      <c r="W62" s="1"/>
      <c r="X62" s="1">
        <f t="shared" si="46"/>
        <v>223.55999999999995</v>
      </c>
      <c r="Y62" s="1"/>
      <c r="Z62" s="5">
        <f t="shared" si="47"/>
        <v>6.1081967213114742E-2</v>
      </c>
    </row>
    <row r="63" spans="1:26" s="24" customFormat="1" hidden="1" outlineLevel="2" x14ac:dyDescent="0.25">
      <c r="A63" s="29"/>
      <c r="B63" s="11" t="str">
        <f>CONCATENATE("          ", "6314", " - ", "LIABILITY INSURANCE")</f>
        <v xml:space="preserve">          6314 - LIABILITY INSURANCE</v>
      </c>
      <c r="C63" s="11"/>
      <c r="D63" s="7">
        <v>3883.56</v>
      </c>
      <c r="E63" s="2"/>
      <c r="F63" s="6">
        <f t="shared" si="40"/>
        <v>0</v>
      </c>
      <c r="G63" s="2"/>
      <c r="H63" s="7">
        <v>3660</v>
      </c>
      <c r="I63" s="2"/>
      <c r="J63" s="6">
        <f t="shared" si="41"/>
        <v>0</v>
      </c>
      <c r="K63" s="2"/>
      <c r="L63" s="7">
        <f t="shared" si="42"/>
        <v>223.55999999999995</v>
      </c>
      <c r="M63" s="2"/>
      <c r="N63" s="6">
        <f t="shared" si="43"/>
        <v>6.1081967213114742E-2</v>
      </c>
      <c r="O63" s="11"/>
      <c r="P63" s="7">
        <v>3883.56</v>
      </c>
      <c r="Q63" s="2"/>
      <c r="R63" s="6">
        <f t="shared" si="44"/>
        <v>0</v>
      </c>
      <c r="S63" s="2"/>
      <c r="T63" s="7">
        <v>3660</v>
      </c>
      <c r="U63" s="2"/>
      <c r="V63" s="6">
        <f t="shared" si="45"/>
        <v>0</v>
      </c>
      <c r="W63" s="2"/>
      <c r="X63" s="7">
        <f t="shared" si="46"/>
        <v>223.55999999999995</v>
      </c>
      <c r="Y63" s="2"/>
      <c r="Z63" s="6">
        <f t="shared" si="47"/>
        <v>6.1081967213114742E-2</v>
      </c>
    </row>
    <row r="64" spans="1:26" s="27" customFormat="1" outlineLevel="1" collapsed="1" x14ac:dyDescent="0.25">
      <c r="A64" s="28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SUM(OSRRefD22_12x_0)</f>
        <v>0</v>
      </c>
      <c r="E64" s="1"/>
      <c r="F64" s="5">
        <f t="shared" si="40"/>
        <v>0</v>
      </c>
      <c r="G64" s="1"/>
      <c r="H64" s="1">
        <f>SUM(OSRRefH22_12x_0)</f>
        <v>0</v>
      </c>
      <c r="I64" s="1"/>
      <c r="J64" s="5">
        <f t="shared" si="41"/>
        <v>0</v>
      </c>
      <c r="K64" s="1"/>
      <c r="L64" s="1">
        <f t="shared" si="42"/>
        <v>0</v>
      </c>
      <c r="M64" s="1"/>
      <c r="N64" s="5">
        <f t="shared" si="43"/>
        <v>0</v>
      </c>
      <c r="O64" s="14"/>
      <c r="P64" s="1">
        <f>SUM(OSRRefP22_12x_0)</f>
        <v>0</v>
      </c>
      <c r="Q64" s="1"/>
      <c r="R64" s="5">
        <f t="shared" si="44"/>
        <v>0</v>
      </c>
      <c r="S64" s="1"/>
      <c r="T64" s="1">
        <f>SUM(OSRRefT22_12x_0)</f>
        <v>0</v>
      </c>
      <c r="U64" s="1"/>
      <c r="V64" s="5">
        <f t="shared" si="45"/>
        <v>0</v>
      </c>
      <c r="W64" s="1"/>
      <c r="X64" s="1">
        <f t="shared" si="46"/>
        <v>0</v>
      </c>
      <c r="Y64" s="1"/>
      <c r="Z64" s="5">
        <f t="shared" si="47"/>
        <v>0</v>
      </c>
    </row>
    <row r="65" spans="1:26" s="24" customFormat="1" hidden="1" outlineLevel="2" x14ac:dyDescent="0.25">
      <c r="A65" s="29"/>
      <c r="B65" s="11" t="str">
        <f>CONCATENATE("          ", "6408", " - ", "INVENTORY ADJUSTMENT")</f>
        <v xml:space="preserve">          6408 - INVENTORY ADJUSTMENT</v>
      </c>
      <c r="C65" s="11"/>
      <c r="D65" s="7"/>
      <c r="E65" s="2"/>
      <c r="F65" s="6">
        <f t="shared" si="40"/>
        <v>0</v>
      </c>
      <c r="G65" s="2"/>
      <c r="H65" s="7">
        <v>0</v>
      </c>
      <c r="I65" s="2"/>
      <c r="J65" s="6">
        <f t="shared" si="41"/>
        <v>0</v>
      </c>
      <c r="K65" s="2"/>
      <c r="L65" s="7">
        <f t="shared" si="42"/>
        <v>0</v>
      </c>
      <c r="M65" s="2"/>
      <c r="N65" s="6">
        <f t="shared" si="43"/>
        <v>0</v>
      </c>
      <c r="O65" s="11"/>
      <c r="P65" s="7"/>
      <c r="Q65" s="2"/>
      <c r="R65" s="6">
        <f t="shared" si="44"/>
        <v>0</v>
      </c>
      <c r="S65" s="2"/>
      <c r="T65" s="7">
        <v>0</v>
      </c>
      <c r="U65" s="2"/>
      <c r="V65" s="6">
        <f t="shared" si="45"/>
        <v>0</v>
      </c>
      <c r="W65" s="2"/>
      <c r="X65" s="7">
        <f t="shared" si="46"/>
        <v>0</v>
      </c>
      <c r="Y65" s="2"/>
      <c r="Z65" s="6">
        <f t="shared" si="47"/>
        <v>0</v>
      </c>
    </row>
    <row r="66" spans="1:26" s="27" customFormat="1" outlineLevel="1" collapsed="1" x14ac:dyDescent="0.25">
      <c r="A66" s="28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SUM(OSRRefD22_13x_0)</f>
        <v>4658.41</v>
      </c>
      <c r="E66" s="1"/>
      <c r="F66" s="5">
        <f t="shared" si="40"/>
        <v>0</v>
      </c>
      <c r="G66" s="1"/>
      <c r="H66" s="1">
        <f>SUM(OSRRefH22_13x_0)</f>
        <v>900</v>
      </c>
      <c r="I66" s="1"/>
      <c r="J66" s="5">
        <f t="shared" si="41"/>
        <v>0</v>
      </c>
      <c r="K66" s="1"/>
      <c r="L66" s="1">
        <f t="shared" si="42"/>
        <v>3758.41</v>
      </c>
      <c r="M66" s="1"/>
      <c r="N66" s="5">
        <f t="shared" si="43"/>
        <v>4.1760111111111113</v>
      </c>
      <c r="O66" s="14"/>
      <c r="P66" s="1">
        <f>SUM(OSRRefP22_13x_0)</f>
        <v>4658.41</v>
      </c>
      <c r="Q66" s="1"/>
      <c r="R66" s="5">
        <f t="shared" si="44"/>
        <v>0</v>
      </c>
      <c r="S66" s="1"/>
      <c r="T66" s="1">
        <f>SUM(OSRRefT22_13x_0)</f>
        <v>900</v>
      </c>
      <c r="U66" s="1"/>
      <c r="V66" s="5">
        <f t="shared" si="45"/>
        <v>0</v>
      </c>
      <c r="W66" s="1"/>
      <c r="X66" s="1">
        <f t="shared" si="46"/>
        <v>3758.41</v>
      </c>
      <c r="Y66" s="1"/>
      <c r="Z66" s="5">
        <f t="shared" si="47"/>
        <v>4.1760111111111113</v>
      </c>
    </row>
    <row r="67" spans="1:26" s="24" customFormat="1" hidden="1" outlineLevel="2" x14ac:dyDescent="0.25">
      <c r="A67" s="29"/>
      <c r="B67" s="11" t="str">
        <f>CONCATENATE("          ", "6336", " - ", "PROFESSIONAL SERVICES")</f>
        <v xml:space="preserve">          6336 - PROFESSIONAL SERVICES</v>
      </c>
      <c r="C67" s="11"/>
      <c r="D67" s="7">
        <v>4658.41</v>
      </c>
      <c r="E67" s="2"/>
      <c r="F67" s="6">
        <f t="shared" si="40"/>
        <v>0</v>
      </c>
      <c r="G67" s="2"/>
      <c r="H67" s="7">
        <v>900</v>
      </c>
      <c r="I67" s="2"/>
      <c r="J67" s="6">
        <f t="shared" si="41"/>
        <v>0</v>
      </c>
      <c r="K67" s="2"/>
      <c r="L67" s="7">
        <f t="shared" si="42"/>
        <v>3758.41</v>
      </c>
      <c r="M67" s="2"/>
      <c r="N67" s="6">
        <f t="shared" si="43"/>
        <v>4.1760111111111113</v>
      </c>
      <c r="O67" s="11"/>
      <c r="P67" s="7">
        <v>4658.41</v>
      </c>
      <c r="Q67" s="2"/>
      <c r="R67" s="6">
        <f t="shared" si="44"/>
        <v>0</v>
      </c>
      <c r="S67" s="2"/>
      <c r="T67" s="7">
        <v>900</v>
      </c>
      <c r="U67" s="2"/>
      <c r="V67" s="6">
        <f t="shared" si="45"/>
        <v>0</v>
      </c>
      <c r="W67" s="2"/>
      <c r="X67" s="7">
        <f t="shared" si="46"/>
        <v>3758.41</v>
      </c>
      <c r="Y67" s="2"/>
      <c r="Z67" s="6">
        <f t="shared" si="47"/>
        <v>4.1760111111111113</v>
      </c>
    </row>
    <row r="68" spans="1:26" s="27" customFormat="1" outlineLevel="1" collapsed="1" x14ac:dyDescent="0.25">
      <c r="A68" s="28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SUM(OSRRefD22_14x_0)</f>
        <v>-800</v>
      </c>
      <c r="E68" s="1"/>
      <c r="F68" s="5">
        <f t="shared" si="40"/>
        <v>0</v>
      </c>
      <c r="G68" s="1"/>
      <c r="H68" s="1">
        <f>SUM(OSRRefH22_14x_0)</f>
        <v>-800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4"/>
      <c r="P68" s="1">
        <f>SUM(OSRRefP22_14x_0)</f>
        <v>-800</v>
      </c>
      <c r="Q68" s="1"/>
      <c r="R68" s="5">
        <f t="shared" si="44"/>
        <v>0</v>
      </c>
      <c r="S68" s="1"/>
      <c r="T68" s="1">
        <f>SUM(OSRRefT22_14x_0)</f>
        <v>-800</v>
      </c>
      <c r="U68" s="1"/>
      <c r="V68" s="5">
        <f t="shared" si="45"/>
        <v>0</v>
      </c>
      <c r="W68" s="1"/>
      <c r="X68" s="1">
        <f t="shared" si="46"/>
        <v>0</v>
      </c>
      <c r="Y68" s="1"/>
      <c r="Z68" s="5">
        <f t="shared" si="47"/>
        <v>0</v>
      </c>
    </row>
    <row r="69" spans="1:26" s="24" customFormat="1" hidden="1" outlineLevel="2" x14ac:dyDescent="0.25">
      <c r="A69" s="29"/>
      <c r="B69" s="11" t="str">
        <f>CONCATENATE("          ", "6273", " - ", "RENT")</f>
        <v xml:space="preserve">          6273 - RENT</v>
      </c>
      <c r="C69" s="11"/>
      <c r="D69" s="7">
        <v>-800</v>
      </c>
      <c r="E69" s="2"/>
      <c r="F69" s="6">
        <f t="shared" si="40"/>
        <v>0</v>
      </c>
      <c r="G69" s="2"/>
      <c r="H69" s="7">
        <v>-800</v>
      </c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>
        <v>-800</v>
      </c>
      <c r="Q69" s="2"/>
      <c r="R69" s="6">
        <f t="shared" si="44"/>
        <v>0</v>
      </c>
      <c r="S69" s="2"/>
      <c r="T69" s="7">
        <v>-800</v>
      </c>
      <c r="U69" s="2"/>
      <c r="V69" s="6">
        <f t="shared" si="45"/>
        <v>0</v>
      </c>
      <c r="W69" s="2"/>
      <c r="X69" s="7">
        <f t="shared" si="46"/>
        <v>0</v>
      </c>
      <c r="Y69" s="2"/>
      <c r="Z69" s="6">
        <f t="shared" si="47"/>
        <v>0</v>
      </c>
    </row>
    <row r="70" spans="1:26" s="27" customFormat="1" outlineLevel="1" collapsed="1" x14ac:dyDescent="0.25">
      <c r="A70" s="28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SUM(OSRRefD22_15x_0)</f>
        <v>16782.449999999997</v>
      </c>
      <c r="E70" s="1"/>
      <c r="F70" s="5">
        <f t="shared" si="40"/>
        <v>0</v>
      </c>
      <c r="G70" s="1"/>
      <c r="H70" s="1">
        <f>SUM(OSRRefH22_15x_0)</f>
        <v>49285</v>
      </c>
      <c r="I70" s="1"/>
      <c r="J70" s="5">
        <f t="shared" si="41"/>
        <v>0</v>
      </c>
      <c r="K70" s="1"/>
      <c r="L70" s="1">
        <f t="shared" si="42"/>
        <v>-32502.550000000003</v>
      </c>
      <c r="M70" s="1"/>
      <c r="N70" s="5">
        <f t="shared" si="43"/>
        <v>-0.65948158668966228</v>
      </c>
      <c r="O70" s="14"/>
      <c r="P70" s="1">
        <f>SUM(OSRRefP22_15x_0)</f>
        <v>16782.449999999997</v>
      </c>
      <c r="Q70" s="1"/>
      <c r="R70" s="5">
        <f t="shared" si="44"/>
        <v>0</v>
      </c>
      <c r="S70" s="1"/>
      <c r="T70" s="1">
        <f>SUM(OSRRefT22_15x_0)</f>
        <v>49285</v>
      </c>
      <c r="U70" s="1"/>
      <c r="V70" s="5">
        <f t="shared" si="45"/>
        <v>0</v>
      </c>
      <c r="W70" s="1"/>
      <c r="X70" s="1">
        <f t="shared" si="46"/>
        <v>-32502.550000000003</v>
      </c>
      <c r="Y70" s="1"/>
      <c r="Z70" s="5">
        <f t="shared" si="47"/>
        <v>-0.65948158668966228</v>
      </c>
    </row>
    <row r="71" spans="1:26" s="24" customFormat="1" hidden="1" outlineLevel="2" x14ac:dyDescent="0.25">
      <c r="A71" s="29"/>
      <c r="B71" s="11" t="str">
        <f>CONCATENATE("          ", "6371", " - ", "COMPUTER SOFTWARE MAINTENANCE")</f>
        <v xml:space="preserve">          6371 - COMPUTER SOFTWARE MAINTENANCE</v>
      </c>
      <c r="C71" s="11"/>
      <c r="D71" s="7">
        <v>601</v>
      </c>
      <c r="E71" s="2"/>
      <c r="F71" s="6">
        <f t="shared" si="40"/>
        <v>0</v>
      </c>
      <c r="G71" s="2"/>
      <c r="H71" s="7">
        <v>48535</v>
      </c>
      <c r="I71" s="2"/>
      <c r="J71" s="6">
        <f t="shared" si="41"/>
        <v>0</v>
      </c>
      <c r="K71" s="2"/>
      <c r="L71" s="7">
        <f t="shared" si="42"/>
        <v>-47934</v>
      </c>
      <c r="M71" s="2"/>
      <c r="N71" s="6">
        <f t="shared" si="43"/>
        <v>-0.98761718347584215</v>
      </c>
      <c r="O71" s="11"/>
      <c r="P71" s="7">
        <v>601</v>
      </c>
      <c r="Q71" s="2"/>
      <c r="R71" s="6">
        <f t="shared" si="44"/>
        <v>0</v>
      </c>
      <c r="S71" s="2"/>
      <c r="T71" s="7">
        <v>48535</v>
      </c>
      <c r="U71" s="2"/>
      <c r="V71" s="6">
        <f t="shared" si="45"/>
        <v>0</v>
      </c>
      <c r="W71" s="2"/>
      <c r="X71" s="7">
        <f t="shared" si="46"/>
        <v>-47934</v>
      </c>
      <c r="Y71" s="2"/>
      <c r="Z71" s="6">
        <f t="shared" si="47"/>
        <v>-0.98761718347584215</v>
      </c>
    </row>
    <row r="72" spans="1:26" s="24" customFormat="1" hidden="1" outlineLevel="2" x14ac:dyDescent="0.25">
      <c r="A72" s="29"/>
      <c r="B72" s="11" t="str">
        <f>CONCATENATE("          ", "6373", " - ", "MAINTENANCE CONTRACTS")</f>
        <v xml:space="preserve">          6373 - MAINTENANCE CONTRACTS</v>
      </c>
      <c r="C72" s="11"/>
      <c r="D72" s="7">
        <v>516</v>
      </c>
      <c r="E72" s="2"/>
      <c r="F72" s="6">
        <f t="shared" si="40"/>
        <v>0</v>
      </c>
      <c r="G72" s="2"/>
      <c r="H72" s="7"/>
      <c r="I72" s="2"/>
      <c r="J72" s="6">
        <f t="shared" si="41"/>
        <v>0</v>
      </c>
      <c r="K72" s="2"/>
      <c r="L72" s="7">
        <f t="shared" si="42"/>
        <v>516</v>
      </c>
      <c r="M72" s="2"/>
      <c r="N72" s="6">
        <f t="shared" si="43"/>
        <v>0</v>
      </c>
      <c r="O72" s="11"/>
      <c r="P72" s="7">
        <v>516</v>
      </c>
      <c r="Q72" s="2"/>
      <c r="R72" s="6">
        <f t="shared" si="44"/>
        <v>0</v>
      </c>
      <c r="S72" s="2"/>
      <c r="T72" s="7"/>
      <c r="U72" s="2"/>
      <c r="V72" s="6">
        <f t="shared" si="45"/>
        <v>0</v>
      </c>
      <c r="W72" s="2"/>
      <c r="X72" s="7">
        <f t="shared" si="46"/>
        <v>516</v>
      </c>
      <c r="Y72" s="2"/>
      <c r="Z72" s="6">
        <f t="shared" si="47"/>
        <v>0</v>
      </c>
    </row>
    <row r="73" spans="1:26" s="24" customFormat="1" hidden="1" outlineLevel="2" x14ac:dyDescent="0.25">
      <c r="A73" s="29"/>
      <c r="B73" s="11" t="str">
        <f>CONCATENATE("          ", "6375", " - ", "OUTSIDE REPAIRS &amp; MAINTENANCE")</f>
        <v xml:space="preserve">          6375 - OUTSIDE REPAIRS &amp; MAINTENANCE</v>
      </c>
      <c r="C73" s="11"/>
      <c r="D73" s="7">
        <v>15665.449999999999</v>
      </c>
      <c r="E73" s="2"/>
      <c r="F73" s="6">
        <f t="shared" si="40"/>
        <v>0</v>
      </c>
      <c r="G73" s="2"/>
      <c r="H73" s="7">
        <v>750</v>
      </c>
      <c r="I73" s="2"/>
      <c r="J73" s="6">
        <f t="shared" si="41"/>
        <v>0</v>
      </c>
      <c r="K73" s="2"/>
      <c r="L73" s="7">
        <f t="shared" si="42"/>
        <v>14915.449999999999</v>
      </c>
      <c r="M73" s="2"/>
      <c r="N73" s="6">
        <f t="shared" si="43"/>
        <v>19.887266666666665</v>
      </c>
      <c r="O73" s="11"/>
      <c r="P73" s="7">
        <v>15665.449999999999</v>
      </c>
      <c r="Q73" s="2"/>
      <c r="R73" s="6">
        <f t="shared" si="44"/>
        <v>0</v>
      </c>
      <c r="S73" s="2"/>
      <c r="T73" s="7">
        <v>750</v>
      </c>
      <c r="U73" s="2"/>
      <c r="V73" s="6">
        <f t="shared" si="45"/>
        <v>0</v>
      </c>
      <c r="W73" s="2"/>
      <c r="X73" s="7">
        <f t="shared" si="46"/>
        <v>14915.449999999999</v>
      </c>
      <c r="Y73" s="2"/>
      <c r="Z73" s="6">
        <f t="shared" si="47"/>
        <v>19.887266666666665</v>
      </c>
    </row>
    <row r="74" spans="1:26" s="27" customFormat="1" outlineLevel="1" collapsed="1" x14ac:dyDescent="0.25">
      <c r="A74" s="28"/>
      <c r="B74" s="14" t="str">
        <f>CONCATENATE("     ","Services                                          ")</f>
        <v xml:space="preserve">     Services                                          </v>
      </c>
      <c r="C74" s="14"/>
      <c r="D74" s="1">
        <f>SUM(OSRRefD22_16x_0)</f>
        <v>4180.04</v>
      </c>
      <c r="E74" s="1"/>
      <c r="F74" s="5">
        <f t="shared" ref="F74:F77" si="48">IF(D$12=0,0,D74/D$12)</f>
        <v>0</v>
      </c>
      <c r="G74" s="1"/>
      <c r="H74" s="1">
        <f>SUM(OSRRefH22_16x_0)</f>
        <v>4100</v>
      </c>
      <c r="I74" s="1"/>
      <c r="J74" s="5">
        <f t="shared" ref="J74:J77" si="49">IF(H$12=0,0,H74/H$12)</f>
        <v>0</v>
      </c>
      <c r="K74" s="1"/>
      <c r="L74" s="1">
        <f t="shared" ref="L74:L77" si="50">+D74-H74</f>
        <v>80.039999999999964</v>
      </c>
      <c r="M74" s="1"/>
      <c r="N74" s="5">
        <f t="shared" ref="N74:N77" si="51">IF(H74=0,0,L74/H74)</f>
        <v>1.9521951219512185E-2</v>
      </c>
      <c r="O74" s="14"/>
      <c r="P74" s="1">
        <f>SUM(OSRRefP22_16x_0)</f>
        <v>4180.04</v>
      </c>
      <c r="Q74" s="1"/>
      <c r="R74" s="5">
        <f t="shared" ref="R74:R77" si="52">IF(P$12=0,0,P74/P$12)</f>
        <v>0</v>
      </c>
      <c r="S74" s="1"/>
      <c r="T74" s="1">
        <f>SUM(OSRRefT22_16x_0)</f>
        <v>4100</v>
      </c>
      <c r="U74" s="1"/>
      <c r="V74" s="5">
        <f t="shared" ref="V74:V77" si="53">IF(T$12=0,0,T74/T$12)</f>
        <v>0</v>
      </c>
      <c r="W74" s="1"/>
      <c r="X74" s="1">
        <f t="shared" ref="X74:X77" si="54">+P74-T74</f>
        <v>80.039999999999964</v>
      </c>
      <c r="Y74" s="1"/>
      <c r="Z74" s="5">
        <f t="shared" ref="Z74:Z77" si="55">IF(T74=0,0,X74/T74)</f>
        <v>1.9521951219512185E-2</v>
      </c>
    </row>
    <row r="75" spans="1:26" s="24" customFormat="1" hidden="1" outlineLevel="2" x14ac:dyDescent="0.25">
      <c r="A75" s="29"/>
      <c r="B75" s="11" t="str">
        <f>CONCATENATE("          ", "6282", " - ", "JANITORIAL/EXTERMINATOR EXPENS")</f>
        <v xml:space="preserve">          6282 - JANITORIAL/EXTERMINATOR EXPENS</v>
      </c>
      <c r="C75" s="11"/>
      <c r="D75" s="7">
        <v>222.5</v>
      </c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222.5</v>
      </c>
      <c r="M75" s="2"/>
      <c r="N75" s="6">
        <f t="shared" si="51"/>
        <v>0</v>
      </c>
      <c r="O75" s="11"/>
      <c r="P75" s="7">
        <v>222.5</v>
      </c>
      <c r="Q75" s="2"/>
      <c r="R75" s="6">
        <f t="shared" si="52"/>
        <v>0</v>
      </c>
      <c r="S75" s="2"/>
      <c r="T75" s="7"/>
      <c r="U75" s="2"/>
      <c r="V75" s="6">
        <f t="shared" si="53"/>
        <v>0</v>
      </c>
      <c r="W75" s="2"/>
      <c r="X75" s="7">
        <f t="shared" si="54"/>
        <v>222.5</v>
      </c>
      <c r="Y75" s="2"/>
      <c r="Z75" s="6">
        <f t="shared" si="55"/>
        <v>0</v>
      </c>
    </row>
    <row r="76" spans="1:26" s="24" customFormat="1" hidden="1" outlineLevel="2" x14ac:dyDescent="0.25">
      <c r="A76" s="29"/>
      <c r="B76" s="11" t="str">
        <f>CONCATENATE("          ", "6283", " - ", "PLANT SERVICE")</f>
        <v xml:space="preserve">          6283 - PLANT SERVICE</v>
      </c>
      <c r="C76" s="11"/>
      <c r="D76" s="7">
        <v>121.11</v>
      </c>
      <c r="E76" s="2"/>
      <c r="F76" s="6">
        <f t="shared" si="48"/>
        <v>0</v>
      </c>
      <c r="G76" s="2"/>
      <c r="H76" s="7"/>
      <c r="I76" s="2"/>
      <c r="J76" s="6">
        <f t="shared" si="49"/>
        <v>0</v>
      </c>
      <c r="K76" s="2"/>
      <c r="L76" s="7">
        <f t="shared" si="50"/>
        <v>121.11</v>
      </c>
      <c r="M76" s="2"/>
      <c r="N76" s="6">
        <f t="shared" si="51"/>
        <v>0</v>
      </c>
      <c r="O76" s="11"/>
      <c r="P76" s="7">
        <v>121.11</v>
      </c>
      <c r="Q76" s="2"/>
      <c r="R76" s="6">
        <f t="shared" si="52"/>
        <v>0</v>
      </c>
      <c r="S76" s="2"/>
      <c r="T76" s="7"/>
      <c r="U76" s="2"/>
      <c r="V76" s="6">
        <f t="shared" si="53"/>
        <v>0</v>
      </c>
      <c r="W76" s="2"/>
      <c r="X76" s="7">
        <f t="shared" si="54"/>
        <v>121.11</v>
      </c>
      <c r="Y76" s="2"/>
      <c r="Z76" s="6">
        <f t="shared" si="55"/>
        <v>0</v>
      </c>
    </row>
    <row r="77" spans="1:26" s="24" customFormat="1" hidden="1" outlineLevel="2" x14ac:dyDescent="0.25">
      <c r="A77" s="29"/>
      <c r="B77" s="11" t="str">
        <f>CONCATENATE("          ", "6285", " - ", "JANITORIAL SERVICES")</f>
        <v xml:space="preserve">          6285 - JANITORIAL SERVICES</v>
      </c>
      <c r="C77" s="11"/>
      <c r="D77" s="7">
        <v>3836.43</v>
      </c>
      <c r="E77" s="2"/>
      <c r="F77" s="6">
        <f t="shared" si="48"/>
        <v>0</v>
      </c>
      <c r="G77" s="2"/>
      <c r="H77" s="7">
        <v>4100</v>
      </c>
      <c r="I77" s="2"/>
      <c r="J77" s="6">
        <f t="shared" si="49"/>
        <v>0</v>
      </c>
      <c r="K77" s="2"/>
      <c r="L77" s="7">
        <f t="shared" si="50"/>
        <v>-263.57000000000016</v>
      </c>
      <c r="M77" s="2"/>
      <c r="N77" s="6">
        <f t="shared" si="51"/>
        <v>-6.4285365853658571E-2</v>
      </c>
      <c r="O77" s="11"/>
      <c r="P77" s="7">
        <v>3836.43</v>
      </c>
      <c r="Q77" s="2"/>
      <c r="R77" s="6">
        <f t="shared" si="52"/>
        <v>0</v>
      </c>
      <c r="S77" s="2"/>
      <c r="T77" s="7">
        <v>4100</v>
      </c>
      <c r="U77" s="2"/>
      <c r="V77" s="6">
        <f t="shared" si="53"/>
        <v>0</v>
      </c>
      <c r="W77" s="2"/>
      <c r="X77" s="7">
        <f t="shared" si="54"/>
        <v>-263.57000000000016</v>
      </c>
      <c r="Y77" s="2"/>
      <c r="Z77" s="6">
        <f t="shared" si="55"/>
        <v>-6.4285365853658571E-2</v>
      </c>
    </row>
    <row r="78" spans="1:26" s="27" customFormat="1" outlineLevel="1" collapsed="1" x14ac:dyDescent="0.25">
      <c r="A78" s="28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SUM(OSRRefD22_17x_0)</f>
        <v>159.97999999999999</v>
      </c>
      <c r="E78" s="1"/>
      <c r="F78" s="5">
        <f t="shared" ref="F78:F80" si="56">IF(D$12=0,0,D78/D$12)</f>
        <v>0</v>
      </c>
      <c r="G78" s="1"/>
      <c r="H78" s="1">
        <f>SUM(OSRRefH22_17x_0)</f>
        <v>200</v>
      </c>
      <c r="I78" s="1"/>
      <c r="J78" s="5">
        <f t="shared" ref="J78:J80" si="57">IF(H$12=0,0,H78/H$12)</f>
        <v>0</v>
      </c>
      <c r="K78" s="1"/>
      <c r="L78" s="1">
        <f t="shared" ref="L78:L80" si="58">+D78-H78</f>
        <v>-40.02000000000001</v>
      </c>
      <c r="M78" s="1"/>
      <c r="N78" s="5">
        <f t="shared" ref="N78:N80" si="59">IF(H78=0,0,L78/H78)</f>
        <v>-0.20010000000000006</v>
      </c>
      <c r="O78" s="14"/>
      <c r="P78" s="1">
        <f>SUM(OSRRefP22_17x_0)</f>
        <v>159.97999999999999</v>
      </c>
      <c r="Q78" s="1"/>
      <c r="R78" s="5">
        <f t="shared" ref="R78:R80" si="60">IF(P$12=0,0,P78/P$12)</f>
        <v>0</v>
      </c>
      <c r="S78" s="1"/>
      <c r="T78" s="1">
        <f>SUM(OSRRefT22_17x_0)</f>
        <v>200</v>
      </c>
      <c r="U78" s="1"/>
      <c r="V78" s="5">
        <f t="shared" ref="V78:V80" si="61">IF(T$12=0,0,T78/T$12)</f>
        <v>0</v>
      </c>
      <c r="W78" s="1"/>
      <c r="X78" s="1">
        <f t="shared" ref="X78:X80" si="62">+P78-T78</f>
        <v>-40.02000000000001</v>
      </c>
      <c r="Y78" s="1"/>
      <c r="Z78" s="5">
        <f t="shared" ref="Z78:Z80" si="63">IF(T78=0,0,X78/T78)</f>
        <v>-0.20010000000000006</v>
      </c>
    </row>
    <row r="79" spans="1:26" s="24" customFormat="1" hidden="1" outlineLevel="2" x14ac:dyDescent="0.25">
      <c r="A79" s="29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56"/>
        <v>0</v>
      </c>
      <c r="G79" s="2"/>
      <c r="H79" s="7">
        <v>200</v>
      </c>
      <c r="I79" s="2"/>
      <c r="J79" s="6">
        <f t="shared" si="57"/>
        <v>0</v>
      </c>
      <c r="K79" s="2"/>
      <c r="L79" s="7">
        <f t="shared" si="58"/>
        <v>-200</v>
      </c>
      <c r="M79" s="2"/>
      <c r="N79" s="6">
        <f t="shared" si="59"/>
        <v>-1</v>
      </c>
      <c r="O79" s="11"/>
      <c r="P79" s="7"/>
      <c r="Q79" s="2"/>
      <c r="R79" s="6">
        <f t="shared" si="60"/>
        <v>0</v>
      </c>
      <c r="S79" s="2"/>
      <c r="T79" s="7">
        <v>200</v>
      </c>
      <c r="U79" s="2"/>
      <c r="V79" s="6">
        <f t="shared" si="61"/>
        <v>0</v>
      </c>
      <c r="W79" s="2"/>
      <c r="X79" s="7">
        <f t="shared" si="62"/>
        <v>-200</v>
      </c>
      <c r="Y79" s="2"/>
      <c r="Z79" s="6">
        <f t="shared" si="63"/>
        <v>-1</v>
      </c>
    </row>
    <row r="80" spans="1:26" s="24" customFormat="1" hidden="1" outlineLevel="2" x14ac:dyDescent="0.25">
      <c r="A80" s="29"/>
      <c r="B80" s="11" t="str">
        <f>CONCATENATE("          ", "6275", " - ", "SUBSCRIPTIONS")</f>
        <v xml:space="preserve">          6275 - SUBSCRIPTIONS</v>
      </c>
      <c r="C80" s="11"/>
      <c r="D80" s="7">
        <v>159.97999999999999</v>
      </c>
      <c r="E80" s="2"/>
      <c r="F80" s="6">
        <f t="shared" si="56"/>
        <v>0</v>
      </c>
      <c r="G80" s="2"/>
      <c r="H80" s="7"/>
      <c r="I80" s="2"/>
      <c r="J80" s="6">
        <f t="shared" si="57"/>
        <v>0</v>
      </c>
      <c r="K80" s="2"/>
      <c r="L80" s="7">
        <f t="shared" si="58"/>
        <v>159.97999999999999</v>
      </c>
      <c r="M80" s="2"/>
      <c r="N80" s="6">
        <f t="shared" si="59"/>
        <v>0</v>
      </c>
      <c r="O80" s="11"/>
      <c r="P80" s="7">
        <v>159.97999999999999</v>
      </c>
      <c r="Q80" s="2"/>
      <c r="R80" s="6">
        <f t="shared" si="60"/>
        <v>0</v>
      </c>
      <c r="S80" s="2"/>
      <c r="T80" s="7"/>
      <c r="U80" s="2"/>
      <c r="V80" s="6">
        <f t="shared" si="61"/>
        <v>0</v>
      </c>
      <c r="W80" s="2"/>
      <c r="X80" s="7">
        <f t="shared" si="62"/>
        <v>159.97999999999999</v>
      </c>
      <c r="Y80" s="2"/>
      <c r="Z80" s="6">
        <f t="shared" si="63"/>
        <v>0</v>
      </c>
    </row>
    <row r="81" spans="1:26" s="27" customFormat="1" outlineLevel="1" collapsed="1" x14ac:dyDescent="0.25">
      <c r="A81" s="28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SUM(OSRRefD22_18x_0)</f>
        <v>1401.8500000000001</v>
      </c>
      <c r="E81" s="1"/>
      <c r="F81" s="5">
        <f t="shared" ref="F81:F86" si="64">IF(D$12=0,0,D81/D$12)</f>
        <v>0</v>
      </c>
      <c r="G81" s="1"/>
      <c r="H81" s="1">
        <f>SUM(OSRRefH22_18x_0)</f>
        <v>4350</v>
      </c>
      <c r="I81" s="1"/>
      <c r="J81" s="5">
        <f t="shared" ref="J81:J86" si="65">IF(H$12=0,0,H81/H$12)</f>
        <v>0</v>
      </c>
      <c r="K81" s="1"/>
      <c r="L81" s="1">
        <f t="shared" ref="L81:L86" si="66">+D81-H81</f>
        <v>-2948.1499999999996</v>
      </c>
      <c r="M81" s="1"/>
      <c r="N81" s="5">
        <f t="shared" ref="N81:N86" si="67">IF(H81=0,0,L81/H81)</f>
        <v>-0.67773563218390798</v>
      </c>
      <c r="O81" s="14"/>
      <c r="P81" s="1">
        <f>SUM(OSRRefP22_18x_0)</f>
        <v>1401.8500000000001</v>
      </c>
      <c r="Q81" s="1"/>
      <c r="R81" s="5">
        <f t="shared" ref="R81:R86" si="68">IF(P$12=0,0,P81/P$12)</f>
        <v>0</v>
      </c>
      <c r="S81" s="1"/>
      <c r="T81" s="1">
        <f>SUM(OSRRefT22_18x_0)</f>
        <v>4350</v>
      </c>
      <c r="U81" s="1"/>
      <c r="V81" s="5">
        <f t="shared" ref="V81:V86" si="69">IF(T$12=0,0,T81/T$12)</f>
        <v>0</v>
      </c>
      <c r="W81" s="1"/>
      <c r="X81" s="1">
        <f t="shared" ref="X81:X86" si="70">+P81-T81</f>
        <v>-2948.1499999999996</v>
      </c>
      <c r="Y81" s="1"/>
      <c r="Z81" s="5">
        <f t="shared" ref="Z81:Z86" si="71">IF(T81=0,0,X81/T81)</f>
        <v>-0.67773563218390798</v>
      </c>
    </row>
    <row r="82" spans="1:26" s="24" customFormat="1" hidden="1" outlineLevel="2" x14ac:dyDescent="0.25">
      <c r="A82" s="29"/>
      <c r="B82" s="11" t="str">
        <f>CONCATENATE("          ", "6234", " - ", "EXPENDABLE SUPPLIES &amp; EQUIPMEN")</f>
        <v xml:space="preserve">          6234 - EXPENDABLE SUPPLIES &amp; EQUIPMEN</v>
      </c>
      <c r="C82" s="11"/>
      <c r="D82" s="7">
        <v>700.76</v>
      </c>
      <c r="E82" s="2"/>
      <c r="F82" s="6">
        <f t="shared" si="64"/>
        <v>0</v>
      </c>
      <c r="G82" s="2"/>
      <c r="H82" s="7"/>
      <c r="I82" s="2"/>
      <c r="J82" s="6">
        <f t="shared" si="65"/>
        <v>0</v>
      </c>
      <c r="K82" s="2"/>
      <c r="L82" s="7">
        <f t="shared" si="66"/>
        <v>700.76</v>
      </c>
      <c r="M82" s="2"/>
      <c r="N82" s="6">
        <f t="shared" si="67"/>
        <v>0</v>
      </c>
      <c r="O82" s="11"/>
      <c r="P82" s="7">
        <v>700.76</v>
      </c>
      <c r="Q82" s="2"/>
      <c r="R82" s="6">
        <f t="shared" si="68"/>
        <v>0</v>
      </c>
      <c r="S82" s="2"/>
      <c r="T82" s="7"/>
      <c r="U82" s="2"/>
      <c r="V82" s="6">
        <f t="shared" si="69"/>
        <v>0</v>
      </c>
      <c r="W82" s="2"/>
      <c r="X82" s="7">
        <f t="shared" si="70"/>
        <v>700.76</v>
      </c>
      <c r="Y82" s="2"/>
      <c r="Z82" s="6">
        <f t="shared" si="71"/>
        <v>0</v>
      </c>
    </row>
    <row r="83" spans="1:26" s="24" customFormat="1" hidden="1" outlineLevel="2" x14ac:dyDescent="0.25">
      <c r="A83" s="29"/>
      <c r="B83" s="11" t="str">
        <f>CONCATENATE("          ", "6237", " - ", "JANITORIAL SUPPLIES")</f>
        <v xml:space="preserve">          6237 - JANITORIAL SUPPLIES</v>
      </c>
      <c r="C83" s="11"/>
      <c r="D83" s="7">
        <v>448.83</v>
      </c>
      <c r="E83" s="2"/>
      <c r="F83" s="6">
        <f t="shared" si="64"/>
        <v>0</v>
      </c>
      <c r="G83" s="2"/>
      <c r="H83" s="7"/>
      <c r="I83" s="2"/>
      <c r="J83" s="6">
        <f t="shared" si="65"/>
        <v>0</v>
      </c>
      <c r="K83" s="2"/>
      <c r="L83" s="7">
        <f t="shared" si="66"/>
        <v>448.83</v>
      </c>
      <c r="M83" s="2"/>
      <c r="N83" s="6">
        <f t="shared" si="67"/>
        <v>0</v>
      </c>
      <c r="O83" s="11"/>
      <c r="P83" s="7">
        <v>448.83</v>
      </c>
      <c r="Q83" s="2"/>
      <c r="R83" s="6">
        <f t="shared" si="68"/>
        <v>0</v>
      </c>
      <c r="S83" s="2"/>
      <c r="T83" s="7"/>
      <c r="U83" s="2"/>
      <c r="V83" s="6">
        <f t="shared" si="69"/>
        <v>0</v>
      </c>
      <c r="W83" s="2"/>
      <c r="X83" s="7">
        <f t="shared" si="70"/>
        <v>448.83</v>
      </c>
      <c r="Y83" s="2"/>
      <c r="Z83" s="6">
        <f t="shared" si="71"/>
        <v>0</v>
      </c>
    </row>
    <row r="84" spans="1:26" s="24" customFormat="1" hidden="1" outlineLevel="2" x14ac:dyDescent="0.25">
      <c r="A84" s="29"/>
      <c r="B84" s="11" t="str">
        <f>CONCATENATE("          ", "6241", " - ", "OFFICE EXPENSE")</f>
        <v xml:space="preserve">          6241 - OFFICE EXPENSE</v>
      </c>
      <c r="C84" s="11"/>
      <c r="D84" s="7">
        <v>350.12</v>
      </c>
      <c r="E84" s="2"/>
      <c r="F84" s="6">
        <f t="shared" si="64"/>
        <v>0</v>
      </c>
      <c r="G84" s="2"/>
      <c r="H84" s="7"/>
      <c r="I84" s="2"/>
      <c r="J84" s="6">
        <f t="shared" si="65"/>
        <v>0</v>
      </c>
      <c r="K84" s="2"/>
      <c r="L84" s="7">
        <f t="shared" si="66"/>
        <v>350.12</v>
      </c>
      <c r="M84" s="2"/>
      <c r="N84" s="6">
        <f t="shared" si="67"/>
        <v>0</v>
      </c>
      <c r="O84" s="11"/>
      <c r="P84" s="7">
        <v>350.12</v>
      </c>
      <c r="Q84" s="2"/>
      <c r="R84" s="6">
        <f t="shared" si="68"/>
        <v>0</v>
      </c>
      <c r="S84" s="2"/>
      <c r="T84" s="7"/>
      <c r="U84" s="2"/>
      <c r="V84" s="6">
        <f t="shared" si="69"/>
        <v>0</v>
      </c>
      <c r="W84" s="2"/>
      <c r="X84" s="7">
        <f t="shared" si="70"/>
        <v>350.12</v>
      </c>
      <c r="Y84" s="2"/>
      <c r="Z84" s="6">
        <f t="shared" si="71"/>
        <v>0</v>
      </c>
    </row>
    <row r="85" spans="1:26" s="24" customFormat="1" hidden="1" outlineLevel="2" x14ac:dyDescent="0.25">
      <c r="A85" s="29"/>
      <c r="B85" s="11" t="str">
        <f>CONCATENATE("          ", "6247", " - ", "STORE SUPPLIES")</f>
        <v xml:space="preserve">          6247 - STORE SUPPLIES</v>
      </c>
      <c r="C85" s="11"/>
      <c r="D85" s="7">
        <v>-97.86</v>
      </c>
      <c r="E85" s="2"/>
      <c r="F85" s="6">
        <f t="shared" si="64"/>
        <v>0</v>
      </c>
      <c r="G85" s="2"/>
      <c r="H85" s="7">
        <v>3350</v>
      </c>
      <c r="I85" s="2"/>
      <c r="J85" s="6">
        <f t="shared" si="65"/>
        <v>0</v>
      </c>
      <c r="K85" s="2"/>
      <c r="L85" s="7">
        <f t="shared" si="66"/>
        <v>-3447.86</v>
      </c>
      <c r="M85" s="2"/>
      <c r="N85" s="6">
        <f t="shared" si="67"/>
        <v>-1.0292119402985076</v>
      </c>
      <c r="O85" s="11"/>
      <c r="P85" s="7">
        <v>-97.86</v>
      </c>
      <c r="Q85" s="2"/>
      <c r="R85" s="6">
        <f t="shared" si="68"/>
        <v>0</v>
      </c>
      <c r="S85" s="2"/>
      <c r="T85" s="7">
        <v>3350</v>
      </c>
      <c r="U85" s="2"/>
      <c r="V85" s="6">
        <f t="shared" si="69"/>
        <v>0</v>
      </c>
      <c r="W85" s="2"/>
      <c r="X85" s="7">
        <f t="shared" si="70"/>
        <v>-3447.86</v>
      </c>
      <c r="Y85" s="2"/>
      <c r="Z85" s="6">
        <f t="shared" si="71"/>
        <v>-1.0292119402985076</v>
      </c>
    </row>
    <row r="86" spans="1:26" s="24" customFormat="1" hidden="1" outlineLevel="2" x14ac:dyDescent="0.25">
      <c r="A86" s="29"/>
      <c r="B86" s="11" t="str">
        <f>CONCATENATE("          ", "6248", " - ", "UNIFORMS")</f>
        <v xml:space="preserve">          6248 - UNIFORMS</v>
      </c>
      <c r="C86" s="11"/>
      <c r="D86" s="7"/>
      <c r="E86" s="2"/>
      <c r="F86" s="6">
        <f t="shared" si="64"/>
        <v>0</v>
      </c>
      <c r="G86" s="2"/>
      <c r="H86" s="7">
        <v>1000</v>
      </c>
      <c r="I86" s="2"/>
      <c r="J86" s="6">
        <f t="shared" si="65"/>
        <v>0</v>
      </c>
      <c r="K86" s="2"/>
      <c r="L86" s="7">
        <f t="shared" si="66"/>
        <v>-1000</v>
      </c>
      <c r="M86" s="2"/>
      <c r="N86" s="6">
        <f t="shared" si="67"/>
        <v>-1</v>
      </c>
      <c r="O86" s="11"/>
      <c r="P86" s="7"/>
      <c r="Q86" s="2"/>
      <c r="R86" s="6">
        <f t="shared" si="68"/>
        <v>0</v>
      </c>
      <c r="S86" s="2"/>
      <c r="T86" s="7">
        <v>1000</v>
      </c>
      <c r="U86" s="2"/>
      <c r="V86" s="6">
        <f t="shared" si="69"/>
        <v>0</v>
      </c>
      <c r="W86" s="2"/>
      <c r="X86" s="7">
        <f t="shared" si="70"/>
        <v>-1000</v>
      </c>
      <c r="Y86" s="2"/>
      <c r="Z86" s="6">
        <f t="shared" si="71"/>
        <v>-1</v>
      </c>
    </row>
    <row r="87" spans="1:26" s="27" customFormat="1" outlineLevel="1" collapsed="1" x14ac:dyDescent="0.25">
      <c r="A87" s="28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SUM(OSRRefD22_19x_0)</f>
        <v>397.36</v>
      </c>
      <c r="E87" s="1"/>
      <c r="F87" s="5">
        <f t="shared" ref="F87:F93" si="72">IF(D$12=0,0,D87/D$12)</f>
        <v>0</v>
      </c>
      <c r="G87" s="1"/>
      <c r="H87" s="1">
        <f>SUM(OSRRefH22_19x_0)</f>
        <v>500</v>
      </c>
      <c r="I87" s="1"/>
      <c r="J87" s="5">
        <f t="shared" ref="J87:J93" si="73">IF(H$12=0,0,H87/H$12)</f>
        <v>0</v>
      </c>
      <c r="K87" s="1"/>
      <c r="L87" s="1">
        <f t="shared" ref="L87:L93" si="74">+D87-H87</f>
        <v>-102.63999999999999</v>
      </c>
      <c r="M87" s="1"/>
      <c r="N87" s="5">
        <f t="shared" ref="N87:N93" si="75">IF(H87=0,0,L87/H87)</f>
        <v>-0.20527999999999996</v>
      </c>
      <c r="O87" s="14"/>
      <c r="P87" s="1">
        <f>SUM(OSRRefP22_19x_0)</f>
        <v>397.36</v>
      </c>
      <c r="Q87" s="1"/>
      <c r="R87" s="5">
        <f t="shared" ref="R87:R93" si="76">IF(P$12=0,0,P87/P$12)</f>
        <v>0</v>
      </c>
      <c r="S87" s="1"/>
      <c r="T87" s="1">
        <f>SUM(OSRRefT22_19x_0)</f>
        <v>500</v>
      </c>
      <c r="U87" s="1"/>
      <c r="V87" s="5">
        <f t="shared" ref="V87:V93" si="77">IF(T$12=0,0,T87/T$12)</f>
        <v>0</v>
      </c>
      <c r="W87" s="1"/>
      <c r="X87" s="1">
        <f t="shared" ref="X87:X93" si="78">+P87-T87</f>
        <v>-102.63999999999999</v>
      </c>
      <c r="Y87" s="1"/>
      <c r="Z87" s="5">
        <f t="shared" ref="Z87:Z93" si="79">IF(T87=0,0,X87/T87)</f>
        <v>-0.20527999999999996</v>
      </c>
    </row>
    <row r="88" spans="1:26" s="24" customFormat="1" hidden="1" outlineLevel="2" x14ac:dyDescent="0.25">
      <c r="A88" s="29"/>
      <c r="B88" s="11" t="str">
        <f>CONCATENATE("          ", "6309", " - ", "TELEPHONE")</f>
        <v xml:space="preserve">          6309 - TELEPHONE</v>
      </c>
      <c r="C88" s="11"/>
      <c r="D88" s="7">
        <v>397.36</v>
      </c>
      <c r="E88" s="2"/>
      <c r="F88" s="6">
        <f t="shared" si="72"/>
        <v>0</v>
      </c>
      <c r="G88" s="2"/>
      <c r="H88" s="7">
        <v>500</v>
      </c>
      <c r="I88" s="2"/>
      <c r="J88" s="6">
        <f t="shared" si="73"/>
        <v>0</v>
      </c>
      <c r="K88" s="2"/>
      <c r="L88" s="7">
        <f t="shared" si="74"/>
        <v>-102.63999999999999</v>
      </c>
      <c r="M88" s="2"/>
      <c r="N88" s="6">
        <f t="shared" si="75"/>
        <v>-0.20527999999999996</v>
      </c>
      <c r="O88" s="11"/>
      <c r="P88" s="7">
        <v>397.36</v>
      </c>
      <c r="Q88" s="2"/>
      <c r="R88" s="6">
        <f t="shared" si="76"/>
        <v>0</v>
      </c>
      <c r="S88" s="2"/>
      <c r="T88" s="7">
        <v>500</v>
      </c>
      <c r="U88" s="2"/>
      <c r="V88" s="6">
        <f t="shared" si="77"/>
        <v>0</v>
      </c>
      <c r="W88" s="2"/>
      <c r="X88" s="7">
        <f t="shared" si="78"/>
        <v>-102.63999999999999</v>
      </c>
      <c r="Y88" s="2"/>
      <c r="Z88" s="6">
        <f t="shared" si="79"/>
        <v>-0.20527999999999996</v>
      </c>
    </row>
    <row r="89" spans="1:26" s="27" customFormat="1" outlineLevel="1" collapsed="1" x14ac:dyDescent="0.25">
      <c r="A89" s="28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SUM(OSRRefD22_20x_0)</f>
        <v>171.56</v>
      </c>
      <c r="E89" s="1"/>
      <c r="F89" s="5">
        <f t="shared" si="72"/>
        <v>0</v>
      </c>
      <c r="G89" s="1"/>
      <c r="H89" s="1">
        <f>SUM(OSRRefH22_20x_0)</f>
        <v>1125</v>
      </c>
      <c r="I89" s="1"/>
      <c r="J89" s="5">
        <f t="shared" si="73"/>
        <v>0</v>
      </c>
      <c r="K89" s="1"/>
      <c r="L89" s="1">
        <f t="shared" si="74"/>
        <v>-953.44</v>
      </c>
      <c r="M89" s="1"/>
      <c r="N89" s="5">
        <f t="shared" si="75"/>
        <v>-0.84750222222222227</v>
      </c>
      <c r="O89" s="14"/>
      <c r="P89" s="1">
        <f>SUM(OSRRefP22_20x_0)</f>
        <v>171.56</v>
      </c>
      <c r="Q89" s="1"/>
      <c r="R89" s="5">
        <f t="shared" si="76"/>
        <v>0</v>
      </c>
      <c r="S89" s="1"/>
      <c r="T89" s="1">
        <f>SUM(OSRRefT22_20x_0)</f>
        <v>1125</v>
      </c>
      <c r="U89" s="1"/>
      <c r="V89" s="5">
        <f t="shared" si="77"/>
        <v>0</v>
      </c>
      <c r="W89" s="1"/>
      <c r="X89" s="1">
        <f t="shared" si="78"/>
        <v>-953.44</v>
      </c>
      <c r="Y89" s="1"/>
      <c r="Z89" s="5">
        <f t="shared" si="79"/>
        <v>-0.84750222222222227</v>
      </c>
    </row>
    <row r="90" spans="1:26" s="24" customFormat="1" hidden="1" outlineLevel="2" x14ac:dyDescent="0.25">
      <c r="A90" s="29"/>
      <c r="B90" s="11" t="str">
        <f>CONCATENATE("          ", "6376", " - ", "TRAINING")</f>
        <v xml:space="preserve">          6376 - TRAINING</v>
      </c>
      <c r="C90" s="11"/>
      <c r="D90" s="7">
        <v>171.56</v>
      </c>
      <c r="E90" s="2"/>
      <c r="F90" s="6">
        <f t="shared" si="72"/>
        <v>0</v>
      </c>
      <c r="G90" s="2"/>
      <c r="H90" s="7">
        <v>1125</v>
      </c>
      <c r="I90" s="2"/>
      <c r="J90" s="6">
        <f t="shared" si="73"/>
        <v>0</v>
      </c>
      <c r="K90" s="2"/>
      <c r="L90" s="7">
        <f t="shared" si="74"/>
        <v>-953.44</v>
      </c>
      <c r="M90" s="2"/>
      <c r="N90" s="6">
        <f t="shared" si="75"/>
        <v>-0.84750222222222227</v>
      </c>
      <c r="O90" s="11"/>
      <c r="P90" s="7">
        <v>171.56</v>
      </c>
      <c r="Q90" s="2"/>
      <c r="R90" s="6">
        <f t="shared" si="76"/>
        <v>0</v>
      </c>
      <c r="S90" s="2"/>
      <c r="T90" s="7">
        <v>1125</v>
      </c>
      <c r="U90" s="2"/>
      <c r="V90" s="6">
        <f t="shared" si="77"/>
        <v>0</v>
      </c>
      <c r="W90" s="2"/>
      <c r="X90" s="7">
        <f t="shared" si="78"/>
        <v>-953.44</v>
      </c>
      <c r="Y90" s="2"/>
      <c r="Z90" s="6">
        <f t="shared" si="79"/>
        <v>-0.84750222222222227</v>
      </c>
    </row>
    <row r="91" spans="1:26" s="27" customFormat="1" outlineLevel="1" collapsed="1" x14ac:dyDescent="0.25">
      <c r="A91" s="28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SUM(OSRRefD22_21x_0)</f>
        <v>221.68</v>
      </c>
      <c r="E91" s="1"/>
      <c r="F91" s="5">
        <f t="shared" si="72"/>
        <v>0</v>
      </c>
      <c r="G91" s="1"/>
      <c r="H91" s="1">
        <f>SUM(OSRRefH22_21x_0)</f>
        <v>0</v>
      </c>
      <c r="I91" s="1"/>
      <c r="J91" s="5">
        <f t="shared" si="73"/>
        <v>0</v>
      </c>
      <c r="K91" s="1"/>
      <c r="L91" s="1">
        <f t="shared" si="74"/>
        <v>221.68</v>
      </c>
      <c r="M91" s="1"/>
      <c r="N91" s="5">
        <f t="shared" si="75"/>
        <v>0</v>
      </c>
      <c r="O91" s="14"/>
      <c r="P91" s="1">
        <f>SUM(OSRRefP22_21x_0)</f>
        <v>221.68</v>
      </c>
      <c r="Q91" s="1"/>
      <c r="R91" s="5">
        <f t="shared" si="76"/>
        <v>0</v>
      </c>
      <c r="S91" s="1"/>
      <c r="T91" s="1">
        <f>SUM(OSRRefT22_21x_0)</f>
        <v>0</v>
      </c>
      <c r="U91" s="1"/>
      <c r="V91" s="5">
        <f t="shared" si="77"/>
        <v>0</v>
      </c>
      <c r="W91" s="1"/>
      <c r="X91" s="1">
        <f t="shared" si="78"/>
        <v>221.68</v>
      </c>
      <c r="Y91" s="1"/>
      <c r="Z91" s="5">
        <f t="shared" si="79"/>
        <v>0</v>
      </c>
    </row>
    <row r="92" spans="1:26" s="24" customFormat="1" hidden="1" outlineLevel="2" x14ac:dyDescent="0.25">
      <c r="A92" s="29"/>
      <c r="B92" s="11" t="str">
        <f>CONCATENATE("          ", "6292", " - ", "TRAVEL/CONFERENCE")</f>
        <v xml:space="preserve">          6292 - TRAVEL/CONFERENCE</v>
      </c>
      <c r="C92" s="11"/>
      <c r="D92" s="7">
        <v>150.47999999999999</v>
      </c>
      <c r="E92" s="2"/>
      <c r="F92" s="6">
        <f t="shared" si="72"/>
        <v>0</v>
      </c>
      <c r="G92" s="2"/>
      <c r="H92" s="7"/>
      <c r="I92" s="2"/>
      <c r="J92" s="6">
        <f t="shared" si="73"/>
        <v>0</v>
      </c>
      <c r="K92" s="2"/>
      <c r="L92" s="7">
        <f t="shared" si="74"/>
        <v>150.47999999999999</v>
      </c>
      <c r="M92" s="2"/>
      <c r="N92" s="6">
        <f t="shared" si="75"/>
        <v>0</v>
      </c>
      <c r="O92" s="11"/>
      <c r="P92" s="7">
        <v>150.47999999999999</v>
      </c>
      <c r="Q92" s="2"/>
      <c r="R92" s="6">
        <f t="shared" si="76"/>
        <v>0</v>
      </c>
      <c r="S92" s="2"/>
      <c r="T92" s="7"/>
      <c r="U92" s="2"/>
      <c r="V92" s="6">
        <f t="shared" si="77"/>
        <v>0</v>
      </c>
      <c r="W92" s="2"/>
      <c r="X92" s="7">
        <f t="shared" si="78"/>
        <v>150.47999999999999</v>
      </c>
      <c r="Y92" s="2"/>
      <c r="Z92" s="6">
        <f t="shared" si="79"/>
        <v>0</v>
      </c>
    </row>
    <row r="93" spans="1:26" s="24" customFormat="1" hidden="1" outlineLevel="2" x14ac:dyDescent="0.25">
      <c r="A93" s="29"/>
      <c r="B93" s="11" t="str">
        <f>CONCATENATE("          ", "6298", " - ", "VEHICLE MILEAGE")</f>
        <v xml:space="preserve">          6298 - VEHICLE MILEAGE</v>
      </c>
      <c r="C93" s="11"/>
      <c r="D93" s="7">
        <v>71.2</v>
      </c>
      <c r="E93" s="2"/>
      <c r="F93" s="6">
        <f t="shared" si="72"/>
        <v>0</v>
      </c>
      <c r="G93" s="2"/>
      <c r="H93" s="7"/>
      <c r="I93" s="2"/>
      <c r="J93" s="6">
        <f t="shared" si="73"/>
        <v>0</v>
      </c>
      <c r="K93" s="2"/>
      <c r="L93" s="7">
        <f t="shared" si="74"/>
        <v>71.2</v>
      </c>
      <c r="M93" s="2"/>
      <c r="N93" s="6">
        <f t="shared" si="75"/>
        <v>0</v>
      </c>
      <c r="O93" s="11"/>
      <c r="P93" s="7">
        <v>71.2</v>
      </c>
      <c r="Q93" s="2"/>
      <c r="R93" s="6">
        <f t="shared" si="76"/>
        <v>0</v>
      </c>
      <c r="S93" s="2"/>
      <c r="T93" s="7"/>
      <c r="U93" s="2"/>
      <c r="V93" s="6">
        <f t="shared" si="77"/>
        <v>0</v>
      </c>
      <c r="W93" s="2"/>
      <c r="X93" s="7">
        <f t="shared" si="78"/>
        <v>71.2</v>
      </c>
      <c r="Y93" s="2"/>
      <c r="Z93" s="6">
        <f t="shared" si="79"/>
        <v>0</v>
      </c>
    </row>
    <row r="94" spans="1:26" s="27" customFormat="1" outlineLevel="1" collapsed="1" x14ac:dyDescent="0.25">
      <c r="A94" s="28"/>
      <c r="B94" s="14" t="str">
        <f>CONCATENATE("     ","Utilities                                         ")</f>
        <v xml:space="preserve">     Utilities                                         </v>
      </c>
      <c r="C94" s="14"/>
      <c r="D94" s="1">
        <f>SUM(OSRRefD22_22x_0)</f>
        <v>5593</v>
      </c>
      <c r="E94" s="1"/>
      <c r="F94" s="5">
        <f t="shared" ref="F94:F95" si="80">IF(D$12=0,0,D94/D$12)</f>
        <v>0</v>
      </c>
      <c r="G94" s="1"/>
      <c r="H94" s="1">
        <f>SUM(OSRRefH22_22x_0)</f>
        <v>5000</v>
      </c>
      <c r="I94" s="1"/>
      <c r="J94" s="5">
        <f t="shared" ref="J94:J95" si="81">IF(H$12=0,0,H94/H$12)</f>
        <v>0</v>
      </c>
      <c r="K94" s="1"/>
      <c r="L94" s="1">
        <f t="shared" ref="L94:L95" si="82">+D94-H94</f>
        <v>593</v>
      </c>
      <c r="M94" s="1"/>
      <c r="N94" s="5">
        <f t="shared" ref="N94:N95" si="83">IF(H94=0,0,L94/H94)</f>
        <v>0.1186</v>
      </c>
      <c r="O94" s="14"/>
      <c r="P94" s="1">
        <f>SUM(OSRRefP22_22x_0)</f>
        <v>5593</v>
      </c>
      <c r="Q94" s="1"/>
      <c r="R94" s="5">
        <f t="shared" ref="R94:R95" si="84">IF(P$12=0,0,P94/P$12)</f>
        <v>0</v>
      </c>
      <c r="S94" s="1"/>
      <c r="T94" s="1">
        <f>SUM(OSRRefT22_22x_0)</f>
        <v>5000</v>
      </c>
      <c r="U94" s="1"/>
      <c r="V94" s="5">
        <f t="shared" ref="V94:V95" si="85">IF(T$12=0,0,T94/T$12)</f>
        <v>0</v>
      </c>
      <c r="W94" s="1"/>
      <c r="X94" s="1">
        <f t="shared" ref="X94:X95" si="86">+P94-T94</f>
        <v>593</v>
      </c>
      <c r="Y94" s="1"/>
      <c r="Z94" s="5">
        <f t="shared" ref="Z94:Z95" si="87">IF(T94=0,0,X94/T94)</f>
        <v>0.1186</v>
      </c>
    </row>
    <row r="95" spans="1:26" s="24" customFormat="1" hidden="1" outlineLevel="2" x14ac:dyDescent="0.25">
      <c r="A95" s="29"/>
      <c r="B95" s="11" t="str">
        <f>CONCATENATE("          ", "6274", " - ", "UTILITIES")</f>
        <v xml:space="preserve">          6274 - UTILITIES</v>
      </c>
      <c r="C95" s="11"/>
      <c r="D95" s="7">
        <v>5593</v>
      </c>
      <c r="E95" s="2"/>
      <c r="F95" s="6">
        <f t="shared" si="80"/>
        <v>0</v>
      </c>
      <c r="G95" s="2"/>
      <c r="H95" s="7">
        <v>5000</v>
      </c>
      <c r="I95" s="2"/>
      <c r="J95" s="6">
        <f t="shared" si="81"/>
        <v>0</v>
      </c>
      <c r="K95" s="2"/>
      <c r="L95" s="7">
        <f t="shared" si="82"/>
        <v>593</v>
      </c>
      <c r="M95" s="2"/>
      <c r="N95" s="6">
        <f t="shared" si="83"/>
        <v>0.1186</v>
      </c>
      <c r="O95" s="11"/>
      <c r="P95" s="7">
        <v>5593</v>
      </c>
      <c r="Q95" s="2"/>
      <c r="R95" s="6">
        <f t="shared" si="84"/>
        <v>0</v>
      </c>
      <c r="S95" s="2"/>
      <c r="T95" s="7">
        <v>5000</v>
      </c>
      <c r="U95" s="2"/>
      <c r="V95" s="6">
        <f t="shared" si="85"/>
        <v>0</v>
      </c>
      <c r="W95" s="2"/>
      <c r="X95" s="7">
        <f t="shared" si="86"/>
        <v>593</v>
      </c>
      <c r="Y95" s="2"/>
      <c r="Z95" s="6">
        <f t="shared" si="87"/>
        <v>0.1186</v>
      </c>
    </row>
    <row r="96" spans="1:26" s="57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5" t="s">
        <v>0</v>
      </c>
      <c r="C97" s="10"/>
      <c r="D97" s="4">
        <f>SUM(OSRRefD25x_0)</f>
        <v>47466.83</v>
      </c>
      <c r="E97" s="4"/>
      <c r="F97" s="12">
        <f t="shared" ref="F97:F100" si="88">IF(D$12=0,0,D97/D$12)</f>
        <v>0</v>
      </c>
      <c r="G97" s="4"/>
      <c r="H97" s="4">
        <f>SUM(OSRRefH25x_0)</f>
        <v>24000</v>
      </c>
      <c r="I97" s="4"/>
      <c r="J97" s="12">
        <f t="shared" ref="J97:J100" si="89">IF(H$12=0,0,H97/H$12)</f>
        <v>0</v>
      </c>
      <c r="K97" s="4"/>
      <c r="L97" s="4">
        <f t="shared" ref="L97:L100" si="90">+D97-H97</f>
        <v>23466.83</v>
      </c>
      <c r="M97" s="4"/>
      <c r="N97" s="12">
        <f t="shared" ref="N97:N100" si="91">IF(H97=0,0,L97/H97)</f>
        <v>0.9777845833333334</v>
      </c>
      <c r="O97" s="10"/>
      <c r="P97" s="4">
        <f>SUM(OSRRefP25x_0)</f>
        <v>47466.83</v>
      </c>
      <c r="Q97" s="4"/>
      <c r="R97" s="12">
        <f t="shared" ref="R97:R100" si="92">IF(P$12=0,0,P97/P$12)</f>
        <v>0</v>
      </c>
      <c r="S97" s="4"/>
      <c r="T97" s="4">
        <f>SUM(OSRRefT25x_0)</f>
        <v>24000</v>
      </c>
      <c r="U97" s="4"/>
      <c r="V97" s="12">
        <f t="shared" ref="V97:V100" si="93">IF(T$12=0,0,T97/T$12)</f>
        <v>0</v>
      </c>
      <c r="W97" s="4"/>
      <c r="X97" s="4">
        <f t="shared" ref="X97:X100" si="94">+P97-T97</f>
        <v>23466.83</v>
      </c>
      <c r="Y97" s="4"/>
      <c r="Z97" s="12">
        <f t="shared" ref="Z97:Z100" si="95">IF(T97=0,0,X97/T97)</f>
        <v>0.9777845833333334</v>
      </c>
    </row>
    <row r="98" spans="1:26" s="24" customFormat="1" hidden="1" outlineLevel="1" x14ac:dyDescent="0.25">
      <c r="A98" s="51"/>
      <c r="B98" s="11" t="str">
        <f>CONCATENATE("          ", "9150", " - ", "MISC. INCOME")</f>
        <v xml:space="preserve">          9150 - MISC. INCOME</v>
      </c>
      <c r="C98" s="11"/>
      <c r="D98" s="2">
        <f>--47561.32</f>
        <v>47561.32</v>
      </c>
      <c r="E98" s="2"/>
      <c r="F98" s="22">
        <f t="shared" si="88"/>
        <v>0</v>
      </c>
      <c r="G98" s="2"/>
      <c r="H98" s="2">
        <v>21500</v>
      </c>
      <c r="I98" s="2"/>
      <c r="J98" s="22">
        <f t="shared" si="89"/>
        <v>0</v>
      </c>
      <c r="K98" s="2"/>
      <c r="L98" s="2">
        <f t="shared" si="90"/>
        <v>26061.32</v>
      </c>
      <c r="M98" s="2"/>
      <c r="N98" s="22">
        <f t="shared" si="91"/>
        <v>1.2121544186046511</v>
      </c>
      <c r="O98" s="11"/>
      <c r="P98" s="2">
        <f>--47561.32</f>
        <v>47561.32</v>
      </c>
      <c r="Q98" s="2"/>
      <c r="R98" s="22">
        <f t="shared" si="92"/>
        <v>0</v>
      </c>
      <c r="S98" s="2"/>
      <c r="T98" s="2">
        <v>21500</v>
      </c>
      <c r="U98" s="2"/>
      <c r="V98" s="22">
        <f t="shared" si="93"/>
        <v>0</v>
      </c>
      <c r="W98" s="2"/>
      <c r="X98" s="2">
        <f t="shared" si="94"/>
        <v>26061.32</v>
      </c>
      <c r="Y98" s="2"/>
      <c r="Z98" s="22">
        <f t="shared" si="95"/>
        <v>1.2121544186046511</v>
      </c>
    </row>
    <row r="99" spans="1:26" s="24" customFormat="1" hidden="1" outlineLevel="1" x14ac:dyDescent="0.25">
      <c r="A99" s="51"/>
      <c r="B99" s="11" t="str">
        <f>CONCATENATE("          ", "9151", " - ", "MISC. INCOME")</f>
        <v xml:space="preserve">          9151 - MISC. INCOME</v>
      </c>
      <c r="C99" s="11"/>
      <c r="D99" s="2">
        <f>-94.49</f>
        <v>-94.49</v>
      </c>
      <c r="E99" s="2"/>
      <c r="F99" s="22">
        <f t="shared" si="88"/>
        <v>0</v>
      </c>
      <c r="G99" s="2"/>
      <c r="H99" s="2">
        <v>500</v>
      </c>
      <c r="I99" s="2"/>
      <c r="J99" s="22">
        <f t="shared" si="89"/>
        <v>0</v>
      </c>
      <c r="K99" s="2"/>
      <c r="L99" s="2">
        <f t="shared" si="90"/>
        <v>-594.49</v>
      </c>
      <c r="M99" s="2"/>
      <c r="N99" s="22">
        <f t="shared" si="91"/>
        <v>-1.1889799999999999</v>
      </c>
      <c r="O99" s="11"/>
      <c r="P99" s="2">
        <f>-94.49</f>
        <v>-94.49</v>
      </c>
      <c r="Q99" s="2"/>
      <c r="R99" s="22">
        <f t="shared" si="92"/>
        <v>0</v>
      </c>
      <c r="S99" s="2"/>
      <c r="T99" s="2">
        <v>500</v>
      </c>
      <c r="U99" s="2"/>
      <c r="V99" s="22">
        <f t="shared" si="93"/>
        <v>0</v>
      </c>
      <c r="W99" s="2"/>
      <c r="X99" s="2">
        <f t="shared" si="94"/>
        <v>-594.49</v>
      </c>
      <c r="Y99" s="2"/>
      <c r="Z99" s="22">
        <f t="shared" si="95"/>
        <v>-1.1889799999999999</v>
      </c>
    </row>
    <row r="100" spans="1:26" s="24" customFormat="1" hidden="1" outlineLevel="1" x14ac:dyDescent="0.25">
      <c r="A100" s="51"/>
      <c r="B100" s="11" t="str">
        <f>CONCATENATE("          ", "9160", " - ", "MISC. INCOME")</f>
        <v xml:space="preserve">          9160 - MISC. INCOME</v>
      </c>
      <c r="C100" s="11"/>
      <c r="D100" s="2">
        <f>0</f>
        <v>0</v>
      </c>
      <c r="E100" s="2"/>
      <c r="F100" s="22">
        <f t="shared" si="88"/>
        <v>0</v>
      </c>
      <c r="G100" s="2"/>
      <c r="H100" s="2">
        <v>2000</v>
      </c>
      <c r="I100" s="2"/>
      <c r="J100" s="22">
        <f t="shared" si="89"/>
        <v>0</v>
      </c>
      <c r="K100" s="2"/>
      <c r="L100" s="2">
        <f t="shared" si="90"/>
        <v>-2000</v>
      </c>
      <c r="M100" s="2"/>
      <c r="N100" s="22">
        <f t="shared" si="91"/>
        <v>-1</v>
      </c>
      <c r="O100" s="11"/>
      <c r="P100" s="2">
        <f>0</f>
        <v>0</v>
      </c>
      <c r="Q100" s="2"/>
      <c r="R100" s="22">
        <f t="shared" si="92"/>
        <v>0</v>
      </c>
      <c r="S100" s="2"/>
      <c r="T100" s="2">
        <v>2000</v>
      </c>
      <c r="U100" s="2"/>
      <c r="V100" s="22">
        <f t="shared" si="93"/>
        <v>0</v>
      </c>
      <c r="W100" s="2"/>
      <c r="X100" s="2">
        <f t="shared" si="94"/>
        <v>-2000</v>
      </c>
      <c r="Y100" s="2"/>
      <c r="Z100" s="22">
        <f t="shared" si="95"/>
        <v>-1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6" t="s">
        <v>3</v>
      </c>
      <c r="C102" s="26"/>
      <c r="D102" s="21">
        <f>+D16-D18+D97</f>
        <v>-76976.229999999967</v>
      </c>
      <c r="E102" s="13"/>
      <c r="F102" s="19">
        <f>IF(D$12=0,0,D102/D$12)</f>
        <v>0</v>
      </c>
      <c r="G102" s="13"/>
      <c r="H102" s="21">
        <f>+H16-H18+H97</f>
        <v>-146319.30295545867</v>
      </c>
      <c r="I102" s="13"/>
      <c r="J102" s="19">
        <f>IF(H$12=0,0,H102/H$12)</f>
        <v>0</v>
      </c>
      <c r="K102" s="15"/>
      <c r="L102" s="21">
        <f>+D102-H102</f>
        <v>69343.072955458701</v>
      </c>
      <c r="M102" s="15"/>
      <c r="N102" s="19">
        <f>IF(H102=0,0,L102/H102)</f>
        <v>-0.4739160968841381</v>
      </c>
      <c r="O102" s="25"/>
      <c r="P102" s="21">
        <f>+P16-P18+P97</f>
        <v>-76976.229999999967</v>
      </c>
      <c r="Q102" s="13"/>
      <c r="R102" s="19">
        <f>IF(P$12=0,0,P102/P$12)</f>
        <v>0</v>
      </c>
      <c r="S102" s="13"/>
      <c r="T102" s="21">
        <f>+T16-T18+T97</f>
        <v>-146319.30295545867</v>
      </c>
      <c r="U102" s="13"/>
      <c r="V102" s="19">
        <f>IF(T$12=0,0,T102/T$12)</f>
        <v>0</v>
      </c>
      <c r="W102" s="15"/>
      <c r="X102" s="21">
        <f>+P102-T102</f>
        <v>69343.072955458701</v>
      </c>
      <c r="Y102" s="15"/>
      <c r="Z102" s="19">
        <f>IF(T102=0,0,X102/T102)</f>
        <v>-0.4739160968841381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/>
      <c r="E104" s="4"/>
      <c r="F104" s="12">
        <f>IF(D$12=0,0,D104/D$12)</f>
        <v>0</v>
      </c>
      <c r="G104" s="4"/>
      <c r="H104" s="4"/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/>
      <c r="Q104" s="4"/>
      <c r="R104" s="12">
        <f>IF(P$12=0,0,P104/P$12)</f>
        <v>0</v>
      </c>
      <c r="S104" s="4"/>
      <c r="T104" s="4"/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6" t="s">
        <v>4</v>
      </c>
      <c r="C106" s="26"/>
      <c r="D106" s="32">
        <f>+D102-D104</f>
        <v>-76976.229999999967</v>
      </c>
      <c r="E106" s="13"/>
      <c r="F106" s="31">
        <f>IF(D$12=0,0,D106/D$12)</f>
        <v>0</v>
      </c>
      <c r="G106" s="13"/>
      <c r="H106" s="32">
        <f>+H102-H104</f>
        <v>-146319.30295545867</v>
      </c>
      <c r="I106" s="13"/>
      <c r="J106" s="31">
        <f>IF(H$12=0,0,H106/H$12)</f>
        <v>0</v>
      </c>
      <c r="K106" s="15"/>
      <c r="L106" s="32">
        <f>D106-H106</f>
        <v>69343.072955458701</v>
      </c>
      <c r="M106" s="15"/>
      <c r="N106" s="31">
        <f>IF(H106=0,0,L106/H106)</f>
        <v>-0.4739160968841381</v>
      </c>
      <c r="O106" s="25"/>
      <c r="P106" s="32">
        <f>+P102-P104</f>
        <v>-76976.229999999967</v>
      </c>
      <c r="Q106" s="13"/>
      <c r="R106" s="31">
        <f>IF(P$12=0,0,P106/P$12)</f>
        <v>0</v>
      </c>
      <c r="S106" s="13"/>
      <c r="T106" s="32">
        <f>+T102-T104</f>
        <v>-146319.30295545867</v>
      </c>
      <c r="U106" s="13"/>
      <c r="V106" s="31">
        <f>IF(T$12=0,0,T106/T$12)</f>
        <v>0</v>
      </c>
      <c r="W106" s="15"/>
      <c r="X106" s="32">
        <f>P106-T106</f>
        <v>69343.072955458701</v>
      </c>
      <c r="Y106" s="15"/>
      <c r="Z106" s="31">
        <f>IF(T106=0,0,X106/T106)</f>
        <v>-0.4739160968841381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6" t="s">
        <v>5</v>
      </c>
      <c r="C109" s="26"/>
      <c r="D109" s="33">
        <f>SUM(D106:D108)</f>
        <v>-76976.229999999967</v>
      </c>
      <c r="E109" s="13"/>
      <c r="F109" s="34">
        <f>IF(D$12=0,0,D109/D$12)</f>
        <v>0</v>
      </c>
      <c r="G109" s="13"/>
      <c r="H109" s="33">
        <f>SUM(H106:H108)</f>
        <v>-146319.30295545867</v>
      </c>
      <c r="I109" s="13"/>
      <c r="J109" s="34">
        <f>IF(H$12=0,0,H109/H$12)</f>
        <v>0</v>
      </c>
      <c r="K109" s="15"/>
      <c r="L109" s="33">
        <f>+D109-H109</f>
        <v>69343.072955458701</v>
      </c>
      <c r="M109" s="15"/>
      <c r="N109" s="34">
        <f>IF(H109=0,0,L109/H109)</f>
        <v>-0.4739160968841381</v>
      </c>
      <c r="O109" s="25"/>
      <c r="P109" s="33">
        <f>SUM(P106:P108)</f>
        <v>-76976.229999999967</v>
      </c>
      <c r="Q109" s="13"/>
      <c r="R109" s="34">
        <f>IF(P$12=0,0,P109/P$12)</f>
        <v>0</v>
      </c>
      <c r="S109" s="13"/>
      <c r="T109" s="33">
        <f>SUM(T106:T108)</f>
        <v>-146319.30295545867</v>
      </c>
      <c r="U109" s="13"/>
      <c r="V109" s="34">
        <f>IF(T$12=0,0,T109/T$12)</f>
        <v>0</v>
      </c>
      <c r="W109" s="15"/>
      <c r="X109" s="33">
        <f>+P109-T109</f>
        <v>69343.072955458701</v>
      </c>
      <c r="Y109" s="15"/>
      <c r="Z109" s="34">
        <f>IF(T109=0,0,X109/T109)</f>
        <v>-0.4739160968841381</v>
      </c>
    </row>
    <row r="110" spans="1:26" ht="15.75" thickTop="1" x14ac:dyDescent="0.25">
      <c r="A110" s="9"/>
      <c r="C110" s="9"/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61">
        <v>43726.678537534724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56" t="s">
        <v>314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53"/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","306", " - ", "Warehouse")</f>
        <v>Department 306 - Warehouse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45953.89</v>
      </c>
      <c r="E18" s="20"/>
      <c r="F18" s="30">
        <f t="shared" ref="F18:F28" si="0">IF(D$12=0,0,D18/D$12)</f>
        <v>0</v>
      </c>
      <c r="G18" s="20"/>
      <c r="H18" s="20">
        <f>SUM(OSRRefH22x_0)</f>
        <v>48493.052372045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-2539.1623720450007</v>
      </c>
      <c r="M18" s="4"/>
      <c r="N18" s="30">
        <f t="shared" ref="N18:N28" si="3">IF(H18=0,0,L18/H18)</f>
        <v>-5.2361364109733015E-2</v>
      </c>
      <c r="O18" s="10"/>
      <c r="P18" s="20">
        <f>SUM(OSRRefP22x_0)</f>
        <v>45953.89</v>
      </c>
      <c r="Q18" s="20"/>
      <c r="R18" s="30">
        <f t="shared" ref="R18:R28" si="4">IF(P$12=0,0,P18/P$12)</f>
        <v>0</v>
      </c>
      <c r="S18" s="20"/>
      <c r="T18" s="20">
        <f>SUM(OSRRefT22x_0)</f>
        <v>48493.052372045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-2539.1623720450007</v>
      </c>
      <c r="Y18" s="4"/>
      <c r="Z18" s="30">
        <f t="shared" ref="Z18:Z28" si="7">IF(T18=0,0,X18/T18)</f>
        <v>-5.2361364109733015E-2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7662.29</v>
      </c>
      <c r="E19" s="1"/>
      <c r="F19" s="5">
        <f t="shared" si="0"/>
        <v>0</v>
      </c>
      <c r="G19" s="1"/>
      <c r="H19" s="1">
        <f>SUM(OSRRefH22_0x_0)</f>
        <v>7095.2084870449999</v>
      </c>
      <c r="I19" s="1"/>
      <c r="J19" s="5">
        <f t="shared" si="1"/>
        <v>0</v>
      </c>
      <c r="K19" s="1"/>
      <c r="L19" s="1">
        <f t="shared" si="2"/>
        <v>567.08151295500011</v>
      </c>
      <c r="M19" s="1"/>
      <c r="N19" s="5">
        <f t="shared" si="3"/>
        <v>7.992457360349918E-2</v>
      </c>
      <c r="O19" s="14"/>
      <c r="P19" s="1">
        <f>SUM(OSRRefP22_0x_0)</f>
        <v>7662.29</v>
      </c>
      <c r="Q19" s="1"/>
      <c r="R19" s="5">
        <f t="shared" si="4"/>
        <v>0</v>
      </c>
      <c r="S19" s="1"/>
      <c r="T19" s="1">
        <f>SUM(OSRRefT22_0x_0)</f>
        <v>7095.2084870449999</v>
      </c>
      <c r="U19" s="1"/>
      <c r="V19" s="5">
        <f t="shared" si="5"/>
        <v>0</v>
      </c>
      <c r="W19" s="1"/>
      <c r="X19" s="1">
        <f t="shared" si="6"/>
        <v>567.08151295500011</v>
      </c>
      <c r="Y19" s="1"/>
      <c r="Z19" s="5">
        <f t="shared" si="7"/>
        <v>7.992457360349918E-2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2351.12</v>
      </c>
      <c r="E20" s="2"/>
      <c r="F20" s="6">
        <f t="shared" si="0"/>
        <v>0</v>
      </c>
      <c r="G20" s="2"/>
      <c r="H20" s="7">
        <v>3167.350668645</v>
      </c>
      <c r="I20" s="2"/>
      <c r="J20" s="6">
        <f t="shared" si="1"/>
        <v>0</v>
      </c>
      <c r="K20" s="2"/>
      <c r="L20" s="7">
        <f t="shared" si="2"/>
        <v>-816.23066864500015</v>
      </c>
      <c r="M20" s="2"/>
      <c r="N20" s="6">
        <f t="shared" si="3"/>
        <v>-0.25770138959516775</v>
      </c>
      <c r="O20" s="11"/>
      <c r="P20" s="7">
        <v>2351.12</v>
      </c>
      <c r="Q20" s="2"/>
      <c r="R20" s="6">
        <f t="shared" si="4"/>
        <v>0</v>
      </c>
      <c r="S20" s="2"/>
      <c r="T20" s="7">
        <v>3167.350668645</v>
      </c>
      <c r="U20" s="2"/>
      <c r="V20" s="6">
        <f t="shared" si="5"/>
        <v>0</v>
      </c>
      <c r="W20" s="2"/>
      <c r="X20" s="7">
        <f t="shared" si="6"/>
        <v>-816.23066864500015</v>
      </c>
      <c r="Y20" s="2"/>
      <c r="Z20" s="6">
        <f t="shared" si="7"/>
        <v>-0.25770138959516775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602.78</v>
      </c>
      <c r="E21" s="2"/>
      <c r="F21" s="6">
        <f t="shared" si="0"/>
        <v>0</v>
      </c>
      <c r="G21" s="2"/>
      <c r="H21" s="7">
        <v>786.35388350000005</v>
      </c>
      <c r="I21" s="2"/>
      <c r="J21" s="6">
        <f t="shared" si="1"/>
        <v>0</v>
      </c>
      <c r="K21" s="2"/>
      <c r="L21" s="7">
        <f t="shared" si="2"/>
        <v>-183.57388350000008</v>
      </c>
      <c r="M21" s="2"/>
      <c r="N21" s="6">
        <f t="shared" si="3"/>
        <v>-0.23344945240548312</v>
      </c>
      <c r="O21" s="11"/>
      <c r="P21" s="7">
        <v>602.78</v>
      </c>
      <c r="Q21" s="2"/>
      <c r="R21" s="6">
        <f t="shared" si="4"/>
        <v>0</v>
      </c>
      <c r="S21" s="2"/>
      <c r="T21" s="7">
        <v>786.35388350000005</v>
      </c>
      <c r="U21" s="2"/>
      <c r="V21" s="6">
        <f t="shared" si="5"/>
        <v>0</v>
      </c>
      <c r="W21" s="2"/>
      <c r="X21" s="7">
        <f t="shared" si="6"/>
        <v>-183.57388350000008</v>
      </c>
      <c r="Y21" s="2"/>
      <c r="Z21" s="6">
        <f t="shared" si="7"/>
        <v>-0.23344945240548312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1949.27</v>
      </c>
      <c r="E22" s="2"/>
      <c r="F22" s="6">
        <f t="shared" si="0"/>
        <v>0</v>
      </c>
      <c r="G22" s="2"/>
      <c r="H22" s="7">
        <v>663</v>
      </c>
      <c r="I22" s="2"/>
      <c r="J22" s="6">
        <f t="shared" si="1"/>
        <v>0</v>
      </c>
      <c r="K22" s="2"/>
      <c r="L22" s="7">
        <f t="shared" si="2"/>
        <v>1286.27</v>
      </c>
      <c r="M22" s="2"/>
      <c r="N22" s="6">
        <f t="shared" si="3"/>
        <v>1.9400754147812971</v>
      </c>
      <c r="O22" s="11"/>
      <c r="P22" s="7">
        <v>1949.27</v>
      </c>
      <c r="Q22" s="2"/>
      <c r="R22" s="6">
        <f t="shared" si="4"/>
        <v>0</v>
      </c>
      <c r="S22" s="2"/>
      <c r="T22" s="7">
        <v>663</v>
      </c>
      <c r="U22" s="2"/>
      <c r="V22" s="6">
        <f t="shared" si="5"/>
        <v>0</v>
      </c>
      <c r="W22" s="2"/>
      <c r="X22" s="7">
        <f t="shared" si="6"/>
        <v>1286.27</v>
      </c>
      <c r="Y22" s="2"/>
      <c r="Z22" s="6">
        <f t="shared" si="7"/>
        <v>1.9400754147812971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82.49</v>
      </c>
      <c r="E23" s="2"/>
      <c r="F23" s="6">
        <f t="shared" si="0"/>
        <v>0</v>
      </c>
      <c r="G23" s="2"/>
      <c r="H23" s="7">
        <v>107.6063209</v>
      </c>
      <c r="I23" s="2"/>
      <c r="J23" s="6">
        <f t="shared" si="1"/>
        <v>0</v>
      </c>
      <c r="K23" s="2"/>
      <c r="L23" s="7">
        <f t="shared" si="2"/>
        <v>-25.116320900000005</v>
      </c>
      <c r="M23" s="2"/>
      <c r="N23" s="6">
        <f t="shared" si="3"/>
        <v>-0.23340934519395881</v>
      </c>
      <c r="O23" s="11"/>
      <c r="P23" s="7">
        <v>82.49</v>
      </c>
      <c r="Q23" s="2"/>
      <c r="R23" s="6">
        <f t="shared" si="4"/>
        <v>0</v>
      </c>
      <c r="S23" s="2"/>
      <c r="T23" s="7">
        <v>107.6063209</v>
      </c>
      <c r="U23" s="2"/>
      <c r="V23" s="6">
        <f t="shared" si="5"/>
        <v>0</v>
      </c>
      <c r="W23" s="2"/>
      <c r="X23" s="7">
        <f t="shared" si="6"/>
        <v>-25.116320900000005</v>
      </c>
      <c r="Y23" s="2"/>
      <c r="Z23" s="6">
        <f t="shared" si="7"/>
        <v>-0.23340934519395881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691.3</v>
      </c>
      <c r="E24" s="2"/>
      <c r="F24" s="6">
        <f t="shared" si="0"/>
        <v>0</v>
      </c>
      <c r="G24" s="2"/>
      <c r="H24" s="7">
        <v>872.66749900000002</v>
      </c>
      <c r="I24" s="2"/>
      <c r="J24" s="6">
        <f t="shared" si="1"/>
        <v>0</v>
      </c>
      <c r="K24" s="2"/>
      <c r="L24" s="7">
        <f t="shared" si="2"/>
        <v>-181.36749900000007</v>
      </c>
      <c r="M24" s="2"/>
      <c r="N24" s="6">
        <f t="shared" si="3"/>
        <v>-0.20783116044522251</v>
      </c>
      <c r="O24" s="11"/>
      <c r="P24" s="7">
        <v>691.3</v>
      </c>
      <c r="Q24" s="2"/>
      <c r="R24" s="6">
        <f t="shared" si="4"/>
        <v>0</v>
      </c>
      <c r="S24" s="2"/>
      <c r="T24" s="7">
        <v>872.66749900000002</v>
      </c>
      <c r="U24" s="2"/>
      <c r="V24" s="6">
        <f t="shared" si="5"/>
        <v>0</v>
      </c>
      <c r="W24" s="2"/>
      <c r="X24" s="7">
        <f t="shared" si="6"/>
        <v>-181.36749900000007</v>
      </c>
      <c r="Y24" s="2"/>
      <c r="Z24" s="6">
        <f t="shared" si="7"/>
        <v>-0.20783116044522251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483.05</v>
      </c>
      <c r="E26" s="2"/>
      <c r="F26" s="6">
        <f t="shared" si="0"/>
        <v>0</v>
      </c>
      <c r="G26" s="2"/>
      <c r="H26" s="7">
        <v>758.31075499999997</v>
      </c>
      <c r="I26" s="2"/>
      <c r="J26" s="6">
        <f t="shared" si="1"/>
        <v>0</v>
      </c>
      <c r="K26" s="2"/>
      <c r="L26" s="7">
        <f t="shared" si="2"/>
        <v>-275.26075499999996</v>
      </c>
      <c r="M26" s="2"/>
      <c r="N26" s="6">
        <f t="shared" si="3"/>
        <v>-0.36299202297348399</v>
      </c>
      <c r="O26" s="11"/>
      <c r="P26" s="7">
        <v>483.05</v>
      </c>
      <c r="Q26" s="2"/>
      <c r="R26" s="6">
        <f t="shared" si="4"/>
        <v>0</v>
      </c>
      <c r="S26" s="2"/>
      <c r="T26" s="7">
        <v>758.31075499999997</v>
      </c>
      <c r="U26" s="2"/>
      <c r="V26" s="6">
        <f t="shared" si="5"/>
        <v>0</v>
      </c>
      <c r="W26" s="2"/>
      <c r="X26" s="7">
        <f t="shared" si="6"/>
        <v>-275.26075499999996</v>
      </c>
      <c r="Y26" s="2"/>
      <c r="Z26" s="6">
        <f t="shared" si="7"/>
        <v>-0.36299202297348399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1253.07</v>
      </c>
      <c r="E27" s="2"/>
      <c r="F27" s="6">
        <f t="shared" si="0"/>
        <v>0</v>
      </c>
      <c r="G27" s="2"/>
      <c r="H27" s="7">
        <v>739.91935999999998</v>
      </c>
      <c r="I27" s="2"/>
      <c r="J27" s="6">
        <f t="shared" si="1"/>
        <v>0</v>
      </c>
      <c r="K27" s="2"/>
      <c r="L27" s="7">
        <f t="shared" si="2"/>
        <v>513.15063999999995</v>
      </c>
      <c r="M27" s="2"/>
      <c r="N27" s="6">
        <f t="shared" si="3"/>
        <v>0.69352238600703731</v>
      </c>
      <c r="O27" s="11"/>
      <c r="P27" s="7">
        <v>1253.07</v>
      </c>
      <c r="Q27" s="2"/>
      <c r="R27" s="6">
        <f t="shared" si="4"/>
        <v>0</v>
      </c>
      <c r="S27" s="2"/>
      <c r="T27" s="7">
        <v>739.91935999999998</v>
      </c>
      <c r="U27" s="2"/>
      <c r="V27" s="6">
        <f t="shared" si="5"/>
        <v>0</v>
      </c>
      <c r="W27" s="2"/>
      <c r="X27" s="7">
        <f t="shared" si="6"/>
        <v>513.15063999999995</v>
      </c>
      <c r="Y27" s="2"/>
      <c r="Z27" s="6">
        <f t="shared" si="7"/>
        <v>0.69352238600703731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249.21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249.21</v>
      </c>
      <c r="M28" s="2"/>
      <c r="N28" s="6">
        <f t="shared" si="3"/>
        <v>0</v>
      </c>
      <c r="O28" s="11"/>
      <c r="P28" s="7">
        <v>249.21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249.21</v>
      </c>
      <c r="Y28" s="2"/>
      <c r="Z28" s="6">
        <f t="shared" si="7"/>
        <v>0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37995.43</v>
      </c>
      <c r="E29" s="1"/>
      <c r="F29" s="5">
        <f t="shared" ref="F29:F39" si="8">IF(D$12=0,0,D29/D$12)</f>
        <v>0</v>
      </c>
      <c r="G29" s="1"/>
      <c r="H29" s="1">
        <f>SUM(OSRRefH22_1x_0)</f>
        <v>40222.843884999995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-2227.4138849999945</v>
      </c>
      <c r="M29" s="1"/>
      <c r="N29" s="5">
        <f t="shared" ref="N29:N39" si="11">IF(H29=0,0,L29/H29)</f>
        <v>-5.5376837385450198E-2</v>
      </c>
      <c r="O29" s="14"/>
      <c r="P29" s="1">
        <f>SUM(OSRRefP22_1x_0)</f>
        <v>37995.43</v>
      </c>
      <c r="Q29" s="1"/>
      <c r="R29" s="5">
        <f t="shared" ref="R29:R39" si="12">IF(P$12=0,0,P29/P$12)</f>
        <v>0</v>
      </c>
      <c r="S29" s="1"/>
      <c r="T29" s="1">
        <f>SUM(OSRRefT22_1x_0)</f>
        <v>40222.843884999995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-2227.4138849999945</v>
      </c>
      <c r="Y29" s="1"/>
      <c r="Z29" s="5">
        <f t="shared" ref="Z29:Z39" si="15">IF(T29=0,0,X29/T29)</f>
        <v>-5.5376837385450198E-2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4759.0938849999993</v>
      </c>
      <c r="I30" s="2"/>
      <c r="J30" s="6">
        <f t="shared" si="9"/>
        <v>0</v>
      </c>
      <c r="K30" s="2"/>
      <c r="L30" s="7">
        <f t="shared" si="10"/>
        <v>-4759.0938849999993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4759.0938849999993</v>
      </c>
      <c r="U30" s="2"/>
      <c r="V30" s="6">
        <f t="shared" si="13"/>
        <v>0</v>
      </c>
      <c r="W30" s="2"/>
      <c r="X30" s="7">
        <f t="shared" si="14"/>
        <v>-4759.0938849999993</v>
      </c>
      <c r="Y30" s="2"/>
      <c r="Z30" s="6">
        <f t="shared" si="15"/>
        <v>-1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9379.84</v>
      </c>
      <c r="E31" s="2"/>
      <c r="F31" s="6">
        <f t="shared" si="8"/>
        <v>0</v>
      </c>
      <c r="G31" s="2"/>
      <c r="H31" s="7">
        <v>4224</v>
      </c>
      <c r="I31" s="2"/>
      <c r="J31" s="6">
        <f t="shared" si="9"/>
        <v>0</v>
      </c>
      <c r="K31" s="2"/>
      <c r="L31" s="7">
        <f t="shared" si="10"/>
        <v>5155.84</v>
      </c>
      <c r="M31" s="2"/>
      <c r="N31" s="6">
        <f t="shared" si="11"/>
        <v>1.2206060606060607</v>
      </c>
      <c r="O31" s="11"/>
      <c r="P31" s="7">
        <v>9379.84</v>
      </c>
      <c r="Q31" s="2"/>
      <c r="R31" s="6">
        <f t="shared" si="12"/>
        <v>0</v>
      </c>
      <c r="S31" s="2"/>
      <c r="T31" s="7">
        <v>4224</v>
      </c>
      <c r="U31" s="2"/>
      <c r="V31" s="6">
        <f t="shared" si="13"/>
        <v>0</v>
      </c>
      <c r="W31" s="2"/>
      <c r="X31" s="7">
        <f t="shared" si="14"/>
        <v>5155.84</v>
      </c>
      <c r="Y31" s="2"/>
      <c r="Z31" s="6">
        <f t="shared" si="15"/>
        <v>1.2206060606060607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4326</v>
      </c>
      <c r="I33" s="2"/>
      <c r="J33" s="6">
        <f t="shared" si="9"/>
        <v>0</v>
      </c>
      <c r="K33" s="2"/>
      <c r="L33" s="7">
        <f t="shared" si="10"/>
        <v>-4326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4326</v>
      </c>
      <c r="U33" s="2"/>
      <c r="V33" s="6">
        <f t="shared" si="13"/>
        <v>0</v>
      </c>
      <c r="W33" s="2"/>
      <c r="X33" s="7">
        <f t="shared" si="14"/>
        <v>-4326</v>
      </c>
      <c r="Y33" s="2"/>
      <c r="Z33" s="6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2404.2800000000002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2404.2800000000002</v>
      </c>
      <c r="M34" s="2"/>
      <c r="N34" s="6">
        <f t="shared" si="11"/>
        <v>0</v>
      </c>
      <c r="O34" s="11"/>
      <c r="P34" s="7">
        <v>2404.2800000000002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2404.2800000000002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>
        <v>1785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1785</v>
      </c>
      <c r="M35" s="2"/>
      <c r="N35" s="6">
        <f t="shared" si="11"/>
        <v>0</v>
      </c>
      <c r="O35" s="11"/>
      <c r="P35" s="7">
        <v>1785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1785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24111.31</v>
      </c>
      <c r="E36" s="2"/>
      <c r="F36" s="6">
        <f t="shared" si="8"/>
        <v>0</v>
      </c>
      <c r="G36" s="2"/>
      <c r="H36" s="7">
        <v>26913.75</v>
      </c>
      <c r="I36" s="2"/>
      <c r="J36" s="6">
        <f t="shared" si="9"/>
        <v>0</v>
      </c>
      <c r="K36" s="2"/>
      <c r="L36" s="7">
        <f t="shared" si="10"/>
        <v>-2802.4399999999987</v>
      </c>
      <c r="M36" s="2"/>
      <c r="N36" s="6">
        <f t="shared" si="11"/>
        <v>-0.10412670103571589</v>
      </c>
      <c r="O36" s="11"/>
      <c r="P36" s="7">
        <v>24111.31</v>
      </c>
      <c r="Q36" s="2"/>
      <c r="R36" s="6">
        <f t="shared" si="12"/>
        <v>0</v>
      </c>
      <c r="S36" s="2"/>
      <c r="T36" s="7">
        <v>26913.75</v>
      </c>
      <c r="U36" s="2"/>
      <c r="V36" s="6">
        <f t="shared" si="13"/>
        <v>0</v>
      </c>
      <c r="W36" s="2"/>
      <c r="X36" s="7">
        <f t="shared" si="14"/>
        <v>-2802.4399999999987</v>
      </c>
      <c r="Y36" s="2"/>
      <c r="Z36" s="6">
        <f t="shared" si="15"/>
        <v>-0.10412670103571589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>
        <v>315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315</v>
      </c>
      <c r="M37" s="2"/>
      <c r="N37" s="6">
        <f t="shared" si="11"/>
        <v>0</v>
      </c>
      <c r="O37" s="11"/>
      <c r="P37" s="7">
        <v>315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315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138</v>
      </c>
      <c r="E40" s="1"/>
      <c r="F40" s="5">
        <f t="shared" ref="F40:F52" si="16">IF(D$12=0,0,D40/D$12)</f>
        <v>0</v>
      </c>
      <c r="G40" s="1"/>
      <c r="H40" s="1">
        <f>SUM(OSRRefH22_2x_0)</f>
        <v>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138</v>
      </c>
      <c r="M40" s="1"/>
      <c r="N40" s="5">
        <f t="shared" ref="N40:N52" si="19">IF(H40=0,0,L40/H40)</f>
        <v>0</v>
      </c>
      <c r="O40" s="14"/>
      <c r="P40" s="1">
        <f>SUM(OSRRefP22_2x_0)</f>
        <v>138</v>
      </c>
      <c r="Q40" s="1"/>
      <c r="R40" s="5">
        <f t="shared" ref="R40:R52" si="20">IF(P$12=0,0,P40/P$12)</f>
        <v>0</v>
      </c>
      <c r="S40" s="1"/>
      <c r="T40" s="1">
        <f>SUM(OSRRefT22_2x_0)</f>
        <v>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138</v>
      </c>
      <c r="Y40" s="1"/>
      <c r="Z40" s="5">
        <f t="shared" ref="Z40:Z52" si="23">IF(T40=0,0,X40/T40)</f>
        <v>0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>
        <v>138</v>
      </c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138</v>
      </c>
      <c r="M41" s="2"/>
      <c r="N41" s="6">
        <f t="shared" si="19"/>
        <v>0</v>
      </c>
      <c r="O41" s="11"/>
      <c r="P41" s="7">
        <v>138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138</v>
      </c>
      <c r="Y41" s="2"/>
      <c r="Z41" s="6">
        <f t="shared" si="23"/>
        <v>0</v>
      </c>
    </row>
    <row r="42" spans="1:26" s="27" customFormat="1" outlineLevel="1" collapsed="1" x14ac:dyDescent="0.25">
      <c r="A42" s="28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4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50</v>
      </c>
      <c r="U42" s="1"/>
      <c r="V42" s="5">
        <f t="shared" si="21"/>
        <v>0</v>
      </c>
      <c r="W42" s="1"/>
      <c r="X42" s="1">
        <f t="shared" si="22"/>
        <v>-50</v>
      </c>
      <c r="Y42" s="1"/>
      <c r="Z42" s="5">
        <f t="shared" si="23"/>
        <v>-1</v>
      </c>
    </row>
    <row r="43" spans="1:26" s="24" customFormat="1" hidden="1" outlineLevel="2" x14ac:dyDescent="0.25">
      <c r="A43" s="29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16"/>
        <v>0</v>
      </c>
      <c r="G43" s="2"/>
      <c r="H43" s="7">
        <v>50</v>
      </c>
      <c r="I43" s="2"/>
      <c r="J43" s="6">
        <f t="shared" si="17"/>
        <v>0</v>
      </c>
      <c r="K43" s="2"/>
      <c r="L43" s="7">
        <f t="shared" si="18"/>
        <v>-50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50</v>
      </c>
      <c r="U43" s="2"/>
      <c r="V43" s="6">
        <f t="shared" si="21"/>
        <v>0</v>
      </c>
      <c r="W43" s="2"/>
      <c r="X43" s="7">
        <f t="shared" si="22"/>
        <v>-50</v>
      </c>
      <c r="Y43" s="2"/>
      <c r="Z43" s="6">
        <f t="shared" si="23"/>
        <v>-1</v>
      </c>
    </row>
    <row r="44" spans="1:26" s="27" customFormat="1" outlineLevel="1" collapsed="1" x14ac:dyDescent="0.25">
      <c r="A44" s="28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-125</v>
      </c>
      <c r="M44" s="1"/>
      <c r="N44" s="5">
        <f t="shared" si="19"/>
        <v>-1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125</v>
      </c>
      <c r="U44" s="1"/>
      <c r="V44" s="5">
        <f t="shared" si="21"/>
        <v>0</v>
      </c>
      <c r="W44" s="1"/>
      <c r="X44" s="1">
        <f t="shared" si="22"/>
        <v>-125</v>
      </c>
      <c r="Y44" s="1"/>
      <c r="Z44" s="5">
        <f t="shared" si="23"/>
        <v>-1</v>
      </c>
    </row>
    <row r="45" spans="1:26" s="24" customFormat="1" hidden="1" outlineLevel="2" x14ac:dyDescent="0.25">
      <c r="A45" s="29"/>
      <c r="B45" s="11" t="str">
        <f>CONCATENATE("          ", "6351", " - ", "EQUIPMENT RENTAL")</f>
        <v xml:space="preserve">          6351 - EQUIPMENT RENTAL</v>
      </c>
      <c r="C45" s="11"/>
      <c r="D45" s="7"/>
      <c r="E45" s="2"/>
      <c r="F45" s="6">
        <f t="shared" si="16"/>
        <v>0</v>
      </c>
      <c r="G45" s="2"/>
      <c r="H45" s="7">
        <v>125</v>
      </c>
      <c r="I45" s="2"/>
      <c r="J45" s="6">
        <f t="shared" si="17"/>
        <v>0</v>
      </c>
      <c r="K45" s="2"/>
      <c r="L45" s="7">
        <f t="shared" si="18"/>
        <v>-125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125</v>
      </c>
      <c r="U45" s="2"/>
      <c r="V45" s="6">
        <f t="shared" si="21"/>
        <v>0</v>
      </c>
      <c r="W45" s="2"/>
      <c r="X45" s="7">
        <f t="shared" si="22"/>
        <v>-125</v>
      </c>
      <c r="Y45" s="2"/>
      <c r="Z45" s="6">
        <f t="shared" si="23"/>
        <v>-1</v>
      </c>
    </row>
    <row r="46" spans="1:26" s="27" customFormat="1" outlineLevel="1" collapsed="1" x14ac:dyDescent="0.25">
      <c r="A46" s="28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-10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10</v>
      </c>
      <c r="U46" s="1"/>
      <c r="V46" s="5">
        <f t="shared" si="21"/>
        <v>0</v>
      </c>
      <c r="W46" s="1"/>
      <c r="X46" s="1">
        <f t="shared" si="22"/>
        <v>-10</v>
      </c>
      <c r="Y46" s="1"/>
      <c r="Z46" s="5">
        <f t="shared" si="23"/>
        <v>-1</v>
      </c>
    </row>
    <row r="47" spans="1:26" s="24" customFormat="1" hidden="1" outlineLevel="2" x14ac:dyDescent="0.25">
      <c r="A47" s="29"/>
      <c r="B47" s="11" t="str">
        <f>CONCATENATE("          ", "6307", " - ", "POSTAGE")</f>
        <v xml:space="preserve">          6307 - POSTAGE</v>
      </c>
      <c r="C47" s="11"/>
      <c r="D47" s="7"/>
      <c r="E47" s="2"/>
      <c r="F47" s="6">
        <f t="shared" si="16"/>
        <v>0</v>
      </c>
      <c r="G47" s="2"/>
      <c r="H47" s="7">
        <v>10</v>
      </c>
      <c r="I47" s="2"/>
      <c r="J47" s="6">
        <f t="shared" si="17"/>
        <v>0</v>
      </c>
      <c r="K47" s="2"/>
      <c r="L47" s="7">
        <f t="shared" si="18"/>
        <v>-10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10</v>
      </c>
      <c r="U47" s="2"/>
      <c r="V47" s="6">
        <f t="shared" si="21"/>
        <v>0</v>
      </c>
      <c r="W47" s="2"/>
      <c r="X47" s="7">
        <f t="shared" si="22"/>
        <v>-10</v>
      </c>
      <c r="Y47" s="2"/>
      <c r="Z47" s="6">
        <f t="shared" si="23"/>
        <v>-1</v>
      </c>
    </row>
    <row r="48" spans="1:26" s="27" customFormat="1" outlineLevel="1" collapsed="1" x14ac:dyDescent="0.25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125</v>
      </c>
      <c r="I48" s="1"/>
      <c r="J48" s="5">
        <f t="shared" si="17"/>
        <v>0</v>
      </c>
      <c r="K48" s="1"/>
      <c r="L48" s="1">
        <f t="shared" si="18"/>
        <v>-125</v>
      </c>
      <c r="M48" s="1"/>
      <c r="N48" s="5">
        <f t="shared" si="19"/>
        <v>-1</v>
      </c>
      <c r="O48" s="14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125</v>
      </c>
      <c r="U48" s="1"/>
      <c r="V48" s="5">
        <f t="shared" si="21"/>
        <v>0</v>
      </c>
      <c r="W48" s="1"/>
      <c r="X48" s="1">
        <f t="shared" si="22"/>
        <v>-125</v>
      </c>
      <c r="Y48" s="1"/>
      <c r="Z48" s="5">
        <f t="shared" si="23"/>
        <v>-1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7"/>
      <c r="E49" s="2"/>
      <c r="F49" s="6">
        <f t="shared" si="16"/>
        <v>0</v>
      </c>
      <c r="G49" s="2"/>
      <c r="H49" s="7">
        <v>125</v>
      </c>
      <c r="I49" s="2"/>
      <c r="J49" s="6">
        <f t="shared" si="17"/>
        <v>0</v>
      </c>
      <c r="K49" s="2"/>
      <c r="L49" s="7">
        <f t="shared" si="18"/>
        <v>-125</v>
      </c>
      <c r="M49" s="2"/>
      <c r="N49" s="6">
        <f t="shared" si="19"/>
        <v>-1</v>
      </c>
      <c r="O49" s="11"/>
      <c r="P49" s="7"/>
      <c r="Q49" s="2"/>
      <c r="R49" s="6">
        <f t="shared" si="20"/>
        <v>0</v>
      </c>
      <c r="S49" s="2"/>
      <c r="T49" s="7">
        <v>125</v>
      </c>
      <c r="U49" s="2"/>
      <c r="V49" s="6">
        <f t="shared" si="21"/>
        <v>0</v>
      </c>
      <c r="W49" s="2"/>
      <c r="X49" s="7">
        <f t="shared" si="22"/>
        <v>-125</v>
      </c>
      <c r="Y49" s="2"/>
      <c r="Z49" s="6">
        <f t="shared" si="23"/>
        <v>-1</v>
      </c>
    </row>
    <row r="50" spans="1:26" s="27" customFormat="1" outlineLevel="1" collapsed="1" x14ac:dyDescent="0.25">
      <c r="A50" s="28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74.97</v>
      </c>
      <c r="E50" s="1"/>
      <c r="F50" s="5">
        <f t="shared" si="16"/>
        <v>0</v>
      </c>
      <c r="G50" s="1"/>
      <c r="H50" s="1">
        <f>SUM(OSRRefH22_7x_0)</f>
        <v>700</v>
      </c>
      <c r="I50" s="1"/>
      <c r="J50" s="5">
        <f t="shared" si="17"/>
        <v>0</v>
      </c>
      <c r="K50" s="1"/>
      <c r="L50" s="1">
        <f t="shared" si="18"/>
        <v>-625.03</v>
      </c>
      <c r="M50" s="1"/>
      <c r="N50" s="5">
        <f t="shared" si="19"/>
        <v>-0.89289999999999992</v>
      </c>
      <c r="O50" s="14"/>
      <c r="P50" s="1">
        <f>SUM(OSRRefP22_7x_0)</f>
        <v>74.97</v>
      </c>
      <c r="Q50" s="1"/>
      <c r="R50" s="5">
        <f t="shared" si="20"/>
        <v>0</v>
      </c>
      <c r="S50" s="1"/>
      <c r="T50" s="1">
        <f>SUM(OSRRefT22_7x_0)</f>
        <v>700</v>
      </c>
      <c r="U50" s="1"/>
      <c r="V50" s="5">
        <f t="shared" si="21"/>
        <v>0</v>
      </c>
      <c r="W50" s="1"/>
      <c r="X50" s="1">
        <f t="shared" si="22"/>
        <v>-625.03</v>
      </c>
      <c r="Y50" s="1"/>
      <c r="Z50" s="5">
        <f t="shared" si="23"/>
        <v>-0.89289999999999992</v>
      </c>
    </row>
    <row r="51" spans="1:26" s="24" customFormat="1" hidden="1" outlineLevel="2" x14ac:dyDescent="0.25">
      <c r="A51" s="29"/>
      <c r="B51" s="11" t="str">
        <f>CONCATENATE("          ", "6241", " - ", "OFFICE EXPENSE")</f>
        <v xml:space="preserve">          6241 - OFFICE EXPENSE</v>
      </c>
      <c r="C51" s="11"/>
      <c r="D51" s="7">
        <v>74.97</v>
      </c>
      <c r="E51" s="2"/>
      <c r="F51" s="6">
        <f t="shared" si="16"/>
        <v>0</v>
      </c>
      <c r="G51" s="2"/>
      <c r="H51" s="7">
        <v>400</v>
      </c>
      <c r="I51" s="2"/>
      <c r="J51" s="6">
        <f t="shared" si="17"/>
        <v>0</v>
      </c>
      <c r="K51" s="2"/>
      <c r="L51" s="7">
        <f t="shared" si="18"/>
        <v>-325.02999999999997</v>
      </c>
      <c r="M51" s="2"/>
      <c r="N51" s="6">
        <f t="shared" si="19"/>
        <v>-0.81257499999999994</v>
      </c>
      <c r="O51" s="11"/>
      <c r="P51" s="7">
        <v>74.97</v>
      </c>
      <c r="Q51" s="2"/>
      <c r="R51" s="6">
        <f t="shared" si="20"/>
        <v>0</v>
      </c>
      <c r="S51" s="2"/>
      <c r="T51" s="7">
        <v>400</v>
      </c>
      <c r="U51" s="2"/>
      <c r="V51" s="6">
        <f t="shared" si="21"/>
        <v>0</v>
      </c>
      <c r="W51" s="2"/>
      <c r="X51" s="7">
        <f t="shared" si="22"/>
        <v>-325.02999999999997</v>
      </c>
      <c r="Y51" s="2"/>
      <c r="Z51" s="6">
        <f t="shared" si="23"/>
        <v>-0.81257499999999994</v>
      </c>
    </row>
    <row r="52" spans="1:26" s="24" customFormat="1" hidden="1" outlineLevel="2" x14ac:dyDescent="0.25">
      <c r="A52" s="29"/>
      <c r="B52" s="11" t="str">
        <f>CONCATENATE("          ", "6247", " - ", "STORE SUPPLIES")</f>
        <v xml:space="preserve">          6247 - STORE SUPPLIES</v>
      </c>
      <c r="C52" s="11"/>
      <c r="D52" s="7"/>
      <c r="E52" s="2"/>
      <c r="F52" s="6">
        <f t="shared" si="16"/>
        <v>0</v>
      </c>
      <c r="G52" s="2"/>
      <c r="H52" s="7">
        <v>300</v>
      </c>
      <c r="I52" s="2"/>
      <c r="J52" s="6">
        <f t="shared" si="17"/>
        <v>0</v>
      </c>
      <c r="K52" s="2"/>
      <c r="L52" s="7">
        <f t="shared" si="18"/>
        <v>-300</v>
      </c>
      <c r="M52" s="2"/>
      <c r="N52" s="6">
        <f t="shared" si="19"/>
        <v>-1</v>
      </c>
      <c r="O52" s="11"/>
      <c r="P52" s="7"/>
      <c r="Q52" s="2"/>
      <c r="R52" s="6">
        <f t="shared" si="20"/>
        <v>0</v>
      </c>
      <c r="S52" s="2"/>
      <c r="T52" s="7">
        <v>300</v>
      </c>
      <c r="U52" s="2"/>
      <c r="V52" s="6">
        <f t="shared" si="21"/>
        <v>0</v>
      </c>
      <c r="W52" s="2"/>
      <c r="X52" s="7">
        <f t="shared" si="22"/>
        <v>-300</v>
      </c>
      <c r="Y52" s="2"/>
      <c r="Z52" s="6">
        <f t="shared" si="23"/>
        <v>-1</v>
      </c>
    </row>
    <row r="53" spans="1:26" s="27" customFormat="1" outlineLevel="1" collapsed="1" x14ac:dyDescent="0.25">
      <c r="A53" s="28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SUM(OSRRefD22_8x_0)</f>
        <v>83.2</v>
      </c>
      <c r="E53" s="1"/>
      <c r="F53" s="5">
        <f t="shared" ref="F53:F54" si="24">IF(D$12=0,0,D53/D$12)</f>
        <v>0</v>
      </c>
      <c r="G53" s="1"/>
      <c r="H53" s="1">
        <f>SUM(OSRRefH22_8x_0)</f>
        <v>165</v>
      </c>
      <c r="I53" s="1"/>
      <c r="J53" s="5">
        <f t="shared" ref="J53:J54" si="25">IF(H$12=0,0,H53/H$12)</f>
        <v>0</v>
      </c>
      <c r="K53" s="1"/>
      <c r="L53" s="1">
        <f t="shared" ref="L53:L54" si="26">+D53-H53</f>
        <v>-81.8</v>
      </c>
      <c r="M53" s="1"/>
      <c r="N53" s="5">
        <f t="shared" ref="N53:N54" si="27">IF(H53=0,0,L53/H53)</f>
        <v>-0.49575757575757573</v>
      </c>
      <c r="O53" s="14"/>
      <c r="P53" s="1">
        <f>SUM(OSRRefP22_8x_0)</f>
        <v>83.2</v>
      </c>
      <c r="Q53" s="1"/>
      <c r="R53" s="5">
        <f t="shared" ref="R53:R54" si="28">IF(P$12=0,0,P53/P$12)</f>
        <v>0</v>
      </c>
      <c r="S53" s="1"/>
      <c r="T53" s="1">
        <f>SUM(OSRRefT22_8x_0)</f>
        <v>165</v>
      </c>
      <c r="U53" s="1"/>
      <c r="V53" s="5">
        <f t="shared" ref="V53:V54" si="29">IF(T$12=0,0,T53/T$12)</f>
        <v>0</v>
      </c>
      <c r="W53" s="1"/>
      <c r="X53" s="1">
        <f t="shared" ref="X53:X54" si="30">+P53-T53</f>
        <v>-81.8</v>
      </c>
      <c r="Y53" s="1"/>
      <c r="Z53" s="5">
        <f t="shared" ref="Z53:Z54" si="31">IF(T53=0,0,X53/T53)</f>
        <v>-0.49575757575757573</v>
      </c>
    </row>
    <row r="54" spans="1:26" s="24" customFormat="1" hidden="1" outlineLevel="2" x14ac:dyDescent="0.25">
      <c r="A54" s="29"/>
      <c r="B54" s="11" t="str">
        <f>CONCATENATE("          ", "6309", " - ", "TELEPHONE")</f>
        <v xml:space="preserve">          6309 - TELEPHONE</v>
      </c>
      <c r="C54" s="11"/>
      <c r="D54" s="7">
        <v>83.2</v>
      </c>
      <c r="E54" s="2"/>
      <c r="F54" s="6">
        <f t="shared" si="24"/>
        <v>0</v>
      </c>
      <c r="G54" s="2"/>
      <c r="H54" s="7">
        <v>165</v>
      </c>
      <c r="I54" s="2"/>
      <c r="J54" s="6">
        <f t="shared" si="25"/>
        <v>0</v>
      </c>
      <c r="K54" s="2"/>
      <c r="L54" s="7">
        <f t="shared" si="26"/>
        <v>-81.8</v>
      </c>
      <c r="M54" s="2"/>
      <c r="N54" s="6">
        <f t="shared" si="27"/>
        <v>-0.49575757575757573</v>
      </c>
      <c r="O54" s="11"/>
      <c r="P54" s="7">
        <v>83.2</v>
      </c>
      <c r="Q54" s="2"/>
      <c r="R54" s="6">
        <f t="shared" si="28"/>
        <v>0</v>
      </c>
      <c r="S54" s="2"/>
      <c r="T54" s="7">
        <v>165</v>
      </c>
      <c r="U54" s="2"/>
      <c r="V54" s="6">
        <f t="shared" si="29"/>
        <v>0</v>
      </c>
      <c r="W54" s="2"/>
      <c r="X54" s="7">
        <f t="shared" si="30"/>
        <v>-81.8</v>
      </c>
      <c r="Y54" s="2"/>
      <c r="Z54" s="6">
        <f t="shared" si="31"/>
        <v>-0.49575757575757573</v>
      </c>
    </row>
    <row r="55" spans="1:26" s="57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5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6" t="s">
        <v>3</v>
      </c>
      <c r="C58" s="26"/>
      <c r="D58" s="21">
        <f>+D16-D18+D56</f>
        <v>-45953.89</v>
      </c>
      <c r="E58" s="13"/>
      <c r="F58" s="19">
        <f>IF(D$12=0,0,D58/D$12)</f>
        <v>0</v>
      </c>
      <c r="G58" s="13"/>
      <c r="H58" s="21">
        <f>+H16-H18+H56</f>
        <v>-48493.052372045</v>
      </c>
      <c r="I58" s="13"/>
      <c r="J58" s="19">
        <f>IF(H$12=0,0,H58/H$12)</f>
        <v>0</v>
      </c>
      <c r="K58" s="15"/>
      <c r="L58" s="21">
        <f>+D58-H58</f>
        <v>2539.1623720450007</v>
      </c>
      <c r="M58" s="15"/>
      <c r="N58" s="19">
        <f>IF(H58=0,0,L58/H58)</f>
        <v>-5.2361364109733015E-2</v>
      </c>
      <c r="O58" s="25"/>
      <c r="P58" s="21">
        <f>+P16-P18+P56</f>
        <v>-45953.89</v>
      </c>
      <c r="Q58" s="13"/>
      <c r="R58" s="19">
        <f>IF(P$12=0,0,P58/P$12)</f>
        <v>0</v>
      </c>
      <c r="S58" s="13"/>
      <c r="T58" s="21">
        <f>+T16-T18+T56</f>
        <v>-48493.052372045</v>
      </c>
      <c r="U58" s="13"/>
      <c r="V58" s="19">
        <f>IF(T$12=0,0,T58/T$12)</f>
        <v>0</v>
      </c>
      <c r="W58" s="15"/>
      <c r="X58" s="21">
        <f>+P58-T58</f>
        <v>2539.1623720450007</v>
      </c>
      <c r="Y58" s="15"/>
      <c r="Z58" s="19">
        <f>IF(T58=0,0,X58/T58)</f>
        <v>-5.2361364109733015E-2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14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6" t="s">
        <v>4</v>
      </c>
      <c r="C62" s="26"/>
      <c r="D62" s="32">
        <f>+D58-D60</f>
        <v>-45953.89</v>
      </c>
      <c r="E62" s="13"/>
      <c r="F62" s="31">
        <f>IF(D$12=0,0,D62/D$12)</f>
        <v>0</v>
      </c>
      <c r="G62" s="13"/>
      <c r="H62" s="32">
        <f>+H58-H60</f>
        <v>-48493.052372045</v>
      </c>
      <c r="I62" s="13"/>
      <c r="J62" s="31">
        <f>IF(H$12=0,0,H62/H$12)</f>
        <v>0</v>
      </c>
      <c r="K62" s="15"/>
      <c r="L62" s="32">
        <f>D62-H62</f>
        <v>2539.1623720450007</v>
      </c>
      <c r="M62" s="15"/>
      <c r="N62" s="31">
        <f>IF(H62=0,0,L62/H62)</f>
        <v>-5.2361364109733015E-2</v>
      </c>
      <c r="O62" s="25"/>
      <c r="P62" s="32">
        <f>+P58-P60</f>
        <v>-45953.89</v>
      </c>
      <c r="Q62" s="13"/>
      <c r="R62" s="31">
        <f>IF(P$12=0,0,P62/P$12)</f>
        <v>0</v>
      </c>
      <c r="S62" s="13"/>
      <c r="T62" s="32">
        <f>+T58-T60</f>
        <v>-48493.052372045</v>
      </c>
      <c r="U62" s="13"/>
      <c r="V62" s="31">
        <f>IF(T$12=0,0,T62/T$12)</f>
        <v>0</v>
      </c>
      <c r="W62" s="15"/>
      <c r="X62" s="32">
        <f>P62-T62</f>
        <v>2539.1623720450007</v>
      </c>
      <c r="Y62" s="15"/>
      <c r="Z62" s="31">
        <f>IF(T62=0,0,X62/T62)</f>
        <v>-5.2361364109733015E-2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6" t="s">
        <v>5</v>
      </c>
      <c r="C65" s="26"/>
      <c r="D65" s="33">
        <f>SUM(D62:D64)</f>
        <v>-45953.89</v>
      </c>
      <c r="E65" s="13"/>
      <c r="F65" s="34">
        <f>IF(D$12=0,0,D65/D$12)</f>
        <v>0</v>
      </c>
      <c r="G65" s="13"/>
      <c r="H65" s="33">
        <f>SUM(H62:H64)</f>
        <v>-48493.052372045</v>
      </c>
      <c r="I65" s="13"/>
      <c r="J65" s="34">
        <f>IF(H$12=0,0,H65/H$12)</f>
        <v>0</v>
      </c>
      <c r="K65" s="15"/>
      <c r="L65" s="33">
        <f>+D65-H65</f>
        <v>2539.1623720450007</v>
      </c>
      <c r="M65" s="15"/>
      <c r="N65" s="34">
        <f>IF(H65=0,0,L65/H65)</f>
        <v>-5.2361364109733015E-2</v>
      </c>
      <c r="O65" s="25"/>
      <c r="P65" s="33">
        <f>SUM(P62:P64)</f>
        <v>-45953.89</v>
      </c>
      <c r="Q65" s="13"/>
      <c r="R65" s="34">
        <f>IF(P$12=0,0,P65/P$12)</f>
        <v>0</v>
      </c>
      <c r="S65" s="13"/>
      <c r="T65" s="33">
        <f>SUM(T62:T64)</f>
        <v>-48493.052372045</v>
      </c>
      <c r="U65" s="13"/>
      <c r="V65" s="34">
        <f>IF(T$12=0,0,T65/T$12)</f>
        <v>0</v>
      </c>
      <c r="W65" s="15"/>
      <c r="X65" s="33">
        <f>+P65-T65</f>
        <v>2539.1623720450007</v>
      </c>
      <c r="Y65" s="15"/>
      <c r="Z65" s="34">
        <f>IF(T65=0,0,X65/T65)</f>
        <v>-5.2361364109733015E-2</v>
      </c>
    </row>
    <row r="66" spans="1:26" ht="15.75" thickTop="1" x14ac:dyDescent="0.25">
      <c r="A66" s="9"/>
      <c r="C66" s="9"/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6" x14ac:dyDescent="0.25">
      <c r="A67" s="9"/>
      <c r="B67" s="61">
        <v>43726.678595057871</v>
      </c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6" x14ac:dyDescent="0.25">
      <c r="A68" s="9"/>
      <c r="B68" s="56" t="s">
        <v>314</v>
      </c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25">
      <c r="A69" s="9"/>
      <c r="B69" s="53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306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18768.780000000006</v>
      </c>
      <c r="E12" s="4"/>
      <c r="F12" s="12"/>
      <c r="G12" s="4"/>
      <c r="H12" s="4">
        <f>SUM(OSRRefH13x_0)</f>
        <v>18273</v>
      </c>
      <c r="I12" s="4"/>
      <c r="J12" s="12"/>
      <c r="K12" s="4"/>
      <c r="L12" s="4">
        <f t="shared" ref="L12:L41" si="0">+D12-H12</f>
        <v>495.78000000000611</v>
      </c>
      <c r="M12" s="4"/>
      <c r="N12" s="12">
        <f t="shared" ref="N12:N41" si="1">IF(H12=0,0,L12/H12)</f>
        <v>2.7131833853226407E-2</v>
      </c>
      <c r="O12" s="10"/>
      <c r="P12" s="4">
        <f>SUM(OSRRefP13x_0)</f>
        <v>18768.780000000006</v>
      </c>
      <c r="Q12" s="4"/>
      <c r="R12" s="12"/>
      <c r="S12" s="4"/>
      <c r="T12" s="4">
        <f>SUM(OSRRefT13x_0)</f>
        <v>18273</v>
      </c>
      <c r="U12" s="4"/>
      <c r="V12" s="12"/>
      <c r="W12" s="4"/>
      <c r="X12" s="4">
        <f t="shared" ref="X12:X41" si="2">+P12-T12</f>
        <v>495.78000000000611</v>
      </c>
      <c r="Y12" s="4"/>
      <c r="Z12" s="12">
        <f t="shared" ref="Z12:Z41" si="3">IF(T12=0,0,X12/T12)</f>
        <v>2.7131833853226407E-2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16559</v>
      </c>
      <c r="I13" s="2"/>
      <c r="J13" s="22"/>
      <c r="K13" s="2"/>
      <c r="L13" s="2">
        <f t="shared" si="0"/>
        <v>-16559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16559</v>
      </c>
      <c r="U13" s="2"/>
      <c r="V13" s="22"/>
      <c r="W13" s="2"/>
      <c r="X13" s="2">
        <f t="shared" si="2"/>
        <v>-16559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--4.47</f>
        <v>4.47</v>
      </c>
      <c r="E14" s="2"/>
      <c r="F14" s="22"/>
      <c r="G14" s="2"/>
      <c r="H14" s="2"/>
      <c r="I14" s="2"/>
      <c r="J14" s="22"/>
      <c r="K14" s="2"/>
      <c r="L14" s="2">
        <f t="shared" si="0"/>
        <v>4.47</v>
      </c>
      <c r="M14" s="2"/>
      <c r="N14" s="22">
        <f t="shared" si="1"/>
        <v>0</v>
      </c>
      <c r="O14" s="11"/>
      <c r="P14" s="2">
        <f>--4.47</f>
        <v>4.47</v>
      </c>
      <c r="Q14" s="2"/>
      <c r="R14" s="22"/>
      <c r="S14" s="2"/>
      <c r="T14" s="2"/>
      <c r="U14" s="2"/>
      <c r="V14" s="22"/>
      <c r="W14" s="2"/>
      <c r="X14" s="2">
        <f t="shared" si="2"/>
        <v>4.47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"4025", " - ", "TAXABLE SALES-TEST FORMS")</f>
        <v xml:space="preserve">          4025 - TAXABLE SALES-TEST FORMS</v>
      </c>
      <c r="C15" s="11"/>
      <c r="D15" s="2">
        <f>--392.29</f>
        <v>392.29</v>
      </c>
      <c r="E15" s="2"/>
      <c r="F15" s="22"/>
      <c r="G15" s="2"/>
      <c r="H15" s="2"/>
      <c r="I15" s="2"/>
      <c r="J15" s="22"/>
      <c r="K15" s="2"/>
      <c r="L15" s="2">
        <f t="shared" si="0"/>
        <v>392.29</v>
      </c>
      <c r="M15" s="2"/>
      <c r="N15" s="22">
        <f t="shared" si="1"/>
        <v>0</v>
      </c>
      <c r="O15" s="11"/>
      <c r="P15" s="2">
        <f>--392.29</f>
        <v>392.29</v>
      </c>
      <c r="Q15" s="2"/>
      <c r="R15" s="22"/>
      <c r="S15" s="2"/>
      <c r="T15" s="2"/>
      <c r="U15" s="2"/>
      <c r="V15" s="22"/>
      <c r="W15" s="2"/>
      <c r="X15" s="2">
        <f t="shared" si="2"/>
        <v>392.29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--1896.95</f>
        <v>1896.95</v>
      </c>
      <c r="E16" s="2"/>
      <c r="F16" s="22"/>
      <c r="G16" s="2"/>
      <c r="H16" s="2"/>
      <c r="I16" s="2"/>
      <c r="J16" s="22"/>
      <c r="K16" s="2"/>
      <c r="L16" s="2">
        <f t="shared" si="0"/>
        <v>1896.95</v>
      </c>
      <c r="M16" s="2"/>
      <c r="N16" s="22">
        <f t="shared" si="1"/>
        <v>0</v>
      </c>
      <c r="O16" s="11"/>
      <c r="P16" s="2">
        <f>--1896.95</f>
        <v>1896.95</v>
      </c>
      <c r="Q16" s="2"/>
      <c r="R16" s="22"/>
      <c r="S16" s="2"/>
      <c r="T16" s="2"/>
      <c r="U16" s="2"/>
      <c r="V16" s="22"/>
      <c r="W16" s="2"/>
      <c r="X16" s="2">
        <f t="shared" si="2"/>
        <v>1896.95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--13150</f>
        <v>13150</v>
      </c>
      <c r="E17" s="2"/>
      <c r="F17" s="22"/>
      <c r="G17" s="2"/>
      <c r="H17" s="2"/>
      <c r="I17" s="2"/>
      <c r="J17" s="22"/>
      <c r="K17" s="2"/>
      <c r="L17" s="2">
        <f t="shared" si="0"/>
        <v>13150</v>
      </c>
      <c r="M17" s="2"/>
      <c r="N17" s="22">
        <f t="shared" si="1"/>
        <v>0</v>
      </c>
      <c r="O17" s="11"/>
      <c r="P17" s="2">
        <f>--13150</f>
        <v>13150</v>
      </c>
      <c r="Q17" s="2"/>
      <c r="R17" s="22"/>
      <c r="S17" s="2"/>
      <c r="T17" s="2"/>
      <c r="U17" s="2"/>
      <c r="V17" s="22"/>
      <c r="W17" s="2"/>
      <c r="X17" s="2">
        <f t="shared" si="2"/>
        <v>13150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"4028", " - ", "TAXABLE SALES-ART/TECH")</f>
        <v xml:space="preserve">          4028 - TAXABLE SALES-ART/TECH</v>
      </c>
      <c r="C18" s="11"/>
      <c r="D18" s="2">
        <f>--2284.16</f>
        <v>2284.16</v>
      </c>
      <c r="E18" s="2"/>
      <c r="F18" s="22"/>
      <c r="G18" s="2"/>
      <c r="H18" s="2"/>
      <c r="I18" s="2"/>
      <c r="J18" s="22"/>
      <c r="K18" s="2"/>
      <c r="L18" s="2">
        <f t="shared" si="0"/>
        <v>2284.16</v>
      </c>
      <c r="M18" s="2"/>
      <c r="N18" s="22">
        <f t="shared" si="1"/>
        <v>0</v>
      </c>
      <c r="O18" s="11"/>
      <c r="P18" s="2">
        <f>--2284.16</f>
        <v>2284.16</v>
      </c>
      <c r="Q18" s="2"/>
      <c r="R18" s="22"/>
      <c r="S18" s="2"/>
      <c r="T18" s="2"/>
      <c r="U18" s="2"/>
      <c r="V18" s="22"/>
      <c r="W18" s="2"/>
      <c r="X18" s="2">
        <f t="shared" si="2"/>
        <v>2284.16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"4031", " - ", "TAXABLE SALES-FOOD")</f>
        <v xml:space="preserve">          4031 - TAXABLE SALES-FOOD</v>
      </c>
      <c r="C19" s="11"/>
      <c r="D19" s="2">
        <f>--1.52</f>
        <v>1.52</v>
      </c>
      <c r="E19" s="2"/>
      <c r="F19" s="22"/>
      <c r="G19" s="2"/>
      <c r="H19" s="2"/>
      <c r="I19" s="2"/>
      <c r="J19" s="22"/>
      <c r="K19" s="2"/>
      <c r="L19" s="2">
        <f t="shared" si="0"/>
        <v>1.52</v>
      </c>
      <c r="M19" s="2"/>
      <c r="N19" s="22">
        <f t="shared" si="1"/>
        <v>0</v>
      </c>
      <c r="O19" s="11"/>
      <c r="P19" s="2">
        <f>--1.52</f>
        <v>1.52</v>
      </c>
      <c r="Q19" s="2"/>
      <c r="R19" s="22"/>
      <c r="S19" s="2"/>
      <c r="T19" s="2"/>
      <c r="U19" s="2"/>
      <c r="V19" s="22"/>
      <c r="W19" s="2"/>
      <c r="X19" s="2">
        <f t="shared" si="2"/>
        <v>1.52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"4032", " - ", "TAXABLE SALES-JUICE")</f>
        <v xml:space="preserve">          4032 - TAXABLE SALES-JUICE</v>
      </c>
      <c r="C20" s="11"/>
      <c r="D20" s="2">
        <f>--1.47</f>
        <v>1.47</v>
      </c>
      <c r="E20" s="2"/>
      <c r="F20" s="22"/>
      <c r="G20" s="2"/>
      <c r="H20" s="2"/>
      <c r="I20" s="2"/>
      <c r="J20" s="22"/>
      <c r="K20" s="2"/>
      <c r="L20" s="2">
        <f t="shared" si="0"/>
        <v>1.47</v>
      </c>
      <c r="M20" s="2"/>
      <c r="N20" s="22">
        <f t="shared" si="1"/>
        <v>0</v>
      </c>
      <c r="O20" s="11"/>
      <c r="P20" s="2">
        <f>--1.47</f>
        <v>1.47</v>
      </c>
      <c r="Q20" s="2"/>
      <c r="R20" s="22"/>
      <c r="S20" s="2"/>
      <c r="T20" s="2"/>
      <c r="U20" s="2"/>
      <c r="V20" s="22"/>
      <c r="W20" s="2"/>
      <c r="X20" s="2">
        <f t="shared" si="2"/>
        <v>1.47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"4033", " - ", "TAXABLE SALES-CANDY")</f>
        <v xml:space="preserve">          4033 - TAXABLE SALES-CANDY</v>
      </c>
      <c r="C21" s="11"/>
      <c r="D21" s="2">
        <f>--3.17</f>
        <v>3.17</v>
      </c>
      <c r="E21" s="2"/>
      <c r="F21" s="22"/>
      <c r="G21" s="2"/>
      <c r="H21" s="2"/>
      <c r="I21" s="2"/>
      <c r="J21" s="22"/>
      <c r="K21" s="2"/>
      <c r="L21" s="2">
        <f t="shared" si="0"/>
        <v>3.17</v>
      </c>
      <c r="M21" s="2"/>
      <c r="N21" s="22">
        <f t="shared" si="1"/>
        <v>0</v>
      </c>
      <c r="O21" s="11"/>
      <c r="P21" s="2">
        <f>--3.17</f>
        <v>3.17</v>
      </c>
      <c r="Q21" s="2"/>
      <c r="R21" s="22"/>
      <c r="S21" s="2"/>
      <c r="T21" s="2"/>
      <c r="U21" s="2"/>
      <c r="V21" s="22"/>
      <c r="W21" s="2"/>
      <c r="X21" s="2">
        <f t="shared" si="2"/>
        <v>3.17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"4034", " - ", "TAXABLE SALES-SODA")</f>
        <v xml:space="preserve">          4034 - TAXABLE SALES-SODA</v>
      </c>
      <c r="C22" s="11"/>
      <c r="D22" s="2">
        <f>--34.74</f>
        <v>34.74</v>
      </c>
      <c r="E22" s="2"/>
      <c r="F22" s="22"/>
      <c r="G22" s="2"/>
      <c r="H22" s="2"/>
      <c r="I22" s="2"/>
      <c r="J22" s="22"/>
      <c r="K22" s="2"/>
      <c r="L22" s="2">
        <f t="shared" si="0"/>
        <v>34.74</v>
      </c>
      <c r="M22" s="2"/>
      <c r="N22" s="22">
        <f t="shared" si="1"/>
        <v>0</v>
      </c>
      <c r="O22" s="11"/>
      <c r="P22" s="2">
        <f>--34.74</f>
        <v>34.74</v>
      </c>
      <c r="Q22" s="2"/>
      <c r="R22" s="22"/>
      <c r="S22" s="2"/>
      <c r="T22" s="2"/>
      <c r="U22" s="2"/>
      <c r="V22" s="22"/>
      <c r="W22" s="2"/>
      <c r="X22" s="2">
        <f t="shared" si="2"/>
        <v>34.74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--5.97</f>
        <v>5.97</v>
      </c>
      <c r="E23" s="2"/>
      <c r="F23" s="22"/>
      <c r="G23" s="2"/>
      <c r="H23" s="2"/>
      <c r="I23" s="2"/>
      <c r="J23" s="22"/>
      <c r="K23" s="2"/>
      <c r="L23" s="2">
        <f t="shared" si="0"/>
        <v>5.97</v>
      </c>
      <c r="M23" s="2"/>
      <c r="N23" s="22">
        <f t="shared" si="1"/>
        <v>0</v>
      </c>
      <c r="O23" s="11"/>
      <c r="P23" s="2">
        <f>--5.97</f>
        <v>5.97</v>
      </c>
      <c r="Q23" s="2"/>
      <c r="R23" s="22"/>
      <c r="S23" s="2"/>
      <c r="T23" s="2"/>
      <c r="U23" s="2"/>
      <c r="V23" s="22"/>
      <c r="W23" s="2"/>
      <c r="X23" s="2">
        <f t="shared" si="2"/>
        <v>5.97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"4037", " - ", "TAXABLE SALES-WATER")</f>
        <v xml:space="preserve">          4037 - TAXABLE SALES-WATER</v>
      </c>
      <c r="C24" s="11"/>
      <c r="D24" s="2">
        <f>--5.29</f>
        <v>5.29</v>
      </c>
      <c r="E24" s="2"/>
      <c r="F24" s="22"/>
      <c r="G24" s="2"/>
      <c r="H24" s="2"/>
      <c r="I24" s="2"/>
      <c r="J24" s="22"/>
      <c r="K24" s="2"/>
      <c r="L24" s="2">
        <f t="shared" si="0"/>
        <v>5.29</v>
      </c>
      <c r="M24" s="2"/>
      <c r="N24" s="22">
        <f t="shared" si="1"/>
        <v>0</v>
      </c>
      <c r="O24" s="11"/>
      <c r="P24" s="2">
        <f>--5.29</f>
        <v>5.29</v>
      </c>
      <c r="Q24" s="2"/>
      <c r="R24" s="22"/>
      <c r="S24" s="2"/>
      <c r="T24" s="2"/>
      <c r="U24" s="2"/>
      <c r="V24" s="22"/>
      <c r="W24" s="2"/>
      <c r="X24" s="2">
        <f t="shared" si="2"/>
        <v>5.29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"4081", " - ", "TAXABLE SALES-ELECTRONICS")</f>
        <v xml:space="preserve">          4081 - TAXABLE SALES-ELECTRONICS</v>
      </c>
      <c r="C25" s="11"/>
      <c r="D25" s="2">
        <f>--7.98</f>
        <v>7.98</v>
      </c>
      <c r="E25" s="2"/>
      <c r="F25" s="22"/>
      <c r="G25" s="2"/>
      <c r="H25" s="2"/>
      <c r="I25" s="2"/>
      <c r="J25" s="22"/>
      <c r="K25" s="2"/>
      <c r="L25" s="2">
        <f t="shared" si="0"/>
        <v>7.98</v>
      </c>
      <c r="M25" s="2"/>
      <c r="N25" s="22">
        <f t="shared" si="1"/>
        <v>0</v>
      </c>
      <c r="O25" s="11"/>
      <c r="P25" s="2">
        <f>--7.98</f>
        <v>7.98</v>
      </c>
      <c r="Q25" s="2"/>
      <c r="R25" s="22"/>
      <c r="S25" s="2"/>
      <c r="T25" s="2"/>
      <c r="U25" s="2"/>
      <c r="V25" s="22"/>
      <c r="W25" s="2"/>
      <c r="X25" s="2">
        <f t="shared" si="2"/>
        <v>7.98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"4082", " - ", "TAXABLE SALES-COMPUTER HARDWAR")</f>
        <v xml:space="preserve">          4082 - TAXABLE SALES-COMPUTER HARDWAR</v>
      </c>
      <c r="C26" s="11"/>
      <c r="D26" s="2">
        <f>--19</f>
        <v>19</v>
      </c>
      <c r="E26" s="2"/>
      <c r="F26" s="22"/>
      <c r="G26" s="2"/>
      <c r="H26" s="2"/>
      <c r="I26" s="2"/>
      <c r="J26" s="22"/>
      <c r="K26" s="2"/>
      <c r="L26" s="2">
        <f t="shared" si="0"/>
        <v>19</v>
      </c>
      <c r="M26" s="2"/>
      <c r="N26" s="22">
        <f t="shared" si="1"/>
        <v>0</v>
      </c>
      <c r="O26" s="11"/>
      <c r="P26" s="2">
        <f>--19</f>
        <v>19</v>
      </c>
      <c r="Q26" s="2"/>
      <c r="R26" s="22"/>
      <c r="S26" s="2"/>
      <c r="T26" s="2"/>
      <c r="U26" s="2"/>
      <c r="V26" s="22"/>
      <c r="W26" s="2"/>
      <c r="X26" s="2">
        <f t="shared" si="2"/>
        <v>19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"4086", " - ", "TAXABLE SALES-COMPUTER SUPPLIE")</f>
        <v xml:space="preserve">          4086 - TAXABLE SALES-COMPUTER SUPPLIE</v>
      </c>
      <c r="C27" s="11"/>
      <c r="D27" s="2">
        <f>--14.99</f>
        <v>14.99</v>
      </c>
      <c r="E27" s="2"/>
      <c r="F27" s="22"/>
      <c r="G27" s="2"/>
      <c r="H27" s="2"/>
      <c r="I27" s="2"/>
      <c r="J27" s="22"/>
      <c r="K27" s="2"/>
      <c r="L27" s="2">
        <f t="shared" si="0"/>
        <v>14.99</v>
      </c>
      <c r="M27" s="2"/>
      <c r="N27" s="22">
        <f t="shared" si="1"/>
        <v>0</v>
      </c>
      <c r="O27" s="11"/>
      <c r="P27" s="2">
        <f>--14.99</f>
        <v>14.99</v>
      </c>
      <c r="Q27" s="2"/>
      <c r="R27" s="22"/>
      <c r="S27" s="2"/>
      <c r="T27" s="2"/>
      <c r="U27" s="2"/>
      <c r="V27" s="22"/>
      <c r="W27" s="2"/>
      <c r="X27" s="2">
        <f t="shared" si="2"/>
        <v>14.99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"4100", " - ", "NON-TAXABLE SALES")</f>
        <v xml:space="preserve">          4100 - NON-TAXABLE SALES</v>
      </c>
      <c r="C28" s="11"/>
      <c r="D28" s="2">
        <f>0</f>
        <v>0</v>
      </c>
      <c r="E28" s="2"/>
      <c r="F28" s="22"/>
      <c r="G28" s="2"/>
      <c r="H28" s="2">
        <v>1714</v>
      </c>
      <c r="I28" s="2"/>
      <c r="J28" s="22"/>
      <c r="K28" s="2"/>
      <c r="L28" s="2">
        <f t="shared" si="0"/>
        <v>-1714</v>
      </c>
      <c r="M28" s="2"/>
      <c r="N28" s="22">
        <f t="shared" si="1"/>
        <v>-1</v>
      </c>
      <c r="O28" s="11"/>
      <c r="P28" s="2">
        <f>0</f>
        <v>0</v>
      </c>
      <c r="Q28" s="2"/>
      <c r="R28" s="22"/>
      <c r="S28" s="2"/>
      <c r="T28" s="2">
        <v>1714</v>
      </c>
      <c r="U28" s="2"/>
      <c r="V28" s="22"/>
      <c r="W28" s="2"/>
      <c r="X28" s="2">
        <f t="shared" si="2"/>
        <v>-1714</v>
      </c>
      <c r="Y28" s="2"/>
      <c r="Z28" s="22">
        <f t="shared" si="3"/>
        <v>-1</v>
      </c>
    </row>
    <row r="29" spans="1:26" s="24" customFormat="1" hidden="1" outlineLevel="1" x14ac:dyDescent="0.25">
      <c r="A29" s="51"/>
      <c r="B29" s="11" t="str">
        <f>CONCATENATE("          ", "4125", " - ", "NON-TAXABLE SALES-TEST FORMS")</f>
        <v xml:space="preserve">          4125 - NON-TAXABLE SALES-TEST FORMS</v>
      </c>
      <c r="C29" s="11"/>
      <c r="D29" s="2">
        <f>--4.98</f>
        <v>4.9800000000000004</v>
      </c>
      <c r="E29" s="2"/>
      <c r="F29" s="22"/>
      <c r="G29" s="2"/>
      <c r="H29" s="2"/>
      <c r="I29" s="2"/>
      <c r="J29" s="22"/>
      <c r="K29" s="2"/>
      <c r="L29" s="2">
        <f t="shared" si="0"/>
        <v>4.9800000000000004</v>
      </c>
      <c r="M29" s="2"/>
      <c r="N29" s="22">
        <f t="shared" si="1"/>
        <v>0</v>
      </c>
      <c r="O29" s="11"/>
      <c r="P29" s="2">
        <f>--4.98</f>
        <v>4.9800000000000004</v>
      </c>
      <c r="Q29" s="2"/>
      <c r="R29" s="22"/>
      <c r="S29" s="2"/>
      <c r="T29" s="2"/>
      <c r="U29" s="2"/>
      <c r="V29" s="22"/>
      <c r="W29" s="2"/>
      <c r="X29" s="2">
        <f t="shared" si="2"/>
        <v>4.9800000000000004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"4126", " - ", "NON-TAXABLE SALES-WRITING INST")</f>
        <v xml:space="preserve">          4126 - NON-TAXABLE SALES-WRITING INST</v>
      </c>
      <c r="C30" s="11"/>
      <c r="D30" s="2">
        <f>--167.03</f>
        <v>167.03</v>
      </c>
      <c r="E30" s="2"/>
      <c r="F30" s="22"/>
      <c r="G30" s="2"/>
      <c r="H30" s="2"/>
      <c r="I30" s="2"/>
      <c r="J30" s="22"/>
      <c r="K30" s="2"/>
      <c r="L30" s="2">
        <f t="shared" si="0"/>
        <v>167.03</v>
      </c>
      <c r="M30" s="2"/>
      <c r="N30" s="22">
        <f t="shared" si="1"/>
        <v>0</v>
      </c>
      <c r="O30" s="11"/>
      <c r="P30" s="2">
        <f>--167.03</f>
        <v>167.03</v>
      </c>
      <c r="Q30" s="2"/>
      <c r="R30" s="22"/>
      <c r="S30" s="2"/>
      <c r="T30" s="2"/>
      <c r="U30" s="2"/>
      <c r="V30" s="22"/>
      <c r="W30" s="2"/>
      <c r="X30" s="2">
        <f t="shared" si="2"/>
        <v>167.03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"4127", " - ", "NON-TAXABLE SALES-SCHOOL SUPPL")</f>
        <v xml:space="preserve">          4127 - NON-TAXABLE SALES-SCHOOL SUPPL</v>
      </c>
      <c r="C31" s="11"/>
      <c r="D31" s="2">
        <f>--177.89</f>
        <v>177.89</v>
      </c>
      <c r="E31" s="2"/>
      <c r="F31" s="22"/>
      <c r="G31" s="2"/>
      <c r="H31" s="2"/>
      <c r="I31" s="2"/>
      <c r="J31" s="22"/>
      <c r="K31" s="2"/>
      <c r="L31" s="2">
        <f t="shared" si="0"/>
        <v>177.89</v>
      </c>
      <c r="M31" s="2"/>
      <c r="N31" s="22">
        <f t="shared" si="1"/>
        <v>0</v>
      </c>
      <c r="O31" s="11"/>
      <c r="P31" s="2">
        <f>--177.89</f>
        <v>177.89</v>
      </c>
      <c r="Q31" s="2"/>
      <c r="R31" s="22"/>
      <c r="S31" s="2"/>
      <c r="T31" s="2"/>
      <c r="U31" s="2"/>
      <c r="V31" s="22"/>
      <c r="W31" s="2"/>
      <c r="X31" s="2">
        <f t="shared" si="2"/>
        <v>177.89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"4128", " - ", "NON-TAXABLE SALES-ART/TECH")</f>
        <v xml:space="preserve">          4128 - NON-TAXABLE SALES-ART/TECH</v>
      </c>
      <c r="C32" s="11"/>
      <c r="D32" s="2">
        <f>--1.49</f>
        <v>1.49</v>
      </c>
      <c r="E32" s="2"/>
      <c r="F32" s="22"/>
      <c r="G32" s="2"/>
      <c r="H32" s="2"/>
      <c r="I32" s="2"/>
      <c r="J32" s="22"/>
      <c r="K32" s="2"/>
      <c r="L32" s="2">
        <f t="shared" si="0"/>
        <v>1.49</v>
      </c>
      <c r="M32" s="2"/>
      <c r="N32" s="22">
        <f t="shared" si="1"/>
        <v>0</v>
      </c>
      <c r="O32" s="11"/>
      <c r="P32" s="2">
        <f>--1.49</f>
        <v>1.49</v>
      </c>
      <c r="Q32" s="2"/>
      <c r="R32" s="22"/>
      <c r="S32" s="2"/>
      <c r="T32" s="2"/>
      <c r="U32" s="2"/>
      <c r="V32" s="22"/>
      <c r="W32" s="2"/>
      <c r="X32" s="2">
        <f t="shared" si="2"/>
        <v>1.49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"4131", " - ", "NON-TAXABLE SALES-FOOD")</f>
        <v xml:space="preserve">          4131 - NON-TAXABLE SALES-FOOD</v>
      </c>
      <c r="C33" s="11"/>
      <c r="D33" s="2">
        <f>--269.62</f>
        <v>269.62</v>
      </c>
      <c r="E33" s="2"/>
      <c r="F33" s="22"/>
      <c r="G33" s="2"/>
      <c r="H33" s="2"/>
      <c r="I33" s="2"/>
      <c r="J33" s="22"/>
      <c r="K33" s="2"/>
      <c r="L33" s="2">
        <f t="shared" si="0"/>
        <v>269.62</v>
      </c>
      <c r="M33" s="2"/>
      <c r="N33" s="22">
        <f t="shared" si="1"/>
        <v>0</v>
      </c>
      <c r="O33" s="11"/>
      <c r="P33" s="2">
        <f>--269.62</f>
        <v>269.62</v>
      </c>
      <c r="Q33" s="2"/>
      <c r="R33" s="22"/>
      <c r="S33" s="2"/>
      <c r="T33" s="2"/>
      <c r="U33" s="2"/>
      <c r="V33" s="22"/>
      <c r="W33" s="2"/>
      <c r="X33" s="2">
        <f t="shared" si="2"/>
        <v>269.62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"4132", " - ", "NON-TAXABLE SALES-JUICE")</f>
        <v xml:space="preserve">          4132 - NON-TAXABLE SALES-JUICE</v>
      </c>
      <c r="C34" s="11"/>
      <c r="D34" s="2">
        <f>--45.31</f>
        <v>45.31</v>
      </c>
      <c r="E34" s="2"/>
      <c r="F34" s="22"/>
      <c r="G34" s="2"/>
      <c r="H34" s="2"/>
      <c r="I34" s="2"/>
      <c r="J34" s="22"/>
      <c r="K34" s="2"/>
      <c r="L34" s="2">
        <f t="shared" si="0"/>
        <v>45.31</v>
      </c>
      <c r="M34" s="2"/>
      <c r="N34" s="22">
        <f t="shared" si="1"/>
        <v>0</v>
      </c>
      <c r="O34" s="11"/>
      <c r="P34" s="2">
        <f>--45.31</f>
        <v>45.31</v>
      </c>
      <c r="Q34" s="2"/>
      <c r="R34" s="22"/>
      <c r="S34" s="2"/>
      <c r="T34" s="2"/>
      <c r="U34" s="2"/>
      <c r="V34" s="22"/>
      <c r="W34" s="2"/>
      <c r="X34" s="2">
        <f t="shared" si="2"/>
        <v>45.31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"4133", " - ", "NON-TAXABLE SALES-CANDY")</f>
        <v xml:space="preserve">          4133 - NON-TAXABLE SALES-CANDY</v>
      </c>
      <c r="C35" s="11"/>
      <c r="D35" s="2">
        <f>--472.22</f>
        <v>472.22</v>
      </c>
      <c r="E35" s="2"/>
      <c r="F35" s="22"/>
      <c r="G35" s="2"/>
      <c r="H35" s="2"/>
      <c r="I35" s="2"/>
      <c r="J35" s="22"/>
      <c r="K35" s="2"/>
      <c r="L35" s="2">
        <f t="shared" si="0"/>
        <v>472.22</v>
      </c>
      <c r="M35" s="2"/>
      <c r="N35" s="22">
        <f t="shared" si="1"/>
        <v>0</v>
      </c>
      <c r="O35" s="11"/>
      <c r="P35" s="2">
        <f>--472.22</f>
        <v>472.22</v>
      </c>
      <c r="Q35" s="2"/>
      <c r="R35" s="22"/>
      <c r="S35" s="2"/>
      <c r="T35" s="2"/>
      <c r="U35" s="2"/>
      <c r="V35" s="22"/>
      <c r="W35" s="2"/>
      <c r="X35" s="2">
        <f t="shared" si="2"/>
        <v>472.22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"4135", " - ", "NON-TAXABLE SALES")</f>
        <v xml:space="preserve">          4135 - NON-TAXABLE SALES</v>
      </c>
      <c r="C36" s="11"/>
      <c r="D36" s="2">
        <f>--21.54</f>
        <v>21.54</v>
      </c>
      <c r="E36" s="2"/>
      <c r="F36" s="22"/>
      <c r="G36" s="2"/>
      <c r="H36" s="2"/>
      <c r="I36" s="2"/>
      <c r="J36" s="22"/>
      <c r="K36" s="2"/>
      <c r="L36" s="2">
        <f t="shared" si="0"/>
        <v>21.54</v>
      </c>
      <c r="M36" s="2"/>
      <c r="N36" s="22">
        <f t="shared" si="1"/>
        <v>0</v>
      </c>
      <c r="O36" s="11"/>
      <c r="P36" s="2">
        <f>--21.54</f>
        <v>21.54</v>
      </c>
      <c r="Q36" s="2"/>
      <c r="R36" s="22"/>
      <c r="S36" s="2"/>
      <c r="T36" s="2"/>
      <c r="U36" s="2"/>
      <c r="V36" s="22"/>
      <c r="W36" s="2"/>
      <c r="X36" s="2">
        <f t="shared" si="2"/>
        <v>21.54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"4137", " - ", "NON-TAXABLE SALES-WATER")</f>
        <v xml:space="preserve">          4137 - NON-TAXABLE SALES-WATER</v>
      </c>
      <c r="C37" s="11"/>
      <c r="D37" s="2">
        <f>--30.52</f>
        <v>30.52</v>
      </c>
      <c r="E37" s="2"/>
      <c r="F37" s="22"/>
      <c r="G37" s="2"/>
      <c r="H37" s="2"/>
      <c r="I37" s="2"/>
      <c r="J37" s="22"/>
      <c r="K37" s="2"/>
      <c r="L37" s="2">
        <f t="shared" si="0"/>
        <v>30.52</v>
      </c>
      <c r="M37" s="2"/>
      <c r="N37" s="22">
        <f t="shared" si="1"/>
        <v>0</v>
      </c>
      <c r="O37" s="11"/>
      <c r="P37" s="2">
        <f>--30.52</f>
        <v>30.52</v>
      </c>
      <c r="Q37" s="2"/>
      <c r="R37" s="22"/>
      <c r="S37" s="2"/>
      <c r="T37" s="2"/>
      <c r="U37" s="2"/>
      <c r="V37" s="22"/>
      <c r="W37" s="2"/>
      <c r="X37" s="2">
        <f t="shared" si="2"/>
        <v>30.52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"4225", " - ", "SALES RETURN TAXABLE-TEST FORM")</f>
        <v xml:space="preserve">          4225 - SALES RETURN TAXABLE-TEST FORM</v>
      </c>
      <c r="C38" s="11"/>
      <c r="D38" s="2">
        <f>-4.08</f>
        <v>-4.08</v>
      </c>
      <c r="E38" s="2"/>
      <c r="F38" s="22"/>
      <c r="G38" s="2"/>
      <c r="H38" s="2"/>
      <c r="I38" s="2"/>
      <c r="J38" s="22"/>
      <c r="K38" s="2"/>
      <c r="L38" s="2">
        <f t="shared" si="0"/>
        <v>-4.08</v>
      </c>
      <c r="M38" s="2"/>
      <c r="N38" s="22">
        <f t="shared" si="1"/>
        <v>0</v>
      </c>
      <c r="O38" s="11"/>
      <c r="P38" s="2">
        <f>-4.08</f>
        <v>-4.08</v>
      </c>
      <c r="Q38" s="2"/>
      <c r="R38" s="22"/>
      <c r="S38" s="2"/>
      <c r="T38" s="2"/>
      <c r="U38" s="2"/>
      <c r="V38" s="22"/>
      <c r="W38" s="2"/>
      <c r="X38" s="2">
        <f t="shared" si="2"/>
        <v>-4.08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-63.93</f>
        <v>-63.93</v>
      </c>
      <c r="E39" s="2"/>
      <c r="F39" s="22"/>
      <c r="G39" s="2"/>
      <c r="H39" s="2"/>
      <c r="I39" s="2"/>
      <c r="J39" s="22"/>
      <c r="K39" s="2"/>
      <c r="L39" s="2">
        <f t="shared" si="0"/>
        <v>-63.93</v>
      </c>
      <c r="M39" s="2"/>
      <c r="N39" s="22">
        <f t="shared" si="1"/>
        <v>0</v>
      </c>
      <c r="O39" s="11"/>
      <c r="P39" s="2">
        <f>-63.93</f>
        <v>-63.93</v>
      </c>
      <c r="Q39" s="2"/>
      <c r="R39" s="22"/>
      <c r="S39" s="2"/>
      <c r="T39" s="2"/>
      <c r="U39" s="2"/>
      <c r="V39" s="22"/>
      <c r="W39" s="2"/>
      <c r="X39" s="2">
        <f t="shared" si="2"/>
        <v>-63.93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-165.44</f>
        <v>-165.44</v>
      </c>
      <c r="E40" s="2"/>
      <c r="F40" s="22"/>
      <c r="G40" s="2"/>
      <c r="H40" s="2"/>
      <c r="I40" s="2"/>
      <c r="J40" s="22"/>
      <c r="K40" s="2"/>
      <c r="L40" s="2">
        <f t="shared" si="0"/>
        <v>-165.44</v>
      </c>
      <c r="M40" s="2"/>
      <c r="N40" s="22">
        <f t="shared" si="1"/>
        <v>0</v>
      </c>
      <c r="O40" s="11"/>
      <c r="P40" s="2">
        <f>-165.44</f>
        <v>-165.44</v>
      </c>
      <c r="Q40" s="2"/>
      <c r="R40" s="22"/>
      <c r="S40" s="2"/>
      <c r="T40" s="2"/>
      <c r="U40" s="2"/>
      <c r="V40" s="22"/>
      <c r="W40" s="2"/>
      <c r="X40" s="2">
        <f t="shared" si="2"/>
        <v>-165.44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-10.37</f>
        <v>-10.37</v>
      </c>
      <c r="E41" s="2"/>
      <c r="F41" s="22"/>
      <c r="G41" s="2"/>
      <c r="H41" s="2"/>
      <c r="I41" s="2"/>
      <c r="J41" s="22"/>
      <c r="K41" s="2"/>
      <c r="L41" s="2">
        <f t="shared" si="0"/>
        <v>-10.37</v>
      </c>
      <c r="M41" s="2"/>
      <c r="N41" s="22">
        <f t="shared" si="1"/>
        <v>0</v>
      </c>
      <c r="O41" s="11"/>
      <c r="P41" s="2">
        <f>-10.37</f>
        <v>-10.37</v>
      </c>
      <c r="Q41" s="2"/>
      <c r="R41" s="22"/>
      <c r="S41" s="2"/>
      <c r="T41" s="2"/>
      <c r="U41" s="2"/>
      <c r="V41" s="22"/>
      <c r="W41" s="2"/>
      <c r="X41" s="2">
        <f t="shared" si="2"/>
        <v>-10.37</v>
      </c>
      <c r="Y41" s="2"/>
      <c r="Z41" s="22">
        <f t="shared" si="3"/>
        <v>0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5" t="s">
        <v>8</v>
      </c>
      <c r="C43" s="10"/>
      <c r="D43" s="4">
        <f>SUM(OSRRefD16x_0)</f>
        <v>9513.5799999999927</v>
      </c>
      <c r="E43" s="4"/>
      <c r="F43" s="12">
        <f t="shared" ref="F43:F57" si="4">IF(D$12=0,0,D43/D$12)</f>
        <v>0.50688323908106914</v>
      </c>
      <c r="G43" s="4"/>
      <c r="H43" s="4">
        <f>SUM(OSRRefH16x_0)</f>
        <v>9185</v>
      </c>
      <c r="I43" s="4"/>
      <c r="J43" s="12">
        <f t="shared" ref="J43:J57" si="5">IF(H$12=0,0,H43/H$12)</f>
        <v>0.50265418924095662</v>
      </c>
      <c r="K43" s="4"/>
      <c r="L43" s="4">
        <f t="shared" ref="L43:L57" si="6">+D43-H43</f>
        <v>328.57999999999265</v>
      </c>
      <c r="M43" s="4"/>
      <c r="N43" s="12">
        <f t="shared" ref="N43:N57" si="7">IF(H43=0,0,L43/H43)</f>
        <v>3.5773543821447214E-2</v>
      </c>
      <c r="O43" s="10"/>
      <c r="P43" s="4">
        <f>SUM(OSRRefP16x_0)</f>
        <v>9513.5799999999927</v>
      </c>
      <c r="Q43" s="4"/>
      <c r="R43" s="12">
        <f t="shared" ref="R43:R57" si="8">IF(P$12=0,0,P43/P$12)</f>
        <v>0.50688323908106914</v>
      </c>
      <c r="S43" s="4"/>
      <c r="T43" s="4">
        <f>SUM(OSRRefT16x_0)</f>
        <v>9185</v>
      </c>
      <c r="U43" s="4"/>
      <c r="V43" s="12">
        <f t="shared" ref="V43:V57" si="9">IF(T$12=0,0,T43/T$12)</f>
        <v>0.50265418924095662</v>
      </c>
      <c r="W43" s="4"/>
      <c r="X43" s="4">
        <f t="shared" ref="X43:X57" si="10">+P43-T43</f>
        <v>328.57999999999265</v>
      </c>
      <c r="Y43" s="4"/>
      <c r="Z43" s="12">
        <f t="shared" ref="Z43:Z57" si="11">IF(T43=0,0,X43/T43)</f>
        <v>3.5773543821447214E-2</v>
      </c>
    </row>
    <row r="44" spans="1:26" s="24" customFormat="1" hidden="1" outlineLevel="1" x14ac:dyDescent="0.25">
      <c r="A44" s="51"/>
      <c r="B44" s="11" t="str">
        <f>CONCATENATE("          ", "5000", " - ", "PURCHASES @ COST")</f>
        <v xml:space="preserve">          5000 - PURCHASES @ COST</v>
      </c>
      <c r="C44" s="11"/>
      <c r="D44" s="2"/>
      <c r="E44" s="2"/>
      <c r="F44" s="22">
        <f t="shared" si="4"/>
        <v>0</v>
      </c>
      <c r="G44" s="2"/>
      <c r="H44" s="2">
        <v>9185</v>
      </c>
      <c r="I44" s="2"/>
      <c r="J44" s="22">
        <f t="shared" si="5"/>
        <v>0.50265418924095662</v>
      </c>
      <c r="K44" s="2"/>
      <c r="L44" s="2">
        <f t="shared" si="6"/>
        <v>-9185</v>
      </c>
      <c r="M44" s="2"/>
      <c r="N44" s="22">
        <f t="shared" si="7"/>
        <v>-1</v>
      </c>
      <c r="O44" s="11"/>
      <c r="P44" s="2"/>
      <c r="Q44" s="2"/>
      <c r="R44" s="22">
        <f t="shared" si="8"/>
        <v>0</v>
      </c>
      <c r="S44" s="2"/>
      <c r="T44" s="2">
        <v>9185</v>
      </c>
      <c r="U44" s="2"/>
      <c r="V44" s="22">
        <f t="shared" si="9"/>
        <v>0.50265418924095662</v>
      </c>
      <c r="W44" s="2"/>
      <c r="X44" s="2">
        <f t="shared" si="10"/>
        <v>-9185</v>
      </c>
      <c r="Y44" s="2"/>
      <c r="Z44" s="22">
        <f t="shared" si="11"/>
        <v>-1</v>
      </c>
    </row>
    <row r="45" spans="1:26" s="24" customFormat="1" hidden="1" outlineLevel="1" x14ac:dyDescent="0.25">
      <c r="A45" s="51"/>
      <c r="B45" s="11" t="str">
        <f>CONCATENATE("          ", "5025", " - ", "PURCHASES @ COST-TEST FORMS")</f>
        <v xml:space="preserve">          5025 - PURCHASES @ COST-TEST FORMS</v>
      </c>
      <c r="C45" s="11"/>
      <c r="D45" s="2">
        <v>879.12</v>
      </c>
      <c r="E45" s="2"/>
      <c r="F45" s="22">
        <f t="shared" si="4"/>
        <v>4.6839485571251817E-2</v>
      </c>
      <c r="G45" s="2"/>
      <c r="H45" s="2"/>
      <c r="I45" s="2"/>
      <c r="J45" s="22">
        <f t="shared" si="5"/>
        <v>0</v>
      </c>
      <c r="K45" s="2"/>
      <c r="L45" s="2">
        <f t="shared" si="6"/>
        <v>879.12</v>
      </c>
      <c r="M45" s="2"/>
      <c r="N45" s="22">
        <f t="shared" si="7"/>
        <v>0</v>
      </c>
      <c r="O45" s="11"/>
      <c r="P45" s="2">
        <v>879.12</v>
      </c>
      <c r="Q45" s="2"/>
      <c r="R45" s="22">
        <f t="shared" si="8"/>
        <v>4.6839485571251817E-2</v>
      </c>
      <c r="S45" s="2"/>
      <c r="T45" s="2"/>
      <c r="U45" s="2"/>
      <c r="V45" s="22">
        <f t="shared" si="9"/>
        <v>0</v>
      </c>
      <c r="W45" s="2"/>
      <c r="X45" s="2">
        <f t="shared" si="10"/>
        <v>879.12</v>
      </c>
      <c r="Y45" s="2"/>
      <c r="Z45" s="22">
        <f t="shared" si="11"/>
        <v>0</v>
      </c>
    </row>
    <row r="46" spans="1:26" s="24" customFormat="1" hidden="1" outlineLevel="1" x14ac:dyDescent="0.25">
      <c r="A46" s="51"/>
      <c r="B46" s="11" t="str">
        <f>CONCATENATE("          ", "5026", " - ", "PURCHASES @ COST-WRITING INSTR")</f>
        <v xml:space="preserve">          5026 - PURCHASES @ COST-WRITING INSTR</v>
      </c>
      <c r="C46" s="11"/>
      <c r="D46" s="2">
        <v>10405.76</v>
      </c>
      <c r="E46" s="2"/>
      <c r="F46" s="22">
        <f t="shared" si="4"/>
        <v>0.5544185610359329</v>
      </c>
      <c r="G46" s="2"/>
      <c r="H46" s="2"/>
      <c r="I46" s="2"/>
      <c r="J46" s="22">
        <f t="shared" si="5"/>
        <v>0</v>
      </c>
      <c r="K46" s="2"/>
      <c r="L46" s="2">
        <f t="shared" si="6"/>
        <v>10405.76</v>
      </c>
      <c r="M46" s="2"/>
      <c r="N46" s="22">
        <f t="shared" si="7"/>
        <v>0</v>
      </c>
      <c r="O46" s="11"/>
      <c r="P46" s="2">
        <v>10405.76</v>
      </c>
      <c r="Q46" s="2"/>
      <c r="R46" s="22">
        <f t="shared" si="8"/>
        <v>0.5544185610359329</v>
      </c>
      <c r="S46" s="2"/>
      <c r="T46" s="2"/>
      <c r="U46" s="2"/>
      <c r="V46" s="22">
        <f t="shared" si="9"/>
        <v>0</v>
      </c>
      <c r="W46" s="2"/>
      <c r="X46" s="2">
        <f t="shared" si="10"/>
        <v>10405.76</v>
      </c>
      <c r="Y46" s="2"/>
      <c r="Z46" s="22">
        <f t="shared" si="11"/>
        <v>0</v>
      </c>
    </row>
    <row r="47" spans="1:26" s="24" customFormat="1" hidden="1" outlineLevel="1" x14ac:dyDescent="0.25">
      <c r="A47" s="51"/>
      <c r="B47" s="11" t="str">
        <f>CONCATENATE("          ", "5027", " - ", "PURCHASES @ COST-SCHOOL SUPPLI")</f>
        <v xml:space="preserve">          5027 - PURCHASES @ COST-SCHOOL SUPPLI</v>
      </c>
      <c r="C47" s="11"/>
      <c r="D47" s="2">
        <v>50114.15</v>
      </c>
      <c r="E47" s="2"/>
      <c r="F47" s="22">
        <f t="shared" si="4"/>
        <v>2.6700803142239393</v>
      </c>
      <c r="G47" s="2"/>
      <c r="H47" s="2"/>
      <c r="I47" s="2"/>
      <c r="J47" s="22">
        <f t="shared" si="5"/>
        <v>0</v>
      </c>
      <c r="K47" s="2"/>
      <c r="L47" s="2">
        <f t="shared" si="6"/>
        <v>50114.15</v>
      </c>
      <c r="M47" s="2"/>
      <c r="N47" s="22">
        <f t="shared" si="7"/>
        <v>0</v>
      </c>
      <c r="O47" s="11"/>
      <c r="P47" s="2">
        <v>50114.15</v>
      </c>
      <c r="Q47" s="2"/>
      <c r="R47" s="22">
        <f t="shared" si="8"/>
        <v>2.6700803142239393</v>
      </c>
      <c r="S47" s="2"/>
      <c r="T47" s="2"/>
      <c r="U47" s="2"/>
      <c r="V47" s="22">
        <f t="shared" si="9"/>
        <v>0</v>
      </c>
      <c r="W47" s="2"/>
      <c r="X47" s="2">
        <f t="shared" si="10"/>
        <v>50114.15</v>
      </c>
      <c r="Y47" s="2"/>
      <c r="Z47" s="22">
        <f t="shared" si="11"/>
        <v>0</v>
      </c>
    </row>
    <row r="48" spans="1:26" s="24" customFormat="1" hidden="1" outlineLevel="1" x14ac:dyDescent="0.25">
      <c r="A48" s="51"/>
      <c r="B48" s="11" t="str">
        <f>CONCATENATE("          ", "5028", " - ", "PURCHASES @ COST-ART/TECH")</f>
        <v xml:space="preserve">          5028 - PURCHASES @ COST-ART/TECH</v>
      </c>
      <c r="C48" s="11"/>
      <c r="D48" s="2">
        <v>28027.649999999998</v>
      </c>
      <c r="E48" s="2"/>
      <c r="F48" s="22">
        <f t="shared" si="4"/>
        <v>1.49331229840192</v>
      </c>
      <c r="G48" s="2"/>
      <c r="H48" s="2"/>
      <c r="I48" s="2"/>
      <c r="J48" s="22">
        <f t="shared" si="5"/>
        <v>0</v>
      </c>
      <c r="K48" s="2"/>
      <c r="L48" s="2">
        <f t="shared" si="6"/>
        <v>28027.649999999998</v>
      </c>
      <c r="M48" s="2"/>
      <c r="N48" s="22">
        <f t="shared" si="7"/>
        <v>0</v>
      </c>
      <c r="O48" s="11"/>
      <c r="P48" s="2">
        <v>28027.649999999998</v>
      </c>
      <c r="Q48" s="2"/>
      <c r="R48" s="22">
        <f t="shared" si="8"/>
        <v>1.49331229840192</v>
      </c>
      <c r="S48" s="2"/>
      <c r="T48" s="2"/>
      <c r="U48" s="2"/>
      <c r="V48" s="22">
        <f t="shared" si="9"/>
        <v>0</v>
      </c>
      <c r="W48" s="2"/>
      <c r="X48" s="2">
        <f t="shared" si="10"/>
        <v>28027.649999999998</v>
      </c>
      <c r="Y48" s="2"/>
      <c r="Z48" s="22">
        <f t="shared" si="11"/>
        <v>0</v>
      </c>
    </row>
    <row r="49" spans="1:26" s="24" customFormat="1" hidden="1" outlineLevel="1" x14ac:dyDescent="0.25">
      <c r="A49" s="51"/>
      <c r="B49" s="11" t="str">
        <f>CONCATENATE("          ", "5032", " - ", "PURCHASES @ COST-JUICE")</f>
        <v xml:space="preserve">          5032 - PURCHASES @ COST-JUICE</v>
      </c>
      <c r="C49" s="11"/>
      <c r="D49" s="2">
        <v>114.42</v>
      </c>
      <c r="E49" s="2"/>
      <c r="F49" s="22">
        <f t="shared" si="4"/>
        <v>6.0962939519776972E-3</v>
      </c>
      <c r="G49" s="2"/>
      <c r="H49" s="2"/>
      <c r="I49" s="2"/>
      <c r="J49" s="22">
        <f t="shared" si="5"/>
        <v>0</v>
      </c>
      <c r="K49" s="2"/>
      <c r="L49" s="2">
        <f t="shared" si="6"/>
        <v>114.42</v>
      </c>
      <c r="M49" s="2"/>
      <c r="N49" s="22">
        <f t="shared" si="7"/>
        <v>0</v>
      </c>
      <c r="O49" s="11"/>
      <c r="P49" s="2">
        <v>114.42</v>
      </c>
      <c r="Q49" s="2"/>
      <c r="R49" s="22">
        <f t="shared" si="8"/>
        <v>6.0962939519776972E-3</v>
      </c>
      <c r="S49" s="2"/>
      <c r="T49" s="2"/>
      <c r="U49" s="2"/>
      <c r="V49" s="22">
        <f t="shared" si="9"/>
        <v>0</v>
      </c>
      <c r="W49" s="2"/>
      <c r="X49" s="2">
        <f t="shared" si="10"/>
        <v>114.42</v>
      </c>
      <c r="Y49" s="2"/>
      <c r="Z49" s="22">
        <f t="shared" si="11"/>
        <v>0</v>
      </c>
    </row>
    <row r="50" spans="1:26" s="24" customFormat="1" hidden="1" outlineLevel="1" x14ac:dyDescent="0.25">
      <c r="A50" s="51"/>
      <c r="B50" s="11" t="str">
        <f>CONCATENATE("          ", "5034", " - ", "PURCHASES @ COST-SODA")</f>
        <v xml:space="preserve">          5034 - PURCHASES @ COST-SODA</v>
      </c>
      <c r="C50" s="11"/>
      <c r="D50" s="2">
        <v>-61.54</v>
      </c>
      <c r="E50" s="2"/>
      <c r="F50" s="22">
        <f t="shared" si="4"/>
        <v>-3.2788492379366148E-3</v>
      </c>
      <c r="G50" s="2"/>
      <c r="H50" s="2"/>
      <c r="I50" s="2"/>
      <c r="J50" s="22">
        <f t="shared" si="5"/>
        <v>0</v>
      </c>
      <c r="K50" s="2"/>
      <c r="L50" s="2">
        <f t="shared" si="6"/>
        <v>-61.54</v>
      </c>
      <c r="M50" s="2"/>
      <c r="N50" s="22">
        <f t="shared" si="7"/>
        <v>0</v>
      </c>
      <c r="O50" s="11"/>
      <c r="P50" s="2">
        <v>-61.54</v>
      </c>
      <c r="Q50" s="2"/>
      <c r="R50" s="22">
        <f t="shared" si="8"/>
        <v>-3.2788492379366148E-3</v>
      </c>
      <c r="S50" s="2"/>
      <c r="T50" s="2"/>
      <c r="U50" s="2"/>
      <c r="V50" s="22">
        <f t="shared" si="9"/>
        <v>0</v>
      </c>
      <c r="W50" s="2"/>
      <c r="X50" s="2">
        <f t="shared" si="10"/>
        <v>-61.54</v>
      </c>
      <c r="Y50" s="2"/>
      <c r="Z50" s="22">
        <f t="shared" si="11"/>
        <v>0</v>
      </c>
    </row>
    <row r="51" spans="1:26" s="24" customFormat="1" hidden="1" outlineLevel="1" x14ac:dyDescent="0.25">
      <c r="A51" s="51"/>
      <c r="B51" s="11" t="str">
        <f>CONCATENATE("          ", "5037", " - ", "PURCHASES @ COST-WATER")</f>
        <v xml:space="preserve">          5037 - PURCHASES @ COST-WATER</v>
      </c>
      <c r="C51" s="11"/>
      <c r="D51" s="2">
        <v>16.54</v>
      </c>
      <c r="E51" s="2"/>
      <c r="F51" s="22">
        <f t="shared" si="4"/>
        <v>8.8125067265959717E-4</v>
      </c>
      <c r="G51" s="2"/>
      <c r="H51" s="2"/>
      <c r="I51" s="2"/>
      <c r="J51" s="22">
        <f t="shared" si="5"/>
        <v>0</v>
      </c>
      <c r="K51" s="2"/>
      <c r="L51" s="2">
        <f t="shared" si="6"/>
        <v>16.54</v>
      </c>
      <c r="M51" s="2"/>
      <c r="N51" s="22">
        <f t="shared" si="7"/>
        <v>0</v>
      </c>
      <c r="O51" s="11"/>
      <c r="P51" s="2">
        <v>16.54</v>
      </c>
      <c r="Q51" s="2"/>
      <c r="R51" s="22">
        <f t="shared" si="8"/>
        <v>8.8125067265959717E-4</v>
      </c>
      <c r="S51" s="2"/>
      <c r="T51" s="2"/>
      <c r="U51" s="2"/>
      <c r="V51" s="22">
        <f t="shared" si="9"/>
        <v>0</v>
      </c>
      <c r="W51" s="2"/>
      <c r="X51" s="2">
        <f t="shared" si="10"/>
        <v>16.54</v>
      </c>
      <c r="Y51" s="2"/>
      <c r="Z51" s="22">
        <f t="shared" si="11"/>
        <v>0</v>
      </c>
    </row>
    <row r="52" spans="1:26" s="24" customFormat="1" hidden="1" outlineLevel="1" x14ac:dyDescent="0.25">
      <c r="A52" s="51"/>
      <c r="B52" s="11" t="str">
        <f>CONCATENATE("          ", "5200", " - ", "PURCHASES OFFSET")</f>
        <v xml:space="preserve">          5200 - PURCHASES OFFSET</v>
      </c>
      <c r="C52" s="11"/>
      <c r="D52" s="2">
        <v>-89829</v>
      </c>
      <c r="E52" s="2"/>
      <c r="F52" s="22">
        <f t="shared" si="4"/>
        <v>-4.7860862560059827</v>
      </c>
      <c r="G52" s="2"/>
      <c r="H52" s="2"/>
      <c r="I52" s="2"/>
      <c r="J52" s="22">
        <f t="shared" si="5"/>
        <v>0</v>
      </c>
      <c r="K52" s="2"/>
      <c r="L52" s="2">
        <f t="shared" si="6"/>
        <v>-89829</v>
      </c>
      <c r="M52" s="2"/>
      <c r="N52" s="22">
        <f t="shared" si="7"/>
        <v>0</v>
      </c>
      <c r="O52" s="11"/>
      <c r="P52" s="2">
        <v>-89829</v>
      </c>
      <c r="Q52" s="2"/>
      <c r="R52" s="22">
        <f t="shared" si="8"/>
        <v>-4.7860862560059827</v>
      </c>
      <c r="S52" s="2"/>
      <c r="T52" s="2"/>
      <c r="U52" s="2"/>
      <c r="V52" s="22">
        <f t="shared" si="9"/>
        <v>0</v>
      </c>
      <c r="W52" s="2"/>
      <c r="X52" s="2">
        <f t="shared" si="10"/>
        <v>-89829</v>
      </c>
      <c r="Y52" s="2"/>
      <c r="Z52" s="22">
        <f t="shared" si="11"/>
        <v>0</v>
      </c>
    </row>
    <row r="53" spans="1:26" s="24" customFormat="1" hidden="1" outlineLevel="1" x14ac:dyDescent="0.25">
      <c r="A53" s="51"/>
      <c r="B53" s="11" t="str">
        <f>CONCATENATE("          ", "5300", " - ", "COG$ OFFSET")</f>
        <v xml:space="preserve">          5300 - COG$ OFFSET</v>
      </c>
      <c r="C53" s="11"/>
      <c r="D53" s="2">
        <v>9464</v>
      </c>
      <c r="E53" s="2"/>
      <c r="F53" s="22">
        <f t="shared" si="4"/>
        <v>0.50424161826181546</v>
      </c>
      <c r="G53" s="2"/>
      <c r="H53" s="2"/>
      <c r="I53" s="2"/>
      <c r="J53" s="22">
        <f t="shared" si="5"/>
        <v>0</v>
      </c>
      <c r="K53" s="2"/>
      <c r="L53" s="2">
        <f t="shared" si="6"/>
        <v>9464</v>
      </c>
      <c r="M53" s="2"/>
      <c r="N53" s="22">
        <f t="shared" si="7"/>
        <v>0</v>
      </c>
      <c r="O53" s="11"/>
      <c r="P53" s="2">
        <v>9464</v>
      </c>
      <c r="Q53" s="2"/>
      <c r="R53" s="22">
        <f t="shared" si="8"/>
        <v>0.50424161826181546</v>
      </c>
      <c r="S53" s="2"/>
      <c r="T53" s="2"/>
      <c r="U53" s="2"/>
      <c r="V53" s="22">
        <f t="shared" si="9"/>
        <v>0</v>
      </c>
      <c r="W53" s="2"/>
      <c r="X53" s="2">
        <f t="shared" si="10"/>
        <v>9464</v>
      </c>
      <c r="Y53" s="2"/>
      <c r="Z53" s="22">
        <f t="shared" si="11"/>
        <v>0</v>
      </c>
    </row>
    <row r="54" spans="1:26" s="24" customFormat="1" hidden="1" outlineLevel="1" x14ac:dyDescent="0.25">
      <c r="A54" s="51"/>
      <c r="B54" s="11" t="str">
        <f>CONCATENATE("          ", "5500", " - ", "FREIGHT-IN")</f>
        <v xml:space="preserve">          5500 - FREIGHT-IN</v>
      </c>
      <c r="C54" s="11"/>
      <c r="D54" s="2">
        <v>49</v>
      </c>
      <c r="E54" s="2"/>
      <c r="F54" s="22">
        <f t="shared" si="4"/>
        <v>2.6107184377460861E-3</v>
      </c>
      <c r="G54" s="2"/>
      <c r="H54" s="2"/>
      <c r="I54" s="2"/>
      <c r="J54" s="22">
        <f t="shared" si="5"/>
        <v>0</v>
      </c>
      <c r="K54" s="2"/>
      <c r="L54" s="2">
        <f t="shared" si="6"/>
        <v>49</v>
      </c>
      <c r="M54" s="2"/>
      <c r="N54" s="22">
        <f t="shared" si="7"/>
        <v>0</v>
      </c>
      <c r="O54" s="11"/>
      <c r="P54" s="2">
        <v>49</v>
      </c>
      <c r="Q54" s="2"/>
      <c r="R54" s="22">
        <f t="shared" si="8"/>
        <v>2.6107184377460861E-3</v>
      </c>
      <c r="S54" s="2"/>
      <c r="T54" s="2"/>
      <c r="U54" s="2"/>
      <c r="V54" s="22">
        <f t="shared" si="9"/>
        <v>0</v>
      </c>
      <c r="W54" s="2"/>
      <c r="X54" s="2">
        <f t="shared" si="10"/>
        <v>49</v>
      </c>
      <c r="Y54" s="2"/>
      <c r="Z54" s="22">
        <f t="shared" si="11"/>
        <v>0</v>
      </c>
    </row>
    <row r="55" spans="1:26" s="24" customFormat="1" hidden="1" outlineLevel="1" x14ac:dyDescent="0.25">
      <c r="A55" s="51"/>
      <c r="B55" s="11" t="str">
        <f>CONCATENATE("          ", "5526", " - ", "FREIGHT-IN-WRITING INSTRUMENTS")</f>
        <v xml:space="preserve">          5526 - FREIGHT-IN-WRITING INSTRUMENTS</v>
      </c>
      <c r="C55" s="11"/>
      <c r="D55" s="2">
        <v>39.11</v>
      </c>
      <c r="E55" s="2"/>
      <c r="F55" s="22">
        <f t="shared" si="4"/>
        <v>2.0837795530663145E-3</v>
      </c>
      <c r="G55" s="2"/>
      <c r="H55" s="2"/>
      <c r="I55" s="2"/>
      <c r="J55" s="22">
        <f t="shared" si="5"/>
        <v>0</v>
      </c>
      <c r="K55" s="2"/>
      <c r="L55" s="2">
        <f t="shared" si="6"/>
        <v>39.11</v>
      </c>
      <c r="M55" s="2"/>
      <c r="N55" s="22">
        <f t="shared" si="7"/>
        <v>0</v>
      </c>
      <c r="O55" s="11"/>
      <c r="P55" s="2">
        <v>39.11</v>
      </c>
      <c r="Q55" s="2"/>
      <c r="R55" s="22">
        <f t="shared" si="8"/>
        <v>2.0837795530663145E-3</v>
      </c>
      <c r="S55" s="2"/>
      <c r="T55" s="2"/>
      <c r="U55" s="2"/>
      <c r="V55" s="22">
        <f t="shared" si="9"/>
        <v>0</v>
      </c>
      <c r="W55" s="2"/>
      <c r="X55" s="2">
        <f t="shared" si="10"/>
        <v>39.11</v>
      </c>
      <c r="Y55" s="2"/>
      <c r="Z55" s="22">
        <f t="shared" si="11"/>
        <v>0</v>
      </c>
    </row>
    <row r="56" spans="1:26" s="24" customFormat="1" hidden="1" outlineLevel="1" x14ac:dyDescent="0.25">
      <c r="A56" s="51"/>
      <c r="B56" s="11" t="str">
        <f>CONCATENATE("          ", "5527", " - ", "FREIGHT-IN-SCHOOL SUPPLIES")</f>
        <v xml:space="preserve">          5527 - FREIGHT-IN-SCHOOL SUPPLIES</v>
      </c>
      <c r="C56" s="11"/>
      <c r="D56" s="2">
        <v>250.02</v>
      </c>
      <c r="E56" s="2"/>
      <c r="F56" s="22">
        <f t="shared" si="4"/>
        <v>1.3321057628679111E-2</v>
      </c>
      <c r="G56" s="2"/>
      <c r="H56" s="2"/>
      <c r="I56" s="2"/>
      <c r="J56" s="22">
        <f t="shared" si="5"/>
        <v>0</v>
      </c>
      <c r="K56" s="2"/>
      <c r="L56" s="2">
        <f t="shared" si="6"/>
        <v>250.02</v>
      </c>
      <c r="M56" s="2"/>
      <c r="N56" s="22">
        <f t="shared" si="7"/>
        <v>0</v>
      </c>
      <c r="O56" s="11"/>
      <c r="P56" s="2">
        <v>250.02</v>
      </c>
      <c r="Q56" s="2"/>
      <c r="R56" s="22">
        <f t="shared" si="8"/>
        <v>1.3321057628679111E-2</v>
      </c>
      <c r="S56" s="2"/>
      <c r="T56" s="2"/>
      <c r="U56" s="2"/>
      <c r="V56" s="22">
        <f t="shared" si="9"/>
        <v>0</v>
      </c>
      <c r="W56" s="2"/>
      <c r="X56" s="2">
        <f t="shared" si="10"/>
        <v>250.02</v>
      </c>
      <c r="Y56" s="2"/>
      <c r="Z56" s="22">
        <f t="shared" si="11"/>
        <v>0</v>
      </c>
    </row>
    <row r="57" spans="1:26" s="24" customFormat="1" hidden="1" outlineLevel="1" x14ac:dyDescent="0.25">
      <c r="A57" s="51"/>
      <c r="B57" s="11" t="str">
        <f>CONCATENATE("          ", "5528", " - ", "FREIGHT-IN-ART/TECH")</f>
        <v xml:space="preserve">          5528 - FREIGHT-IN-ART/TECH</v>
      </c>
      <c r="C57" s="11"/>
      <c r="D57" s="2">
        <v>44.35</v>
      </c>
      <c r="E57" s="2"/>
      <c r="F57" s="22">
        <f t="shared" si="4"/>
        <v>2.3629665860007941E-3</v>
      </c>
      <c r="G57" s="2"/>
      <c r="H57" s="2"/>
      <c r="I57" s="2"/>
      <c r="J57" s="22">
        <f t="shared" si="5"/>
        <v>0</v>
      </c>
      <c r="K57" s="2"/>
      <c r="L57" s="2">
        <f t="shared" si="6"/>
        <v>44.35</v>
      </c>
      <c r="M57" s="2"/>
      <c r="N57" s="22">
        <f t="shared" si="7"/>
        <v>0</v>
      </c>
      <c r="O57" s="11"/>
      <c r="P57" s="2">
        <v>44.35</v>
      </c>
      <c r="Q57" s="2"/>
      <c r="R57" s="22">
        <f t="shared" si="8"/>
        <v>2.3629665860007941E-3</v>
      </c>
      <c r="S57" s="2"/>
      <c r="T57" s="2"/>
      <c r="U57" s="2"/>
      <c r="V57" s="22">
        <f t="shared" si="9"/>
        <v>0</v>
      </c>
      <c r="W57" s="2"/>
      <c r="X57" s="2">
        <f t="shared" si="10"/>
        <v>44.35</v>
      </c>
      <c r="Y57" s="2"/>
      <c r="Z57" s="22">
        <f t="shared" si="11"/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6" t="s">
        <v>6</v>
      </c>
      <c r="C59" s="26"/>
      <c r="D59" s="21">
        <f>D12-D43</f>
        <v>9255.2000000000135</v>
      </c>
      <c r="E59" s="13"/>
      <c r="F59" s="19">
        <f>IF(D$12=0,0,D59/D$12)</f>
        <v>0.49311676091893081</v>
      </c>
      <c r="G59" s="13"/>
      <c r="H59" s="21">
        <f>H12-H43</f>
        <v>9088</v>
      </c>
      <c r="I59" s="13"/>
      <c r="J59" s="19">
        <f>IF(H$12=0,0,H59/H$12)</f>
        <v>0.49734581075904338</v>
      </c>
      <c r="K59" s="15"/>
      <c r="L59" s="21">
        <f>+D59-H59</f>
        <v>167.20000000001346</v>
      </c>
      <c r="M59" s="15"/>
      <c r="N59" s="19">
        <f>IF(H59=0,0,L59/H59)</f>
        <v>1.8397887323945143E-2</v>
      </c>
      <c r="O59" s="25"/>
      <c r="P59" s="21">
        <f>P12-P43</f>
        <v>9255.2000000000135</v>
      </c>
      <c r="Q59" s="13"/>
      <c r="R59" s="19">
        <f>IF(P$12=0,0,P59/P$12)</f>
        <v>0.49311676091893081</v>
      </c>
      <c r="S59" s="13"/>
      <c r="T59" s="21">
        <f>T12-T43</f>
        <v>9088</v>
      </c>
      <c r="U59" s="13"/>
      <c r="V59" s="19">
        <f>IF(T$12=0,0,T59/T$12)</f>
        <v>0.49734581075904338</v>
      </c>
      <c r="W59" s="15"/>
      <c r="X59" s="21">
        <f>+P59-T59</f>
        <v>167.20000000001346</v>
      </c>
      <c r="Y59" s="15"/>
      <c r="Z59" s="19">
        <f>IF(T59=0,0,X59/T59)</f>
        <v>1.8397887323945143E-2</v>
      </c>
    </row>
    <row r="60" spans="1:26" x14ac:dyDescent="0.25">
      <c r="A60" s="9"/>
      <c r="B60" s="10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5" t="s">
        <v>9</v>
      </c>
      <c r="C61" s="10"/>
      <c r="D61" s="20">
        <f>SUM(OSRRefD22x_0)</f>
        <v>23459.34</v>
      </c>
      <c r="E61" s="20"/>
      <c r="F61" s="30">
        <f t="shared" ref="F61:F71" si="12">IF(D$12=0,0,D61/D$12)</f>
        <v>1.2499128872521279</v>
      </c>
      <c r="G61" s="20"/>
      <c r="H61" s="20">
        <f>SUM(OSRRefH22x_0)</f>
        <v>19934.866634430768</v>
      </c>
      <c r="I61" s="20"/>
      <c r="J61" s="30">
        <f t="shared" ref="J61:J71" si="13">IF(H$12=0,0,H61/H$12)</f>
        <v>1.0909465678558949</v>
      </c>
      <c r="K61" s="4"/>
      <c r="L61" s="20">
        <f t="shared" ref="L61:L71" si="14">+D61-H61</f>
        <v>3524.4733655692326</v>
      </c>
      <c r="M61" s="4"/>
      <c r="N61" s="30">
        <f t="shared" ref="N61:N71" si="15">IF(H61=0,0,L61/H61)</f>
        <v>0.17679944542402365</v>
      </c>
      <c r="O61" s="10"/>
      <c r="P61" s="20">
        <f>SUM(OSRRefP22x_0)</f>
        <v>23459.34</v>
      </c>
      <c r="Q61" s="20"/>
      <c r="R61" s="30">
        <f t="shared" ref="R61:R71" si="16">IF(P$12=0,0,P61/P$12)</f>
        <v>1.2499128872521279</v>
      </c>
      <c r="S61" s="20"/>
      <c r="T61" s="20">
        <f>SUM(OSRRefT22x_0)</f>
        <v>19934.866634430768</v>
      </c>
      <c r="U61" s="20"/>
      <c r="V61" s="30">
        <f t="shared" ref="V61:V71" si="17">IF(T$12=0,0,T61/T$12)</f>
        <v>1.0909465678558949</v>
      </c>
      <c r="W61" s="4"/>
      <c r="X61" s="20">
        <f t="shared" ref="X61:X71" si="18">+P61-T61</f>
        <v>3524.4733655692326</v>
      </c>
      <c r="Y61" s="4"/>
      <c r="Z61" s="30">
        <f t="shared" ref="Z61:Z71" si="19">IF(T61=0,0,X61/T61)</f>
        <v>0.17679944542402365</v>
      </c>
    </row>
    <row r="62" spans="1:26" s="27" customFormat="1" outlineLevel="1" collapsed="1" x14ac:dyDescent="0.25">
      <c r="A62" s="28"/>
      <c r="B62" s="14" t="str">
        <f>CONCATENATE("     ","*Benefits                                         ")</f>
        <v xml:space="preserve">     *Benefits                                         </v>
      </c>
      <c r="C62" s="14"/>
      <c r="D62" s="1">
        <f>SUM(OSRRefD22_0x_0)</f>
        <v>3962.03</v>
      </c>
      <c r="E62" s="1"/>
      <c r="F62" s="5">
        <f t="shared" si="12"/>
        <v>0.21109683207965563</v>
      </c>
      <c r="G62" s="1"/>
      <c r="H62" s="1">
        <f>SUM(OSRRefH22_0x_0)</f>
        <v>3522.6471421230772</v>
      </c>
      <c r="I62" s="1"/>
      <c r="J62" s="5">
        <f t="shared" si="13"/>
        <v>0.19277880709916692</v>
      </c>
      <c r="K62" s="1"/>
      <c r="L62" s="1">
        <f t="shared" si="14"/>
        <v>439.38285787692303</v>
      </c>
      <c r="M62" s="1"/>
      <c r="N62" s="5">
        <f t="shared" si="15"/>
        <v>0.12473087429702362</v>
      </c>
      <c r="O62" s="14"/>
      <c r="P62" s="1">
        <f>SUM(OSRRefP22_0x_0)</f>
        <v>3962.03</v>
      </c>
      <c r="Q62" s="1"/>
      <c r="R62" s="5">
        <f t="shared" si="16"/>
        <v>0.21109683207965563</v>
      </c>
      <c r="S62" s="1"/>
      <c r="T62" s="1">
        <f>SUM(OSRRefT22_0x_0)</f>
        <v>3522.6471421230772</v>
      </c>
      <c r="U62" s="1"/>
      <c r="V62" s="5">
        <f t="shared" si="17"/>
        <v>0.19277880709916692</v>
      </c>
      <c r="W62" s="1"/>
      <c r="X62" s="1">
        <f t="shared" si="18"/>
        <v>439.38285787692303</v>
      </c>
      <c r="Y62" s="1"/>
      <c r="Z62" s="5">
        <f t="shared" si="19"/>
        <v>0.12473087429702362</v>
      </c>
    </row>
    <row r="63" spans="1:26" s="24" customFormat="1" hidden="1" outlineLevel="2" x14ac:dyDescent="0.25">
      <c r="A63" s="29"/>
      <c r="B63" s="11" t="str">
        <f>CONCATENATE("          ", "6111", " - ", "F.I.C.A.")</f>
        <v xml:space="preserve">          6111 - F.I.C.A.</v>
      </c>
      <c r="C63" s="11"/>
      <c r="D63" s="7">
        <v>838.94</v>
      </c>
      <c r="E63" s="2"/>
      <c r="F63" s="6">
        <f t="shared" si="12"/>
        <v>4.4698696452300034E-2</v>
      </c>
      <c r="G63" s="2"/>
      <c r="H63" s="7">
        <v>874.034530430769</v>
      </c>
      <c r="I63" s="2"/>
      <c r="J63" s="6">
        <f t="shared" si="13"/>
        <v>4.7832021585441309E-2</v>
      </c>
      <c r="K63" s="2"/>
      <c r="L63" s="7">
        <f t="shared" si="14"/>
        <v>-35.094530430768941</v>
      </c>
      <c r="M63" s="2"/>
      <c r="N63" s="6">
        <f t="shared" si="15"/>
        <v>-4.0152338619244894E-2</v>
      </c>
      <c r="O63" s="11"/>
      <c r="P63" s="7">
        <v>838.94</v>
      </c>
      <c r="Q63" s="2"/>
      <c r="R63" s="6">
        <f t="shared" si="16"/>
        <v>4.4698696452300034E-2</v>
      </c>
      <c r="S63" s="2"/>
      <c r="T63" s="7">
        <v>874.034530430769</v>
      </c>
      <c r="U63" s="2"/>
      <c r="V63" s="6">
        <f t="shared" si="17"/>
        <v>4.7832021585441309E-2</v>
      </c>
      <c r="W63" s="2"/>
      <c r="X63" s="7">
        <f t="shared" si="18"/>
        <v>-35.094530430768941</v>
      </c>
      <c r="Y63" s="2"/>
      <c r="Z63" s="6">
        <f t="shared" si="19"/>
        <v>-4.0152338619244894E-2</v>
      </c>
    </row>
    <row r="64" spans="1:26" s="24" customFormat="1" hidden="1" outlineLevel="2" x14ac:dyDescent="0.25">
      <c r="A64" s="29"/>
      <c r="B64" s="11" t="str">
        <f>CONCATENATE("          ", "6112", " - ", "COMPENSATION INSURANCE")</f>
        <v xml:space="preserve">          6112 - COMPENSATION INSURANCE</v>
      </c>
      <c r="C64" s="11"/>
      <c r="D64" s="7">
        <v>207.85</v>
      </c>
      <c r="E64" s="2"/>
      <c r="F64" s="6">
        <f t="shared" si="12"/>
        <v>1.1074241373173959E-2</v>
      </c>
      <c r="G64" s="2"/>
      <c r="H64" s="7">
        <v>249.399875384615</v>
      </c>
      <c r="I64" s="2"/>
      <c r="J64" s="6">
        <f t="shared" si="13"/>
        <v>1.3648545689520878E-2</v>
      </c>
      <c r="K64" s="2"/>
      <c r="L64" s="7">
        <f t="shared" si="14"/>
        <v>-41.549875384615007</v>
      </c>
      <c r="M64" s="2"/>
      <c r="N64" s="6">
        <f t="shared" si="15"/>
        <v>-0.16659942319753918</v>
      </c>
      <c r="O64" s="11"/>
      <c r="P64" s="7">
        <v>207.85</v>
      </c>
      <c r="Q64" s="2"/>
      <c r="R64" s="6">
        <f t="shared" si="16"/>
        <v>1.1074241373173959E-2</v>
      </c>
      <c r="S64" s="2"/>
      <c r="T64" s="7">
        <v>249.399875384615</v>
      </c>
      <c r="U64" s="2"/>
      <c r="V64" s="6">
        <f t="shared" si="17"/>
        <v>1.3648545689520878E-2</v>
      </c>
      <c r="W64" s="2"/>
      <c r="X64" s="7">
        <f t="shared" si="18"/>
        <v>-41.549875384615007</v>
      </c>
      <c r="Y64" s="2"/>
      <c r="Z64" s="6">
        <f t="shared" si="19"/>
        <v>-0.16659942319753918</v>
      </c>
    </row>
    <row r="65" spans="1:26" s="24" customFormat="1" hidden="1" outlineLevel="2" x14ac:dyDescent="0.25">
      <c r="A65" s="29"/>
      <c r="B65" s="11" t="str">
        <f>CONCATENATE("          ", "6113", " - ", "GROUP INSURANCE")</f>
        <v xml:space="preserve">          6113 - GROUP INSURANCE</v>
      </c>
      <c r="C65" s="11"/>
      <c r="D65" s="7">
        <v>1412.76</v>
      </c>
      <c r="E65" s="2"/>
      <c r="F65" s="6">
        <f t="shared" si="12"/>
        <v>7.5271807757350206E-2</v>
      </c>
      <c r="G65" s="2"/>
      <c r="H65" s="7">
        <v>1288.05</v>
      </c>
      <c r="I65" s="2"/>
      <c r="J65" s="6">
        <f t="shared" si="13"/>
        <v>7.048924642915777E-2</v>
      </c>
      <c r="K65" s="2"/>
      <c r="L65" s="7">
        <f t="shared" si="14"/>
        <v>124.71000000000004</v>
      </c>
      <c r="M65" s="2"/>
      <c r="N65" s="6">
        <f t="shared" si="15"/>
        <v>9.6820775591009697E-2</v>
      </c>
      <c r="O65" s="11"/>
      <c r="P65" s="7">
        <v>1412.76</v>
      </c>
      <c r="Q65" s="2"/>
      <c r="R65" s="6">
        <f t="shared" si="16"/>
        <v>7.5271807757350206E-2</v>
      </c>
      <c r="S65" s="2"/>
      <c r="T65" s="7">
        <v>1288.05</v>
      </c>
      <c r="U65" s="2"/>
      <c r="V65" s="6">
        <f t="shared" si="17"/>
        <v>7.048924642915777E-2</v>
      </c>
      <c r="W65" s="2"/>
      <c r="X65" s="7">
        <f t="shared" si="18"/>
        <v>124.71000000000004</v>
      </c>
      <c r="Y65" s="2"/>
      <c r="Z65" s="6">
        <f t="shared" si="19"/>
        <v>9.6820775591009697E-2</v>
      </c>
    </row>
    <row r="66" spans="1:26" s="24" customFormat="1" hidden="1" outlineLevel="2" x14ac:dyDescent="0.25">
      <c r="A66" s="29"/>
      <c r="B66" s="11" t="str">
        <f>CONCATENATE("          ", "6114", " - ", "STATE UNEMPLOYMENT INSURANCE")</f>
        <v xml:space="preserve">          6114 - STATE UNEMPLOYMENT INSURANCE</v>
      </c>
      <c r="C66" s="11"/>
      <c r="D66" s="7">
        <v>28.44</v>
      </c>
      <c r="E66" s="2"/>
      <c r="F66" s="6">
        <f t="shared" si="12"/>
        <v>1.5152822932550753E-3</v>
      </c>
      <c r="G66" s="2"/>
      <c r="H66" s="7">
        <v>34.128404000000003</v>
      </c>
      <c r="I66" s="2"/>
      <c r="J66" s="6">
        <f t="shared" si="13"/>
        <v>1.867695725934439E-3</v>
      </c>
      <c r="K66" s="2"/>
      <c r="L66" s="7">
        <f t="shared" si="14"/>
        <v>-5.688404000000002</v>
      </c>
      <c r="M66" s="2"/>
      <c r="N66" s="6">
        <f t="shared" si="15"/>
        <v>-0.16667653137251895</v>
      </c>
      <c r="O66" s="11"/>
      <c r="P66" s="7">
        <v>28.44</v>
      </c>
      <c r="Q66" s="2"/>
      <c r="R66" s="6">
        <f t="shared" si="16"/>
        <v>1.5152822932550753E-3</v>
      </c>
      <c r="S66" s="2"/>
      <c r="T66" s="7">
        <v>34.128404000000003</v>
      </c>
      <c r="U66" s="2"/>
      <c r="V66" s="6">
        <f t="shared" si="17"/>
        <v>1.867695725934439E-3</v>
      </c>
      <c r="W66" s="2"/>
      <c r="X66" s="7">
        <f t="shared" si="18"/>
        <v>-5.688404000000002</v>
      </c>
      <c r="Y66" s="2"/>
      <c r="Z66" s="6">
        <f t="shared" si="19"/>
        <v>-0.16667653137251895</v>
      </c>
    </row>
    <row r="67" spans="1:26" s="24" customFormat="1" hidden="1" outlineLevel="2" x14ac:dyDescent="0.25">
      <c r="A67" s="29"/>
      <c r="B67" s="11" t="str">
        <f>CONCATENATE("          ", "6115", " - ", "P.E.R.S.")</f>
        <v xml:space="preserve">          6115 - P.E.R.S.</v>
      </c>
      <c r="C67" s="11"/>
      <c r="D67" s="7">
        <v>384.57</v>
      </c>
      <c r="E67" s="2"/>
      <c r="F67" s="6">
        <f t="shared" si="12"/>
        <v>2.0489877338857394E-2</v>
      </c>
      <c r="G67" s="2"/>
      <c r="H67" s="7">
        <v>563.907093846154</v>
      </c>
      <c r="I67" s="2"/>
      <c r="J67" s="6">
        <f t="shared" si="13"/>
        <v>3.0860126626506539E-2</v>
      </c>
      <c r="K67" s="2"/>
      <c r="L67" s="7">
        <f t="shared" si="14"/>
        <v>-179.337093846154</v>
      </c>
      <c r="M67" s="2"/>
      <c r="N67" s="6">
        <f t="shared" si="15"/>
        <v>-0.31802595818218421</v>
      </c>
      <c r="O67" s="11"/>
      <c r="P67" s="7">
        <v>384.57</v>
      </c>
      <c r="Q67" s="2"/>
      <c r="R67" s="6">
        <f t="shared" si="16"/>
        <v>2.0489877338857394E-2</v>
      </c>
      <c r="S67" s="2"/>
      <c r="T67" s="7">
        <v>563.907093846154</v>
      </c>
      <c r="U67" s="2"/>
      <c r="V67" s="6">
        <f t="shared" si="17"/>
        <v>3.0860126626506539E-2</v>
      </c>
      <c r="W67" s="2"/>
      <c r="X67" s="7">
        <f t="shared" si="18"/>
        <v>-179.337093846154</v>
      </c>
      <c r="Y67" s="2"/>
      <c r="Z67" s="6">
        <f t="shared" si="19"/>
        <v>-0.31802595818218421</v>
      </c>
    </row>
    <row r="68" spans="1:26" s="24" customFormat="1" hidden="1" outlineLevel="2" x14ac:dyDescent="0.25">
      <c r="A68" s="29"/>
      <c r="B68" s="11" t="str">
        <f>CONCATENATE("          ", "6116", " - ", "EDUCATIONAL BENEFITS")</f>
        <v xml:space="preserve">          6116 - EDUCATIONAL BENEFITS</v>
      </c>
      <c r="C68" s="11"/>
      <c r="D68" s="7"/>
      <c r="E68" s="2"/>
      <c r="F68" s="6">
        <f t="shared" si="12"/>
        <v>0</v>
      </c>
      <c r="G68" s="2"/>
      <c r="H68" s="7">
        <v>0</v>
      </c>
      <c r="I68" s="2"/>
      <c r="J68" s="6">
        <f t="shared" si="13"/>
        <v>0</v>
      </c>
      <c r="K68" s="2"/>
      <c r="L68" s="7">
        <f t="shared" si="14"/>
        <v>0</v>
      </c>
      <c r="M68" s="2"/>
      <c r="N68" s="6">
        <f t="shared" si="15"/>
        <v>0</v>
      </c>
      <c r="O68" s="11"/>
      <c r="P68" s="7"/>
      <c r="Q68" s="2"/>
      <c r="R68" s="6">
        <f t="shared" si="16"/>
        <v>0</v>
      </c>
      <c r="S68" s="2"/>
      <c r="T68" s="7">
        <v>0</v>
      </c>
      <c r="U68" s="2"/>
      <c r="V68" s="6">
        <f t="shared" si="17"/>
        <v>0</v>
      </c>
      <c r="W68" s="2"/>
      <c r="X68" s="7">
        <f t="shared" si="18"/>
        <v>0</v>
      </c>
      <c r="Y68" s="2"/>
      <c r="Z68" s="6">
        <f t="shared" si="19"/>
        <v>0</v>
      </c>
    </row>
    <row r="69" spans="1:26" s="24" customFormat="1" hidden="1" outlineLevel="2" x14ac:dyDescent="0.25">
      <c r="A69" s="29"/>
      <c r="B69" s="11" t="str">
        <f>CONCATENATE("          ", "6118", " - ", "VACATION")</f>
        <v xml:space="preserve">          6118 - VACATION</v>
      </c>
      <c r="C69" s="11"/>
      <c r="D69" s="7">
        <v>479.28</v>
      </c>
      <c r="E69" s="2"/>
      <c r="F69" s="6">
        <f t="shared" si="12"/>
        <v>2.5536023119243755E-2</v>
      </c>
      <c r="G69" s="2"/>
      <c r="H69" s="7">
        <v>253.69296153846201</v>
      </c>
      <c r="I69" s="2"/>
      <c r="J69" s="6">
        <f t="shared" si="13"/>
        <v>1.3883487196325837E-2</v>
      </c>
      <c r="K69" s="2"/>
      <c r="L69" s="7">
        <f t="shared" si="14"/>
        <v>225.58703846153796</v>
      </c>
      <c r="M69" s="2"/>
      <c r="N69" s="6">
        <f t="shared" si="15"/>
        <v>0.88921283859637956</v>
      </c>
      <c r="O69" s="11"/>
      <c r="P69" s="7">
        <v>479.28</v>
      </c>
      <c r="Q69" s="2"/>
      <c r="R69" s="6">
        <f t="shared" si="16"/>
        <v>2.5536023119243755E-2</v>
      </c>
      <c r="S69" s="2"/>
      <c r="T69" s="7">
        <v>253.69296153846201</v>
      </c>
      <c r="U69" s="2"/>
      <c r="V69" s="6">
        <f t="shared" si="17"/>
        <v>1.3883487196325837E-2</v>
      </c>
      <c r="W69" s="2"/>
      <c r="X69" s="7">
        <f t="shared" si="18"/>
        <v>225.58703846153796</v>
      </c>
      <c r="Y69" s="2"/>
      <c r="Z69" s="6">
        <f t="shared" si="19"/>
        <v>0.88921283859637956</v>
      </c>
    </row>
    <row r="70" spans="1:26" s="24" customFormat="1" hidden="1" outlineLevel="2" x14ac:dyDescent="0.25">
      <c r="A70" s="29"/>
      <c r="B70" s="11" t="str">
        <f>CONCATENATE("          ", "6119", " - ", "SICK LEAVE")</f>
        <v xml:space="preserve">          6119 - SICK LEAVE</v>
      </c>
      <c r="C70" s="11"/>
      <c r="D70" s="7">
        <v>461.46</v>
      </c>
      <c r="E70" s="2"/>
      <c r="F70" s="6">
        <f t="shared" si="12"/>
        <v>2.4586574087394057E-2</v>
      </c>
      <c r="G70" s="2"/>
      <c r="H70" s="7">
        <v>259.43427692307699</v>
      </c>
      <c r="I70" s="2"/>
      <c r="J70" s="6">
        <f t="shared" si="13"/>
        <v>1.4197683846280141E-2</v>
      </c>
      <c r="K70" s="2"/>
      <c r="L70" s="7">
        <f t="shared" si="14"/>
        <v>202.02572307692299</v>
      </c>
      <c r="M70" s="2"/>
      <c r="N70" s="6">
        <f t="shared" si="15"/>
        <v>0.77871638810789912</v>
      </c>
      <c r="O70" s="11"/>
      <c r="P70" s="7">
        <v>461.46</v>
      </c>
      <c r="Q70" s="2"/>
      <c r="R70" s="6">
        <f t="shared" si="16"/>
        <v>2.4586574087394057E-2</v>
      </c>
      <c r="S70" s="2"/>
      <c r="T70" s="7">
        <v>259.43427692307699</v>
      </c>
      <c r="U70" s="2"/>
      <c r="V70" s="6">
        <f t="shared" si="17"/>
        <v>1.4197683846280141E-2</v>
      </c>
      <c r="W70" s="2"/>
      <c r="X70" s="7">
        <f t="shared" si="18"/>
        <v>202.02572307692299</v>
      </c>
      <c r="Y70" s="2"/>
      <c r="Z70" s="6">
        <f t="shared" si="19"/>
        <v>0.77871638810789912</v>
      </c>
    </row>
    <row r="71" spans="1:26" s="24" customFormat="1" hidden="1" outlineLevel="2" x14ac:dyDescent="0.25">
      <c r="A71" s="29"/>
      <c r="B71" s="11" t="str">
        <f>CONCATENATE("          ", "6156", " - ", "EMPLOYEE MEALS")</f>
        <v xml:space="preserve">          6156 - EMPLOYEE MEALS</v>
      </c>
      <c r="C71" s="11"/>
      <c r="D71" s="7">
        <v>148.72999999999999</v>
      </c>
      <c r="E71" s="2"/>
      <c r="F71" s="6">
        <f t="shared" si="12"/>
        <v>7.9243296580811303E-3</v>
      </c>
      <c r="G71" s="2"/>
      <c r="H71" s="7"/>
      <c r="I71" s="2"/>
      <c r="J71" s="6">
        <f t="shared" si="13"/>
        <v>0</v>
      </c>
      <c r="K71" s="2"/>
      <c r="L71" s="7">
        <f t="shared" si="14"/>
        <v>148.72999999999999</v>
      </c>
      <c r="M71" s="2"/>
      <c r="N71" s="6">
        <f t="shared" si="15"/>
        <v>0</v>
      </c>
      <c r="O71" s="11"/>
      <c r="P71" s="7">
        <v>148.72999999999999</v>
      </c>
      <c r="Q71" s="2"/>
      <c r="R71" s="6">
        <f t="shared" si="16"/>
        <v>7.9243296580811303E-3</v>
      </c>
      <c r="S71" s="2"/>
      <c r="T71" s="7"/>
      <c r="U71" s="2"/>
      <c r="V71" s="6">
        <f t="shared" si="17"/>
        <v>0</v>
      </c>
      <c r="W71" s="2"/>
      <c r="X71" s="7">
        <f t="shared" si="18"/>
        <v>148.72999999999999</v>
      </c>
      <c r="Y71" s="2"/>
      <c r="Z71" s="6">
        <f t="shared" si="19"/>
        <v>0</v>
      </c>
    </row>
    <row r="72" spans="1:26" s="27" customFormat="1" outlineLevel="1" collapsed="1" x14ac:dyDescent="0.25">
      <c r="A72" s="28"/>
      <c r="B72" s="14" t="str">
        <f>CONCATENATE("     ","*Payroll                                          ")</f>
        <v xml:space="preserve">     *Payroll                                          </v>
      </c>
      <c r="C72" s="14"/>
      <c r="D72" s="1">
        <f>SUM(OSRRefD22_1x_0)</f>
        <v>15323.98</v>
      </c>
      <c r="E72" s="1"/>
      <c r="F72" s="5">
        <f t="shared" ref="F72:F82" si="20">IF(D$12=0,0,D72/D$12)</f>
        <v>0.81646116582963812</v>
      </c>
      <c r="G72" s="1"/>
      <c r="H72" s="1">
        <f>SUM(OSRRefH22_1x_0)</f>
        <v>12847.21949230769</v>
      </c>
      <c r="I72" s="1"/>
      <c r="J72" s="5">
        <f t="shared" ref="J72:J82" si="21">IF(H$12=0,0,H72/H$12)</f>
        <v>0.70307117015857767</v>
      </c>
      <c r="K72" s="1"/>
      <c r="L72" s="1">
        <f t="shared" ref="L72:L82" si="22">+D72-H72</f>
        <v>2476.7605076923101</v>
      </c>
      <c r="M72" s="1"/>
      <c r="N72" s="5">
        <f t="shared" ref="N72:N82" si="23">IF(H72=0,0,L72/H72)</f>
        <v>0.19278572372607766</v>
      </c>
      <c r="O72" s="14"/>
      <c r="P72" s="1">
        <f>SUM(OSRRefP22_1x_0)</f>
        <v>15323.98</v>
      </c>
      <c r="Q72" s="1"/>
      <c r="R72" s="5">
        <f t="shared" ref="R72:R82" si="24">IF(P$12=0,0,P72/P$12)</f>
        <v>0.81646116582963812</v>
      </c>
      <c r="S72" s="1"/>
      <c r="T72" s="1">
        <f>SUM(OSRRefT22_1x_0)</f>
        <v>12847.21949230769</v>
      </c>
      <c r="U72" s="1"/>
      <c r="V72" s="5">
        <f t="shared" ref="V72:V82" si="25">IF(T$12=0,0,T72/T$12)</f>
        <v>0.70307117015857767</v>
      </c>
      <c r="W72" s="1"/>
      <c r="X72" s="1">
        <f t="shared" ref="X72:X82" si="26">+P72-T72</f>
        <v>2476.7605076923101</v>
      </c>
      <c r="Y72" s="1"/>
      <c r="Z72" s="5">
        <f t="shared" ref="Z72:Z82" si="27">IF(T72=0,0,X72/T72)</f>
        <v>0.19278572372607766</v>
      </c>
    </row>
    <row r="73" spans="1:26" s="24" customFormat="1" hidden="1" outlineLevel="2" x14ac:dyDescent="0.25">
      <c r="A73" s="29"/>
      <c r="B73" s="11" t="str">
        <f>CONCATENATE("          ", "6001", " - ", "ADMINISTRATIVE SALARIES")</f>
        <v xml:space="preserve">          6001 - ADMINISTRATIVE SALARIES</v>
      </c>
      <c r="C73" s="11"/>
      <c r="D73" s="7"/>
      <c r="E73" s="2"/>
      <c r="F73" s="6">
        <f t="shared" si="20"/>
        <v>0</v>
      </c>
      <c r="G73" s="2"/>
      <c r="H73" s="7">
        <v>6329.1344923076904</v>
      </c>
      <c r="I73" s="2"/>
      <c r="J73" s="6">
        <f t="shared" si="21"/>
        <v>0.34636537472268869</v>
      </c>
      <c r="K73" s="2"/>
      <c r="L73" s="7">
        <f t="shared" si="22"/>
        <v>-6329.1344923076904</v>
      </c>
      <c r="M73" s="2"/>
      <c r="N73" s="6">
        <f t="shared" si="23"/>
        <v>-1</v>
      </c>
      <c r="O73" s="11"/>
      <c r="P73" s="7"/>
      <c r="Q73" s="2"/>
      <c r="R73" s="6">
        <f t="shared" si="24"/>
        <v>0</v>
      </c>
      <c r="S73" s="2"/>
      <c r="T73" s="7">
        <v>6329.1344923076904</v>
      </c>
      <c r="U73" s="2"/>
      <c r="V73" s="6">
        <f t="shared" si="25"/>
        <v>0.34636537472268869</v>
      </c>
      <c r="W73" s="2"/>
      <c r="X73" s="7">
        <f t="shared" si="26"/>
        <v>-6329.1344923076904</v>
      </c>
      <c r="Y73" s="2"/>
      <c r="Z73" s="6">
        <f t="shared" si="27"/>
        <v>-1</v>
      </c>
    </row>
    <row r="74" spans="1:26" s="24" customFormat="1" hidden="1" outlineLevel="2" x14ac:dyDescent="0.25">
      <c r="A74" s="29"/>
      <c r="B74" s="11" t="str">
        <f>CONCATENATE("          ", "6002", " - ", "STAFF SALARIES")</f>
        <v xml:space="preserve">          6002 - STAFF SALARIES</v>
      </c>
      <c r="C74" s="11"/>
      <c r="D74" s="7">
        <v>8779.41</v>
      </c>
      <c r="E74" s="2"/>
      <c r="F74" s="6">
        <f t="shared" si="20"/>
        <v>0.46776668488841561</v>
      </c>
      <c r="G74" s="2"/>
      <c r="H74" s="7">
        <v>0</v>
      </c>
      <c r="I74" s="2"/>
      <c r="J74" s="6">
        <f t="shared" si="21"/>
        <v>0</v>
      </c>
      <c r="K74" s="2"/>
      <c r="L74" s="7">
        <f t="shared" si="22"/>
        <v>8779.41</v>
      </c>
      <c r="M74" s="2"/>
      <c r="N74" s="6">
        <f t="shared" si="23"/>
        <v>0</v>
      </c>
      <c r="O74" s="11"/>
      <c r="P74" s="7">
        <v>8779.41</v>
      </c>
      <c r="Q74" s="2"/>
      <c r="R74" s="6">
        <f t="shared" si="24"/>
        <v>0.46776668488841561</v>
      </c>
      <c r="S74" s="2"/>
      <c r="T74" s="7">
        <v>0</v>
      </c>
      <c r="U74" s="2"/>
      <c r="V74" s="6">
        <f t="shared" si="25"/>
        <v>0</v>
      </c>
      <c r="W74" s="2"/>
      <c r="X74" s="7">
        <f t="shared" si="26"/>
        <v>8779.41</v>
      </c>
      <c r="Y74" s="2"/>
      <c r="Z74" s="6">
        <f t="shared" si="27"/>
        <v>0</v>
      </c>
    </row>
    <row r="75" spans="1:26" s="24" customFormat="1" hidden="1" outlineLevel="2" x14ac:dyDescent="0.25">
      <c r="A75" s="29"/>
      <c r="B75" s="11" t="str">
        <f>CONCATENATE("          ", "6003", " - ", "STAFF HOURLY-9 MONTH")</f>
        <v xml:space="preserve">          6003 - STAFF HOURLY-9 MONTH</v>
      </c>
      <c r="C75" s="11"/>
      <c r="D75" s="7"/>
      <c r="E75" s="2"/>
      <c r="F75" s="6">
        <f t="shared" si="20"/>
        <v>0</v>
      </c>
      <c r="G75" s="2"/>
      <c r="H75" s="7">
        <v>0</v>
      </c>
      <c r="I75" s="2"/>
      <c r="J75" s="6">
        <f t="shared" si="21"/>
        <v>0</v>
      </c>
      <c r="K75" s="2"/>
      <c r="L75" s="7">
        <f t="shared" si="22"/>
        <v>0</v>
      </c>
      <c r="M75" s="2"/>
      <c r="N75" s="6">
        <f t="shared" si="23"/>
        <v>0</v>
      </c>
      <c r="O75" s="11"/>
      <c r="P75" s="7"/>
      <c r="Q75" s="2"/>
      <c r="R75" s="6">
        <f t="shared" si="24"/>
        <v>0</v>
      </c>
      <c r="S75" s="2"/>
      <c r="T75" s="7">
        <v>0</v>
      </c>
      <c r="U75" s="2"/>
      <c r="V75" s="6">
        <f t="shared" si="25"/>
        <v>0</v>
      </c>
      <c r="W75" s="2"/>
      <c r="X75" s="7">
        <f t="shared" si="26"/>
        <v>0</v>
      </c>
      <c r="Y75" s="2"/>
      <c r="Z75" s="6">
        <f t="shared" si="27"/>
        <v>0</v>
      </c>
    </row>
    <row r="76" spans="1:26" s="24" customFormat="1" hidden="1" outlineLevel="2" x14ac:dyDescent="0.25">
      <c r="A76" s="29"/>
      <c r="B76" s="11" t="str">
        <f>CONCATENATE("          ", "6004", " - ", "STAFF HOURLY")</f>
        <v xml:space="preserve">          6004 - STAFF HOURLY</v>
      </c>
      <c r="C76" s="11"/>
      <c r="D76" s="7"/>
      <c r="E76" s="2"/>
      <c r="F76" s="6">
        <f t="shared" si="20"/>
        <v>0</v>
      </c>
      <c r="G76" s="2"/>
      <c r="H76" s="7">
        <v>0</v>
      </c>
      <c r="I76" s="2"/>
      <c r="J76" s="6">
        <f t="shared" si="21"/>
        <v>0</v>
      </c>
      <c r="K76" s="2"/>
      <c r="L76" s="7">
        <f t="shared" si="22"/>
        <v>0</v>
      </c>
      <c r="M76" s="2"/>
      <c r="N76" s="6">
        <f t="shared" si="23"/>
        <v>0</v>
      </c>
      <c r="O76" s="11"/>
      <c r="P76" s="7"/>
      <c r="Q76" s="2"/>
      <c r="R76" s="6">
        <f t="shared" si="24"/>
        <v>0</v>
      </c>
      <c r="S76" s="2"/>
      <c r="T76" s="7">
        <v>0</v>
      </c>
      <c r="U76" s="2"/>
      <c r="V76" s="6">
        <f t="shared" si="25"/>
        <v>0</v>
      </c>
      <c r="W76" s="2"/>
      <c r="X76" s="7">
        <f t="shared" si="26"/>
        <v>0</v>
      </c>
      <c r="Y76" s="2"/>
      <c r="Z76" s="6">
        <f t="shared" si="27"/>
        <v>0</v>
      </c>
    </row>
    <row r="77" spans="1:26" s="24" customFormat="1" hidden="1" outlineLevel="2" x14ac:dyDescent="0.25">
      <c r="A77" s="29"/>
      <c r="B77" s="11" t="str">
        <f>CONCATENATE("          ", "6005", " - ", "TEMPORARY WAGES-HOURLY")</f>
        <v xml:space="preserve">          6005 - TEMPORARY WAGES-HOURLY</v>
      </c>
      <c r="C77" s="11"/>
      <c r="D77" s="7"/>
      <c r="E77" s="2"/>
      <c r="F77" s="6">
        <f t="shared" si="20"/>
        <v>0</v>
      </c>
      <c r="G77" s="2"/>
      <c r="H77" s="7">
        <v>0</v>
      </c>
      <c r="I77" s="2"/>
      <c r="J77" s="6">
        <f t="shared" si="21"/>
        <v>0</v>
      </c>
      <c r="K77" s="2"/>
      <c r="L77" s="7">
        <f t="shared" si="22"/>
        <v>0</v>
      </c>
      <c r="M77" s="2"/>
      <c r="N77" s="6">
        <f t="shared" si="23"/>
        <v>0</v>
      </c>
      <c r="O77" s="11"/>
      <c r="P77" s="7"/>
      <c r="Q77" s="2"/>
      <c r="R77" s="6">
        <f t="shared" si="24"/>
        <v>0</v>
      </c>
      <c r="S77" s="2"/>
      <c r="T77" s="7">
        <v>0</v>
      </c>
      <c r="U77" s="2"/>
      <c r="V77" s="6">
        <f t="shared" si="25"/>
        <v>0</v>
      </c>
      <c r="W77" s="2"/>
      <c r="X77" s="7">
        <f t="shared" si="26"/>
        <v>0</v>
      </c>
      <c r="Y77" s="2"/>
      <c r="Z77" s="6">
        <f t="shared" si="27"/>
        <v>0</v>
      </c>
    </row>
    <row r="78" spans="1:26" s="24" customFormat="1" hidden="1" outlineLevel="2" x14ac:dyDescent="0.25">
      <c r="A78" s="29"/>
      <c r="B78" s="11" t="str">
        <f>CONCATENATE("          ", "6006", " - ", "TEMPORARY PART TIME")</f>
        <v xml:space="preserve">          6006 - TEMPORARY PART TIME</v>
      </c>
      <c r="C78" s="11"/>
      <c r="D78" s="7">
        <v>25.5</v>
      </c>
      <c r="E78" s="2"/>
      <c r="F78" s="6">
        <f t="shared" si="20"/>
        <v>1.35863918699031E-3</v>
      </c>
      <c r="G78" s="2"/>
      <c r="H78" s="7">
        <v>0</v>
      </c>
      <c r="I78" s="2"/>
      <c r="J78" s="6">
        <f t="shared" si="21"/>
        <v>0</v>
      </c>
      <c r="K78" s="2"/>
      <c r="L78" s="7">
        <f t="shared" si="22"/>
        <v>25.5</v>
      </c>
      <c r="M78" s="2"/>
      <c r="N78" s="6">
        <f t="shared" si="23"/>
        <v>0</v>
      </c>
      <c r="O78" s="11"/>
      <c r="P78" s="7">
        <v>25.5</v>
      </c>
      <c r="Q78" s="2"/>
      <c r="R78" s="6">
        <f t="shared" si="24"/>
        <v>1.35863918699031E-3</v>
      </c>
      <c r="S78" s="2"/>
      <c r="T78" s="7">
        <v>0</v>
      </c>
      <c r="U78" s="2"/>
      <c r="V78" s="6">
        <f t="shared" si="25"/>
        <v>0</v>
      </c>
      <c r="W78" s="2"/>
      <c r="X78" s="7">
        <f t="shared" si="26"/>
        <v>25.5</v>
      </c>
      <c r="Y78" s="2"/>
      <c r="Z78" s="6">
        <f t="shared" si="27"/>
        <v>0</v>
      </c>
    </row>
    <row r="79" spans="1:26" s="24" customFormat="1" hidden="1" outlineLevel="2" x14ac:dyDescent="0.25">
      <c r="A79" s="29"/>
      <c r="B79" s="11" t="str">
        <f>CONCATENATE("          ", "6007", " - ", "STUDENT HOURLY")</f>
        <v xml:space="preserve">          6007 - STUDENT HOURLY</v>
      </c>
      <c r="C79" s="11"/>
      <c r="D79" s="7">
        <v>6519.07</v>
      </c>
      <c r="E79" s="2"/>
      <c r="F79" s="6">
        <f t="shared" si="20"/>
        <v>0.34733584175423216</v>
      </c>
      <c r="G79" s="2"/>
      <c r="H79" s="7">
        <v>4863.75</v>
      </c>
      <c r="I79" s="2"/>
      <c r="J79" s="6">
        <f t="shared" si="21"/>
        <v>0.26617140042685933</v>
      </c>
      <c r="K79" s="2"/>
      <c r="L79" s="7">
        <f t="shared" si="22"/>
        <v>1655.3199999999997</v>
      </c>
      <c r="M79" s="2"/>
      <c r="N79" s="6">
        <f t="shared" si="23"/>
        <v>0.34033821639681311</v>
      </c>
      <c r="O79" s="11"/>
      <c r="P79" s="7">
        <v>6519.07</v>
      </c>
      <c r="Q79" s="2"/>
      <c r="R79" s="6">
        <f t="shared" si="24"/>
        <v>0.34733584175423216</v>
      </c>
      <c r="S79" s="2"/>
      <c r="T79" s="7">
        <v>4863.75</v>
      </c>
      <c r="U79" s="2"/>
      <c r="V79" s="6">
        <f t="shared" si="25"/>
        <v>0.26617140042685933</v>
      </c>
      <c r="W79" s="2"/>
      <c r="X79" s="7">
        <f t="shared" si="26"/>
        <v>1655.3199999999997</v>
      </c>
      <c r="Y79" s="2"/>
      <c r="Z79" s="6">
        <f t="shared" si="27"/>
        <v>0.34033821639681311</v>
      </c>
    </row>
    <row r="80" spans="1:26" s="24" customFormat="1" hidden="1" outlineLevel="2" x14ac:dyDescent="0.25">
      <c r="A80" s="29"/>
      <c r="B80" s="11" t="str">
        <f>CONCATENATE("          ", "6008", " - ", "STUDENT HOURLY-FICA EXEMPT")</f>
        <v xml:space="preserve">          6008 - STUDENT HOURLY-FICA EXEMPT</v>
      </c>
      <c r="C80" s="11"/>
      <c r="D80" s="7"/>
      <c r="E80" s="2"/>
      <c r="F80" s="6">
        <f t="shared" si="20"/>
        <v>0</v>
      </c>
      <c r="G80" s="2"/>
      <c r="H80" s="7">
        <v>1654.335</v>
      </c>
      <c r="I80" s="2"/>
      <c r="J80" s="6">
        <f t="shared" si="21"/>
        <v>9.0534395009029711E-2</v>
      </c>
      <c r="K80" s="2"/>
      <c r="L80" s="7">
        <f t="shared" si="22"/>
        <v>-1654.335</v>
      </c>
      <c r="M80" s="2"/>
      <c r="N80" s="6">
        <f t="shared" si="23"/>
        <v>-1</v>
      </c>
      <c r="O80" s="11"/>
      <c r="P80" s="7"/>
      <c r="Q80" s="2"/>
      <c r="R80" s="6">
        <f t="shared" si="24"/>
        <v>0</v>
      </c>
      <c r="S80" s="2"/>
      <c r="T80" s="7">
        <v>1654.335</v>
      </c>
      <c r="U80" s="2"/>
      <c r="V80" s="6">
        <f t="shared" si="25"/>
        <v>9.0534395009029711E-2</v>
      </c>
      <c r="W80" s="2"/>
      <c r="X80" s="7">
        <f t="shared" si="26"/>
        <v>-1654.335</v>
      </c>
      <c r="Y80" s="2"/>
      <c r="Z80" s="6">
        <f t="shared" si="27"/>
        <v>-1</v>
      </c>
    </row>
    <row r="81" spans="1:26" s="24" customFormat="1" hidden="1" outlineLevel="2" x14ac:dyDescent="0.25">
      <c r="A81" s="29"/>
      <c r="B81" s="11" t="str">
        <f>CONCATENATE("          ", "6009", " - ", "TEMPORARY-SEASONAL")</f>
        <v xml:space="preserve">          6009 - TEMPORARY-SEASONAL</v>
      </c>
      <c r="C81" s="11"/>
      <c r="D81" s="7"/>
      <c r="E81" s="2"/>
      <c r="F81" s="6">
        <f t="shared" si="20"/>
        <v>0</v>
      </c>
      <c r="G81" s="2"/>
      <c r="H81" s="7">
        <v>0</v>
      </c>
      <c r="I81" s="2"/>
      <c r="J81" s="6">
        <f t="shared" si="21"/>
        <v>0</v>
      </c>
      <c r="K81" s="2"/>
      <c r="L81" s="7">
        <f t="shared" si="22"/>
        <v>0</v>
      </c>
      <c r="M81" s="2"/>
      <c r="N81" s="6">
        <f t="shared" si="23"/>
        <v>0</v>
      </c>
      <c r="O81" s="11"/>
      <c r="P81" s="7"/>
      <c r="Q81" s="2"/>
      <c r="R81" s="6">
        <f t="shared" si="24"/>
        <v>0</v>
      </c>
      <c r="S81" s="2"/>
      <c r="T81" s="7">
        <v>0</v>
      </c>
      <c r="U81" s="2"/>
      <c r="V81" s="6">
        <f t="shared" si="25"/>
        <v>0</v>
      </c>
      <c r="W81" s="2"/>
      <c r="X81" s="7">
        <f t="shared" si="26"/>
        <v>0</v>
      </c>
      <c r="Y81" s="2"/>
      <c r="Z81" s="6">
        <f t="shared" si="27"/>
        <v>0</v>
      </c>
    </row>
    <row r="82" spans="1:26" s="24" customFormat="1" hidden="1" outlineLevel="2" x14ac:dyDescent="0.25">
      <c r="A82" s="29"/>
      <c r="B82" s="11" t="str">
        <f>CONCATENATE("          ", "6010", " - ", "GRATUITY")</f>
        <v xml:space="preserve">          6010 - GRATUITY</v>
      </c>
      <c r="C82" s="11"/>
      <c r="D82" s="7"/>
      <c r="E82" s="2"/>
      <c r="F82" s="6">
        <f t="shared" si="20"/>
        <v>0</v>
      </c>
      <c r="G82" s="2"/>
      <c r="H82" s="7">
        <v>0</v>
      </c>
      <c r="I82" s="2"/>
      <c r="J82" s="6">
        <f t="shared" si="21"/>
        <v>0</v>
      </c>
      <c r="K82" s="2"/>
      <c r="L82" s="7">
        <f t="shared" si="22"/>
        <v>0</v>
      </c>
      <c r="M82" s="2"/>
      <c r="N82" s="6">
        <f t="shared" si="23"/>
        <v>0</v>
      </c>
      <c r="O82" s="11"/>
      <c r="P82" s="7"/>
      <c r="Q82" s="2"/>
      <c r="R82" s="6">
        <f t="shared" si="24"/>
        <v>0</v>
      </c>
      <c r="S82" s="2"/>
      <c r="T82" s="7">
        <v>0</v>
      </c>
      <c r="U82" s="2"/>
      <c r="V82" s="6">
        <f t="shared" si="25"/>
        <v>0</v>
      </c>
      <c r="W82" s="2"/>
      <c r="X82" s="7">
        <f t="shared" si="26"/>
        <v>0</v>
      </c>
      <c r="Y82" s="2"/>
      <c r="Z82" s="6">
        <f t="shared" si="27"/>
        <v>0</v>
      </c>
    </row>
    <row r="83" spans="1:26" s="27" customFormat="1" outlineLevel="1" collapsed="1" x14ac:dyDescent="0.25">
      <c r="A83" s="28"/>
      <c r="B83" s="14" t="str">
        <f>CONCATENATE("     ","Advertising/Promo                                 ")</f>
        <v xml:space="preserve">     Advertising/Promo                                 </v>
      </c>
      <c r="C83" s="14"/>
      <c r="D83" s="1">
        <f>SUM(OSRRefD22_2x_0)</f>
        <v>0</v>
      </c>
      <c r="E83" s="1"/>
      <c r="F83" s="5">
        <f t="shared" ref="F83:F99" si="28">IF(D$12=0,0,D83/D$12)</f>
        <v>0</v>
      </c>
      <c r="G83" s="1"/>
      <c r="H83" s="1">
        <f>SUM(OSRRefH22_2x_0)</f>
        <v>120</v>
      </c>
      <c r="I83" s="1"/>
      <c r="J83" s="5">
        <f t="shared" ref="J83:J99" si="29">IF(H$12=0,0,H83/H$12)</f>
        <v>6.5670661631915938E-3</v>
      </c>
      <c r="K83" s="1"/>
      <c r="L83" s="1">
        <f t="shared" ref="L83:L99" si="30">+D83-H83</f>
        <v>-120</v>
      </c>
      <c r="M83" s="1"/>
      <c r="N83" s="5">
        <f t="shared" ref="N83:N99" si="31">IF(H83=0,0,L83/H83)</f>
        <v>-1</v>
      </c>
      <c r="O83" s="14"/>
      <c r="P83" s="1">
        <f>SUM(OSRRefP22_2x_0)</f>
        <v>0</v>
      </c>
      <c r="Q83" s="1"/>
      <c r="R83" s="5">
        <f t="shared" ref="R83:R99" si="32">IF(P$12=0,0,P83/P$12)</f>
        <v>0</v>
      </c>
      <c r="S83" s="1"/>
      <c r="T83" s="1">
        <f>SUM(OSRRefT22_2x_0)</f>
        <v>120</v>
      </c>
      <c r="U83" s="1"/>
      <c r="V83" s="5">
        <f t="shared" ref="V83:V99" si="33">IF(T$12=0,0,T83/T$12)</f>
        <v>6.5670661631915938E-3</v>
      </c>
      <c r="W83" s="1"/>
      <c r="X83" s="1">
        <f t="shared" ref="X83:X99" si="34">+P83-T83</f>
        <v>-120</v>
      </c>
      <c r="Y83" s="1"/>
      <c r="Z83" s="5">
        <f t="shared" ref="Z83:Z99" si="35">IF(T83=0,0,X83/T83)</f>
        <v>-1</v>
      </c>
    </row>
    <row r="84" spans="1:26" s="24" customFormat="1" hidden="1" outlineLevel="2" x14ac:dyDescent="0.25">
      <c r="A84" s="29"/>
      <c r="B84" s="11" t="str">
        <f>CONCATENATE("          ", "6362", " - ", "ADVERTISING EXPENSE")</f>
        <v xml:space="preserve">          6362 - ADVERTISING EXPENSE</v>
      </c>
      <c r="C84" s="11"/>
      <c r="D84" s="7"/>
      <c r="E84" s="2"/>
      <c r="F84" s="6">
        <f t="shared" si="28"/>
        <v>0</v>
      </c>
      <c r="G84" s="2"/>
      <c r="H84" s="7">
        <v>120</v>
      </c>
      <c r="I84" s="2"/>
      <c r="J84" s="6">
        <f t="shared" si="29"/>
        <v>6.5670661631915938E-3</v>
      </c>
      <c r="K84" s="2"/>
      <c r="L84" s="7">
        <f t="shared" si="30"/>
        <v>-120</v>
      </c>
      <c r="M84" s="2"/>
      <c r="N84" s="6">
        <f t="shared" si="31"/>
        <v>-1</v>
      </c>
      <c r="O84" s="11"/>
      <c r="P84" s="7"/>
      <c r="Q84" s="2"/>
      <c r="R84" s="6">
        <f t="shared" si="32"/>
        <v>0</v>
      </c>
      <c r="S84" s="2"/>
      <c r="T84" s="7">
        <v>120</v>
      </c>
      <c r="U84" s="2"/>
      <c r="V84" s="6">
        <f t="shared" si="33"/>
        <v>6.5670661631915938E-3</v>
      </c>
      <c r="W84" s="2"/>
      <c r="X84" s="7">
        <f t="shared" si="34"/>
        <v>-120</v>
      </c>
      <c r="Y84" s="2"/>
      <c r="Z84" s="6">
        <f t="shared" si="35"/>
        <v>-1</v>
      </c>
    </row>
    <row r="85" spans="1:26" s="27" customFormat="1" outlineLevel="1" collapsed="1" x14ac:dyDescent="0.25">
      <c r="A85" s="28"/>
      <c r="B85" s="14" t="str">
        <f>CONCATENATE("     ","Bad Debts/Over/Short                              ")</f>
        <v xml:space="preserve">     Bad Debts/Over/Short                              </v>
      </c>
      <c r="C85" s="14"/>
      <c r="D85" s="1">
        <f>SUM(OSRRefD22_3x_0)</f>
        <v>0.38</v>
      </c>
      <c r="E85" s="1"/>
      <c r="F85" s="5">
        <f t="shared" si="28"/>
        <v>2.0246387884561485E-5</v>
      </c>
      <c r="G85" s="1"/>
      <c r="H85" s="1">
        <f>SUM(OSRRefH22_3x_0)</f>
        <v>0</v>
      </c>
      <c r="I85" s="1"/>
      <c r="J85" s="5">
        <f t="shared" si="29"/>
        <v>0</v>
      </c>
      <c r="K85" s="1"/>
      <c r="L85" s="1">
        <f t="shared" si="30"/>
        <v>0.38</v>
      </c>
      <c r="M85" s="1"/>
      <c r="N85" s="5">
        <f t="shared" si="31"/>
        <v>0</v>
      </c>
      <c r="O85" s="14"/>
      <c r="P85" s="1">
        <f>SUM(OSRRefP22_3x_0)</f>
        <v>0.38</v>
      </c>
      <c r="Q85" s="1"/>
      <c r="R85" s="5">
        <f t="shared" si="32"/>
        <v>2.0246387884561485E-5</v>
      </c>
      <c r="S85" s="1"/>
      <c r="T85" s="1">
        <f>SUM(OSRRefT22_3x_0)</f>
        <v>0</v>
      </c>
      <c r="U85" s="1"/>
      <c r="V85" s="5">
        <f t="shared" si="33"/>
        <v>0</v>
      </c>
      <c r="W85" s="1"/>
      <c r="X85" s="1">
        <f t="shared" si="34"/>
        <v>0.38</v>
      </c>
      <c r="Y85" s="1"/>
      <c r="Z85" s="5">
        <f t="shared" si="35"/>
        <v>0</v>
      </c>
    </row>
    <row r="86" spans="1:26" s="24" customFormat="1" hidden="1" outlineLevel="2" x14ac:dyDescent="0.25">
      <c r="A86" s="29"/>
      <c r="B86" s="11" t="str">
        <f>CONCATENATE("          ", "6272", " - ", "CASH (OVER/SHORT)")</f>
        <v xml:space="preserve">          6272 - CASH (OVER/SHORT)</v>
      </c>
      <c r="C86" s="11"/>
      <c r="D86" s="7">
        <v>0.38</v>
      </c>
      <c r="E86" s="2"/>
      <c r="F86" s="6">
        <f t="shared" si="28"/>
        <v>2.0246387884561485E-5</v>
      </c>
      <c r="G86" s="2"/>
      <c r="H86" s="7"/>
      <c r="I86" s="2"/>
      <c r="J86" s="6">
        <f t="shared" si="29"/>
        <v>0</v>
      </c>
      <c r="K86" s="2"/>
      <c r="L86" s="7">
        <f t="shared" si="30"/>
        <v>0.38</v>
      </c>
      <c r="M86" s="2"/>
      <c r="N86" s="6">
        <f t="shared" si="31"/>
        <v>0</v>
      </c>
      <c r="O86" s="11"/>
      <c r="P86" s="7">
        <v>0.38</v>
      </c>
      <c r="Q86" s="2"/>
      <c r="R86" s="6">
        <f t="shared" si="32"/>
        <v>2.0246387884561485E-5</v>
      </c>
      <c r="S86" s="2"/>
      <c r="T86" s="7"/>
      <c r="U86" s="2"/>
      <c r="V86" s="6">
        <f t="shared" si="33"/>
        <v>0</v>
      </c>
      <c r="W86" s="2"/>
      <c r="X86" s="7">
        <f t="shared" si="34"/>
        <v>0.38</v>
      </c>
      <c r="Y86" s="2"/>
      <c r="Z86" s="6">
        <f t="shared" si="35"/>
        <v>0</v>
      </c>
    </row>
    <row r="87" spans="1:26" s="27" customFormat="1" outlineLevel="1" collapsed="1" x14ac:dyDescent="0.25">
      <c r="A87" s="28"/>
      <c r="B87" s="14" t="str">
        <f>CONCATENATE("     ","Discounts and Markdowns                           ")</f>
        <v xml:space="preserve">     Discounts and Markdowns                           </v>
      </c>
      <c r="C87" s="14"/>
      <c r="D87" s="1">
        <f>SUM(OSRRefD22_4x_0)</f>
        <v>2285.6</v>
      </c>
      <c r="E87" s="1"/>
      <c r="F87" s="5">
        <f t="shared" si="28"/>
        <v>0.12177669512882559</v>
      </c>
      <c r="G87" s="1"/>
      <c r="H87" s="1">
        <f>SUM(OSRRefH22_4x_0)</f>
        <v>2500</v>
      </c>
      <c r="I87" s="1"/>
      <c r="J87" s="5">
        <f t="shared" si="29"/>
        <v>0.13681387839982487</v>
      </c>
      <c r="K87" s="1"/>
      <c r="L87" s="1">
        <f t="shared" si="30"/>
        <v>-214.40000000000009</v>
      </c>
      <c r="M87" s="1"/>
      <c r="N87" s="5">
        <f t="shared" si="31"/>
        <v>-8.5760000000000031E-2</v>
      </c>
      <c r="O87" s="14"/>
      <c r="P87" s="1">
        <f>SUM(OSRRefP22_4x_0)</f>
        <v>2285.6</v>
      </c>
      <c r="Q87" s="1"/>
      <c r="R87" s="5">
        <f t="shared" si="32"/>
        <v>0.12177669512882559</v>
      </c>
      <c r="S87" s="1"/>
      <c r="T87" s="1">
        <f>SUM(OSRRefT22_4x_0)</f>
        <v>2500</v>
      </c>
      <c r="U87" s="1"/>
      <c r="V87" s="5">
        <f t="shared" si="33"/>
        <v>0.13681387839982487</v>
      </c>
      <c r="W87" s="1"/>
      <c r="X87" s="1">
        <f t="shared" si="34"/>
        <v>-214.40000000000009</v>
      </c>
      <c r="Y87" s="1"/>
      <c r="Z87" s="5">
        <f t="shared" si="35"/>
        <v>-8.5760000000000031E-2</v>
      </c>
    </row>
    <row r="88" spans="1:26" s="24" customFormat="1" hidden="1" outlineLevel="2" x14ac:dyDescent="0.25">
      <c r="A88" s="29"/>
      <c r="B88" s="11" t="str">
        <f>CONCATENATE("          ", "6382", " - ", "DISCOUNTS/MARK DOWNS")</f>
        <v xml:space="preserve">          6382 - DISCOUNTS/MARK DOWNS</v>
      </c>
      <c r="C88" s="11"/>
      <c r="D88" s="7">
        <v>2285.6</v>
      </c>
      <c r="E88" s="2"/>
      <c r="F88" s="6">
        <f t="shared" si="28"/>
        <v>0.12177669512882559</v>
      </c>
      <c r="G88" s="2"/>
      <c r="H88" s="7">
        <v>2500</v>
      </c>
      <c r="I88" s="2"/>
      <c r="J88" s="6">
        <f t="shared" si="29"/>
        <v>0.13681387839982487</v>
      </c>
      <c r="K88" s="2"/>
      <c r="L88" s="7">
        <f t="shared" si="30"/>
        <v>-214.40000000000009</v>
      </c>
      <c r="M88" s="2"/>
      <c r="N88" s="6">
        <f t="shared" si="31"/>
        <v>-8.5760000000000031E-2</v>
      </c>
      <c r="O88" s="11"/>
      <c r="P88" s="7">
        <v>2285.6</v>
      </c>
      <c r="Q88" s="2"/>
      <c r="R88" s="6">
        <f t="shared" si="32"/>
        <v>0.12177669512882559</v>
      </c>
      <c r="S88" s="2"/>
      <c r="T88" s="7">
        <v>2500</v>
      </c>
      <c r="U88" s="2"/>
      <c r="V88" s="6">
        <f t="shared" si="33"/>
        <v>0.13681387839982487</v>
      </c>
      <c r="W88" s="2"/>
      <c r="X88" s="7">
        <f t="shared" si="34"/>
        <v>-214.40000000000009</v>
      </c>
      <c r="Y88" s="2"/>
      <c r="Z88" s="6">
        <f t="shared" si="35"/>
        <v>-8.5760000000000031E-2</v>
      </c>
    </row>
    <row r="89" spans="1:26" s="27" customFormat="1" outlineLevel="1" collapsed="1" x14ac:dyDescent="0.25">
      <c r="A89" s="28"/>
      <c r="B89" s="14" t="str">
        <f>CONCATENATE("     ","Employees' Appreciation                           ")</f>
        <v xml:space="preserve">     Employees' Appreciation                           </v>
      </c>
      <c r="C89" s="14"/>
      <c r="D89" s="1">
        <f>SUM(OSRRefD22_5x_0)</f>
        <v>0</v>
      </c>
      <c r="E89" s="1"/>
      <c r="F89" s="5">
        <f t="shared" si="28"/>
        <v>0</v>
      </c>
      <c r="G89" s="1"/>
      <c r="H89" s="1">
        <f>SUM(OSRRefH22_5x_0)</f>
        <v>50</v>
      </c>
      <c r="I89" s="1"/>
      <c r="J89" s="5">
        <f t="shared" si="29"/>
        <v>2.7362775679964976E-3</v>
      </c>
      <c r="K89" s="1"/>
      <c r="L89" s="1">
        <f t="shared" si="30"/>
        <v>-50</v>
      </c>
      <c r="M89" s="1"/>
      <c r="N89" s="5">
        <f t="shared" si="31"/>
        <v>-1</v>
      </c>
      <c r="O89" s="14"/>
      <c r="P89" s="1">
        <f>SUM(OSRRefP22_5x_0)</f>
        <v>0</v>
      </c>
      <c r="Q89" s="1"/>
      <c r="R89" s="5">
        <f t="shared" si="32"/>
        <v>0</v>
      </c>
      <c r="S89" s="1"/>
      <c r="T89" s="1">
        <f>SUM(OSRRefT22_5x_0)</f>
        <v>50</v>
      </c>
      <c r="U89" s="1"/>
      <c r="V89" s="5">
        <f t="shared" si="33"/>
        <v>2.7362775679964976E-3</v>
      </c>
      <c r="W89" s="1"/>
      <c r="X89" s="1">
        <f t="shared" si="34"/>
        <v>-50</v>
      </c>
      <c r="Y89" s="1"/>
      <c r="Z89" s="5">
        <f t="shared" si="35"/>
        <v>-1</v>
      </c>
    </row>
    <row r="90" spans="1:26" s="24" customFormat="1" hidden="1" outlineLevel="2" x14ac:dyDescent="0.25">
      <c r="A90" s="29"/>
      <c r="B90" s="11" t="str">
        <f>CONCATENATE("          ", "6277", " - ", "EMPLOYEE APPRECIATION")</f>
        <v xml:space="preserve">          6277 - EMPLOYEE APPRECIATION</v>
      </c>
      <c r="C90" s="11"/>
      <c r="D90" s="7"/>
      <c r="E90" s="2"/>
      <c r="F90" s="6">
        <f t="shared" si="28"/>
        <v>0</v>
      </c>
      <c r="G90" s="2"/>
      <c r="H90" s="7">
        <v>50</v>
      </c>
      <c r="I90" s="2"/>
      <c r="J90" s="6">
        <f t="shared" si="29"/>
        <v>2.7362775679964976E-3</v>
      </c>
      <c r="K90" s="2"/>
      <c r="L90" s="7">
        <f t="shared" si="30"/>
        <v>-50</v>
      </c>
      <c r="M90" s="2"/>
      <c r="N90" s="6">
        <f t="shared" si="31"/>
        <v>-1</v>
      </c>
      <c r="O90" s="11"/>
      <c r="P90" s="7"/>
      <c r="Q90" s="2"/>
      <c r="R90" s="6">
        <f t="shared" si="32"/>
        <v>0</v>
      </c>
      <c r="S90" s="2"/>
      <c r="T90" s="7">
        <v>50</v>
      </c>
      <c r="U90" s="2"/>
      <c r="V90" s="6">
        <f t="shared" si="33"/>
        <v>2.7362775679964976E-3</v>
      </c>
      <c r="W90" s="2"/>
      <c r="X90" s="7">
        <f t="shared" si="34"/>
        <v>-50</v>
      </c>
      <c r="Y90" s="2"/>
      <c r="Z90" s="6">
        <f t="shared" si="35"/>
        <v>-1</v>
      </c>
    </row>
    <row r="91" spans="1:26" s="27" customFormat="1" outlineLevel="1" collapsed="1" x14ac:dyDescent="0.25">
      <c r="A91" s="28"/>
      <c r="B91" s="14" t="str">
        <f>CONCATENATE("     ","General                                           ")</f>
        <v xml:space="preserve">     General                                           </v>
      </c>
      <c r="C91" s="14"/>
      <c r="D91" s="1">
        <f>SUM(OSRRefD22_6x_0)</f>
        <v>694.55</v>
      </c>
      <c r="E91" s="1"/>
      <c r="F91" s="5">
        <f t="shared" si="28"/>
        <v>3.7005601855847836E-2</v>
      </c>
      <c r="G91" s="1"/>
      <c r="H91" s="1">
        <f>SUM(OSRRefH22_6x_0)</f>
        <v>80</v>
      </c>
      <c r="I91" s="1"/>
      <c r="J91" s="5">
        <f t="shared" si="29"/>
        <v>4.3780441087943964E-3</v>
      </c>
      <c r="K91" s="1"/>
      <c r="L91" s="1">
        <f t="shared" si="30"/>
        <v>614.54999999999995</v>
      </c>
      <c r="M91" s="1"/>
      <c r="N91" s="5">
        <f t="shared" si="31"/>
        <v>7.6818749999999998</v>
      </c>
      <c r="O91" s="14"/>
      <c r="P91" s="1">
        <f>SUM(OSRRefP22_6x_0)</f>
        <v>694.55</v>
      </c>
      <c r="Q91" s="1"/>
      <c r="R91" s="5">
        <f t="shared" si="32"/>
        <v>3.7005601855847836E-2</v>
      </c>
      <c r="S91" s="1"/>
      <c r="T91" s="1">
        <f>SUM(OSRRefT22_6x_0)</f>
        <v>80</v>
      </c>
      <c r="U91" s="1"/>
      <c r="V91" s="5">
        <f t="shared" si="33"/>
        <v>4.3780441087943964E-3</v>
      </c>
      <c r="W91" s="1"/>
      <c r="X91" s="1">
        <f t="shared" si="34"/>
        <v>614.54999999999995</v>
      </c>
      <c r="Y91" s="1"/>
      <c r="Z91" s="5">
        <f t="shared" si="35"/>
        <v>7.6818749999999998</v>
      </c>
    </row>
    <row r="92" spans="1:26" s="24" customFormat="1" hidden="1" outlineLevel="2" x14ac:dyDescent="0.25">
      <c r="A92" s="29"/>
      <c r="B92" s="11" t="str">
        <f>CONCATENATE("          ", "6279", " - ", "GENERAL EXPENSE")</f>
        <v xml:space="preserve">          6279 - GENERAL EXPENSE</v>
      </c>
      <c r="C92" s="11"/>
      <c r="D92" s="7">
        <v>694.55</v>
      </c>
      <c r="E92" s="2"/>
      <c r="F92" s="6">
        <f t="shared" si="28"/>
        <v>3.7005601855847836E-2</v>
      </c>
      <c r="G92" s="2"/>
      <c r="H92" s="7">
        <v>80</v>
      </c>
      <c r="I92" s="2"/>
      <c r="J92" s="6">
        <f t="shared" si="29"/>
        <v>4.3780441087943964E-3</v>
      </c>
      <c r="K92" s="2"/>
      <c r="L92" s="7">
        <f t="shared" si="30"/>
        <v>614.54999999999995</v>
      </c>
      <c r="M92" s="2"/>
      <c r="N92" s="6">
        <f t="shared" si="31"/>
        <v>7.6818749999999998</v>
      </c>
      <c r="O92" s="11"/>
      <c r="P92" s="7">
        <v>694.55</v>
      </c>
      <c r="Q92" s="2"/>
      <c r="R92" s="6">
        <f t="shared" si="32"/>
        <v>3.7005601855847836E-2</v>
      </c>
      <c r="S92" s="2"/>
      <c r="T92" s="7">
        <v>80</v>
      </c>
      <c r="U92" s="2"/>
      <c r="V92" s="6">
        <f t="shared" si="33"/>
        <v>4.3780441087943964E-3</v>
      </c>
      <c r="W92" s="2"/>
      <c r="X92" s="7">
        <f t="shared" si="34"/>
        <v>614.54999999999995</v>
      </c>
      <c r="Y92" s="2"/>
      <c r="Z92" s="6">
        <f t="shared" si="35"/>
        <v>7.6818749999999998</v>
      </c>
    </row>
    <row r="93" spans="1:26" s="27" customFormat="1" outlineLevel="1" collapsed="1" x14ac:dyDescent="0.25">
      <c r="A93" s="28"/>
      <c r="B93" s="14" t="str">
        <f>CONCATENATE("     ","Professional Services                             ")</f>
        <v xml:space="preserve">     Professional Services                             </v>
      </c>
      <c r="C93" s="14"/>
      <c r="D93" s="1">
        <f>SUM(OSRRefD22_7x_0)</f>
        <v>750</v>
      </c>
      <c r="E93" s="1"/>
      <c r="F93" s="5">
        <f t="shared" si="28"/>
        <v>3.9959976087950294E-2</v>
      </c>
      <c r="G93" s="1"/>
      <c r="H93" s="1">
        <f>SUM(OSRRefH22_7x_0)</f>
        <v>115</v>
      </c>
      <c r="I93" s="1"/>
      <c r="J93" s="5">
        <f t="shared" si="29"/>
        <v>6.2934384063919446E-3</v>
      </c>
      <c r="K93" s="1"/>
      <c r="L93" s="1">
        <f t="shared" si="30"/>
        <v>635</v>
      </c>
      <c r="M93" s="1"/>
      <c r="N93" s="5">
        <f t="shared" si="31"/>
        <v>5.5217391304347823</v>
      </c>
      <c r="O93" s="14"/>
      <c r="P93" s="1">
        <f>SUM(OSRRefP22_7x_0)</f>
        <v>750</v>
      </c>
      <c r="Q93" s="1"/>
      <c r="R93" s="5">
        <f t="shared" si="32"/>
        <v>3.9959976087950294E-2</v>
      </c>
      <c r="S93" s="1"/>
      <c r="T93" s="1">
        <f>SUM(OSRRefT22_7x_0)</f>
        <v>115</v>
      </c>
      <c r="U93" s="1"/>
      <c r="V93" s="5">
        <f t="shared" si="33"/>
        <v>6.2934384063919446E-3</v>
      </c>
      <c r="W93" s="1"/>
      <c r="X93" s="1">
        <f t="shared" si="34"/>
        <v>635</v>
      </c>
      <c r="Y93" s="1"/>
      <c r="Z93" s="5">
        <f t="shared" si="35"/>
        <v>5.5217391304347823</v>
      </c>
    </row>
    <row r="94" spans="1:26" s="24" customFormat="1" hidden="1" outlineLevel="2" x14ac:dyDescent="0.25">
      <c r="A94" s="29"/>
      <c r="B94" s="11" t="str">
        <f>CONCATENATE("          ", "6336", " - ", "PROFESSIONAL SERVICES")</f>
        <v xml:space="preserve">          6336 - PROFESSIONAL SERVICES</v>
      </c>
      <c r="C94" s="11"/>
      <c r="D94" s="7">
        <v>750</v>
      </c>
      <c r="E94" s="2"/>
      <c r="F94" s="6">
        <f t="shared" si="28"/>
        <v>3.9959976087950294E-2</v>
      </c>
      <c r="G94" s="2"/>
      <c r="H94" s="7">
        <v>115</v>
      </c>
      <c r="I94" s="2"/>
      <c r="J94" s="6">
        <f t="shared" si="29"/>
        <v>6.2934384063919446E-3</v>
      </c>
      <c r="K94" s="2"/>
      <c r="L94" s="7">
        <f t="shared" si="30"/>
        <v>635</v>
      </c>
      <c r="M94" s="2"/>
      <c r="N94" s="6">
        <f t="shared" si="31"/>
        <v>5.5217391304347823</v>
      </c>
      <c r="O94" s="11"/>
      <c r="P94" s="7">
        <v>750</v>
      </c>
      <c r="Q94" s="2"/>
      <c r="R94" s="6">
        <f t="shared" si="32"/>
        <v>3.9959976087950294E-2</v>
      </c>
      <c r="S94" s="2"/>
      <c r="T94" s="7">
        <v>115</v>
      </c>
      <c r="U94" s="2"/>
      <c r="V94" s="6">
        <f t="shared" si="33"/>
        <v>6.2934384063919446E-3</v>
      </c>
      <c r="W94" s="2"/>
      <c r="X94" s="7">
        <f t="shared" si="34"/>
        <v>635</v>
      </c>
      <c r="Y94" s="2"/>
      <c r="Z94" s="6">
        <f t="shared" si="35"/>
        <v>5.5217391304347823</v>
      </c>
    </row>
    <row r="95" spans="1:26" s="27" customFormat="1" outlineLevel="1" collapsed="1" x14ac:dyDescent="0.25">
      <c r="A95" s="28"/>
      <c r="B95" s="14" t="str">
        <f>CONCATENATE("     ","Repair and Maintenance                            ")</f>
        <v xml:space="preserve">     Repair and Maintenance                            </v>
      </c>
      <c r="C95" s="14"/>
      <c r="D95" s="1">
        <f>SUM(OSRRefD22_8x_0)</f>
        <v>0</v>
      </c>
      <c r="E95" s="1"/>
      <c r="F95" s="5">
        <f t="shared" si="28"/>
        <v>0</v>
      </c>
      <c r="G95" s="1"/>
      <c r="H95" s="1">
        <f>SUM(OSRRefH22_8x_0)</f>
        <v>125</v>
      </c>
      <c r="I95" s="1"/>
      <c r="J95" s="5">
        <f t="shared" si="29"/>
        <v>6.8406939199912439E-3</v>
      </c>
      <c r="K95" s="1"/>
      <c r="L95" s="1">
        <f t="shared" si="30"/>
        <v>-125</v>
      </c>
      <c r="M95" s="1"/>
      <c r="N95" s="5">
        <f t="shared" si="31"/>
        <v>-1</v>
      </c>
      <c r="O95" s="14"/>
      <c r="P95" s="1">
        <f>SUM(OSRRefP22_8x_0)</f>
        <v>0</v>
      </c>
      <c r="Q95" s="1"/>
      <c r="R95" s="5">
        <f t="shared" si="32"/>
        <v>0</v>
      </c>
      <c r="S95" s="1"/>
      <c r="T95" s="1">
        <f>SUM(OSRRefT22_8x_0)</f>
        <v>125</v>
      </c>
      <c r="U95" s="1"/>
      <c r="V95" s="5">
        <f t="shared" si="33"/>
        <v>6.8406939199912439E-3</v>
      </c>
      <c r="W95" s="1"/>
      <c r="X95" s="1">
        <f t="shared" si="34"/>
        <v>-125</v>
      </c>
      <c r="Y95" s="1"/>
      <c r="Z95" s="5">
        <f t="shared" si="35"/>
        <v>-1</v>
      </c>
    </row>
    <row r="96" spans="1:26" s="24" customFormat="1" hidden="1" outlineLevel="2" x14ac:dyDescent="0.25">
      <c r="A96" s="29"/>
      <c r="B96" s="11" t="str">
        <f>CONCATENATE("          ", "6375", " - ", "OUTSIDE REPAIRS &amp; MAINTENANCE")</f>
        <v xml:space="preserve">          6375 - OUTSIDE REPAIRS &amp; MAINTENANCE</v>
      </c>
      <c r="C96" s="11"/>
      <c r="D96" s="7"/>
      <c r="E96" s="2"/>
      <c r="F96" s="6">
        <f t="shared" si="28"/>
        <v>0</v>
      </c>
      <c r="G96" s="2"/>
      <c r="H96" s="7">
        <v>125</v>
      </c>
      <c r="I96" s="2"/>
      <c r="J96" s="6">
        <f t="shared" si="29"/>
        <v>6.8406939199912439E-3</v>
      </c>
      <c r="K96" s="2"/>
      <c r="L96" s="7">
        <f t="shared" si="30"/>
        <v>-125</v>
      </c>
      <c r="M96" s="2"/>
      <c r="N96" s="6">
        <f t="shared" si="31"/>
        <v>-1</v>
      </c>
      <c r="O96" s="11"/>
      <c r="P96" s="7"/>
      <c r="Q96" s="2"/>
      <c r="R96" s="6">
        <f t="shared" si="32"/>
        <v>0</v>
      </c>
      <c r="S96" s="2"/>
      <c r="T96" s="7">
        <v>125</v>
      </c>
      <c r="U96" s="2"/>
      <c r="V96" s="6">
        <f t="shared" si="33"/>
        <v>6.8406939199912439E-3</v>
      </c>
      <c r="W96" s="2"/>
      <c r="X96" s="7">
        <f t="shared" si="34"/>
        <v>-125</v>
      </c>
      <c r="Y96" s="2"/>
      <c r="Z96" s="6">
        <f t="shared" si="35"/>
        <v>-1</v>
      </c>
    </row>
    <row r="97" spans="1:26" s="27" customFormat="1" outlineLevel="1" collapsed="1" x14ac:dyDescent="0.25">
      <c r="A97" s="28"/>
      <c r="B97" s="14" t="str">
        <f>CONCATENATE("     ","Services                                          ")</f>
        <v xml:space="preserve">     Services                                          </v>
      </c>
      <c r="C97" s="14"/>
      <c r="D97" s="1">
        <f>SUM(OSRRefD22_9x_0)</f>
        <v>207.67</v>
      </c>
      <c r="E97" s="1"/>
      <c r="F97" s="5">
        <f t="shared" si="28"/>
        <v>1.1064650978912851E-2</v>
      </c>
      <c r="G97" s="1"/>
      <c r="H97" s="1">
        <f>SUM(OSRRefH22_9x_0)</f>
        <v>100</v>
      </c>
      <c r="I97" s="1"/>
      <c r="J97" s="5">
        <f t="shared" si="29"/>
        <v>5.4725551359929951E-3</v>
      </c>
      <c r="K97" s="1"/>
      <c r="L97" s="1">
        <f t="shared" si="30"/>
        <v>107.66999999999999</v>
      </c>
      <c r="M97" s="1"/>
      <c r="N97" s="5">
        <f t="shared" si="31"/>
        <v>1.0766999999999998</v>
      </c>
      <c r="O97" s="14"/>
      <c r="P97" s="1">
        <f>SUM(OSRRefP22_9x_0)</f>
        <v>207.67</v>
      </c>
      <c r="Q97" s="1"/>
      <c r="R97" s="5">
        <f t="shared" si="32"/>
        <v>1.1064650978912851E-2</v>
      </c>
      <c r="S97" s="1"/>
      <c r="T97" s="1">
        <f>SUM(OSRRefT22_9x_0)</f>
        <v>100</v>
      </c>
      <c r="U97" s="1"/>
      <c r="V97" s="5">
        <f t="shared" si="33"/>
        <v>5.4725551359929951E-3</v>
      </c>
      <c r="W97" s="1"/>
      <c r="X97" s="1">
        <f t="shared" si="34"/>
        <v>107.66999999999999</v>
      </c>
      <c r="Y97" s="1"/>
      <c r="Z97" s="5">
        <f t="shared" si="35"/>
        <v>1.0766999999999998</v>
      </c>
    </row>
    <row r="98" spans="1:26" s="24" customFormat="1" hidden="1" outlineLevel="2" x14ac:dyDescent="0.25">
      <c r="A98" s="29"/>
      <c r="B98" s="11" t="str">
        <f>CONCATENATE("          ", "6282", " - ", "JANITORIAL/EXTERMINATOR EXPENS")</f>
        <v xml:space="preserve">          6282 - JANITORIAL/EXTERMINATOR EXPENS</v>
      </c>
      <c r="C98" s="11"/>
      <c r="D98" s="7">
        <v>44</v>
      </c>
      <c r="E98" s="2"/>
      <c r="F98" s="6">
        <f t="shared" si="28"/>
        <v>2.3443185971597507E-3</v>
      </c>
      <c r="G98" s="2"/>
      <c r="H98" s="7">
        <v>50</v>
      </c>
      <c r="I98" s="2"/>
      <c r="J98" s="6">
        <f t="shared" si="29"/>
        <v>2.7362775679964976E-3</v>
      </c>
      <c r="K98" s="2"/>
      <c r="L98" s="7">
        <f t="shared" si="30"/>
        <v>-6</v>
      </c>
      <c r="M98" s="2"/>
      <c r="N98" s="6">
        <f t="shared" si="31"/>
        <v>-0.12</v>
      </c>
      <c r="O98" s="11"/>
      <c r="P98" s="7">
        <v>44</v>
      </c>
      <c r="Q98" s="2"/>
      <c r="R98" s="6">
        <f t="shared" si="32"/>
        <v>2.3443185971597507E-3</v>
      </c>
      <c r="S98" s="2"/>
      <c r="T98" s="7">
        <v>50</v>
      </c>
      <c r="U98" s="2"/>
      <c r="V98" s="6">
        <f t="shared" si="33"/>
        <v>2.7362775679964976E-3</v>
      </c>
      <c r="W98" s="2"/>
      <c r="X98" s="7">
        <f t="shared" si="34"/>
        <v>-6</v>
      </c>
      <c r="Y98" s="2"/>
      <c r="Z98" s="6">
        <f t="shared" si="35"/>
        <v>-0.12</v>
      </c>
    </row>
    <row r="99" spans="1:26" s="24" customFormat="1" hidden="1" outlineLevel="2" x14ac:dyDescent="0.25">
      <c r="A99" s="29"/>
      <c r="B99" s="11" t="str">
        <f>CONCATENATE("          ", "6285", " - ", "JANITORIAL SERVICES")</f>
        <v xml:space="preserve">          6285 - JANITORIAL SERVICES</v>
      </c>
      <c r="C99" s="11"/>
      <c r="D99" s="7">
        <v>163.66999999999999</v>
      </c>
      <c r="E99" s="2"/>
      <c r="F99" s="6">
        <f t="shared" si="28"/>
        <v>8.7203323817530987E-3</v>
      </c>
      <c r="G99" s="2"/>
      <c r="H99" s="7">
        <v>50</v>
      </c>
      <c r="I99" s="2"/>
      <c r="J99" s="6">
        <f t="shared" si="29"/>
        <v>2.7362775679964976E-3</v>
      </c>
      <c r="K99" s="2"/>
      <c r="L99" s="7">
        <f t="shared" si="30"/>
        <v>113.66999999999999</v>
      </c>
      <c r="M99" s="2"/>
      <c r="N99" s="6">
        <f t="shared" si="31"/>
        <v>2.2733999999999996</v>
      </c>
      <c r="O99" s="11"/>
      <c r="P99" s="7">
        <v>163.66999999999999</v>
      </c>
      <c r="Q99" s="2"/>
      <c r="R99" s="6">
        <f t="shared" si="32"/>
        <v>8.7203323817530987E-3</v>
      </c>
      <c r="S99" s="2"/>
      <c r="T99" s="7">
        <v>50</v>
      </c>
      <c r="U99" s="2"/>
      <c r="V99" s="6">
        <f t="shared" si="33"/>
        <v>2.7362775679964976E-3</v>
      </c>
      <c r="W99" s="2"/>
      <c r="X99" s="7">
        <f t="shared" si="34"/>
        <v>113.66999999999999</v>
      </c>
      <c r="Y99" s="2"/>
      <c r="Z99" s="6">
        <f t="shared" si="35"/>
        <v>2.2733999999999996</v>
      </c>
    </row>
    <row r="100" spans="1:26" s="27" customFormat="1" outlineLevel="1" collapsed="1" x14ac:dyDescent="0.25">
      <c r="A100" s="28"/>
      <c r="B100" s="14" t="str">
        <f>CONCATENATE("     ","Supplies                                          ")</f>
        <v xml:space="preserve">     Supplies                                          </v>
      </c>
      <c r="C100" s="14"/>
      <c r="D100" s="1">
        <f>SUM(OSRRefD22_10x_0)</f>
        <v>161.13</v>
      </c>
      <c r="E100" s="1"/>
      <c r="F100" s="5">
        <f t="shared" ref="F100:F105" si="36">IF(D$12=0,0,D100/D$12)</f>
        <v>8.5850012627352416E-3</v>
      </c>
      <c r="G100" s="1"/>
      <c r="H100" s="1">
        <f>SUM(OSRRefH22_10x_0)</f>
        <v>225</v>
      </c>
      <c r="I100" s="1"/>
      <c r="J100" s="5">
        <f t="shared" ref="J100:J105" si="37">IF(H$12=0,0,H100/H$12)</f>
        <v>1.231324905598424E-2</v>
      </c>
      <c r="K100" s="1"/>
      <c r="L100" s="1">
        <f t="shared" ref="L100:L105" si="38">+D100-H100</f>
        <v>-63.870000000000005</v>
      </c>
      <c r="M100" s="1"/>
      <c r="N100" s="5">
        <f t="shared" ref="N100:N105" si="39">IF(H100=0,0,L100/H100)</f>
        <v>-0.28386666666666671</v>
      </c>
      <c r="O100" s="14"/>
      <c r="P100" s="1">
        <f>SUM(OSRRefP22_10x_0)</f>
        <v>161.13</v>
      </c>
      <c r="Q100" s="1"/>
      <c r="R100" s="5">
        <f t="shared" ref="R100:R105" si="40">IF(P$12=0,0,P100/P$12)</f>
        <v>8.5850012627352416E-3</v>
      </c>
      <c r="S100" s="1"/>
      <c r="T100" s="1">
        <f>SUM(OSRRefT22_10x_0)</f>
        <v>225</v>
      </c>
      <c r="U100" s="1"/>
      <c r="V100" s="5">
        <f t="shared" ref="V100:V105" si="41">IF(T$12=0,0,T100/T$12)</f>
        <v>1.231324905598424E-2</v>
      </c>
      <c r="W100" s="1"/>
      <c r="X100" s="1">
        <f t="shared" ref="X100:X105" si="42">+P100-T100</f>
        <v>-63.870000000000005</v>
      </c>
      <c r="Y100" s="1"/>
      <c r="Z100" s="5">
        <f t="shared" ref="Z100:Z105" si="43">IF(T100=0,0,X100/T100)</f>
        <v>-0.28386666666666671</v>
      </c>
    </row>
    <row r="101" spans="1:26" s="24" customFormat="1" hidden="1" outlineLevel="2" x14ac:dyDescent="0.25">
      <c r="A101" s="29"/>
      <c r="B101" s="11" t="str">
        <f>CONCATENATE("          ", "6241", " - ", "OFFICE EXPENSE")</f>
        <v xml:space="preserve">          6241 - OFFICE EXPENSE</v>
      </c>
      <c r="C101" s="11"/>
      <c r="D101" s="7">
        <v>161.13</v>
      </c>
      <c r="E101" s="2"/>
      <c r="F101" s="6">
        <f t="shared" si="36"/>
        <v>8.5850012627352416E-3</v>
      </c>
      <c r="G101" s="2"/>
      <c r="H101" s="7">
        <v>225</v>
      </c>
      <c r="I101" s="2"/>
      <c r="J101" s="6">
        <f t="shared" si="37"/>
        <v>1.231324905598424E-2</v>
      </c>
      <c r="K101" s="2"/>
      <c r="L101" s="7">
        <f t="shared" si="38"/>
        <v>-63.870000000000005</v>
      </c>
      <c r="M101" s="2"/>
      <c r="N101" s="6">
        <f t="shared" si="39"/>
        <v>-0.28386666666666671</v>
      </c>
      <c r="O101" s="11"/>
      <c r="P101" s="7">
        <v>161.13</v>
      </c>
      <c r="Q101" s="2"/>
      <c r="R101" s="6">
        <f t="shared" si="40"/>
        <v>8.5850012627352416E-3</v>
      </c>
      <c r="S101" s="2"/>
      <c r="T101" s="7">
        <v>225</v>
      </c>
      <c r="U101" s="2"/>
      <c r="V101" s="6">
        <f t="shared" si="41"/>
        <v>1.231324905598424E-2</v>
      </c>
      <c r="W101" s="2"/>
      <c r="X101" s="7">
        <f t="shared" si="42"/>
        <v>-63.870000000000005</v>
      </c>
      <c r="Y101" s="2"/>
      <c r="Z101" s="6">
        <f t="shared" si="43"/>
        <v>-0.28386666666666671</v>
      </c>
    </row>
    <row r="102" spans="1:26" s="27" customFormat="1" outlineLevel="1" collapsed="1" x14ac:dyDescent="0.25">
      <c r="A102" s="28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SUM(OSRRefD22_11x_0)</f>
        <v>74</v>
      </c>
      <c r="E102" s="1"/>
      <c r="F102" s="5">
        <f t="shared" si="36"/>
        <v>3.9427176406777627E-3</v>
      </c>
      <c r="G102" s="1"/>
      <c r="H102" s="1">
        <f>SUM(OSRRefH22_11x_0)</f>
        <v>75</v>
      </c>
      <c r="I102" s="1"/>
      <c r="J102" s="5">
        <f t="shared" si="37"/>
        <v>4.1044163519947463E-3</v>
      </c>
      <c r="K102" s="1"/>
      <c r="L102" s="1">
        <f t="shared" si="38"/>
        <v>-1</v>
      </c>
      <c r="M102" s="1"/>
      <c r="N102" s="5">
        <f t="shared" si="39"/>
        <v>-1.3333333333333334E-2</v>
      </c>
      <c r="O102" s="14"/>
      <c r="P102" s="1">
        <f>SUM(OSRRefP22_11x_0)</f>
        <v>74</v>
      </c>
      <c r="Q102" s="1"/>
      <c r="R102" s="5">
        <f t="shared" si="40"/>
        <v>3.9427176406777627E-3</v>
      </c>
      <c r="S102" s="1"/>
      <c r="T102" s="1">
        <f>SUM(OSRRefT22_11x_0)</f>
        <v>75</v>
      </c>
      <c r="U102" s="1"/>
      <c r="V102" s="5">
        <f t="shared" si="41"/>
        <v>4.1044163519947463E-3</v>
      </c>
      <c r="W102" s="1"/>
      <c r="X102" s="1">
        <f t="shared" si="42"/>
        <v>-1</v>
      </c>
      <c r="Y102" s="1"/>
      <c r="Z102" s="5">
        <f t="shared" si="43"/>
        <v>-1.3333333333333334E-2</v>
      </c>
    </row>
    <row r="103" spans="1:26" s="24" customFormat="1" hidden="1" outlineLevel="2" x14ac:dyDescent="0.25">
      <c r="A103" s="29"/>
      <c r="B103" s="11" t="str">
        <f>CONCATENATE("          ", "6309", " - ", "TELEPHONE")</f>
        <v xml:space="preserve">          6309 - TELEPHONE</v>
      </c>
      <c r="C103" s="11"/>
      <c r="D103" s="7">
        <v>74</v>
      </c>
      <c r="E103" s="2"/>
      <c r="F103" s="6">
        <f t="shared" si="36"/>
        <v>3.9427176406777627E-3</v>
      </c>
      <c r="G103" s="2"/>
      <c r="H103" s="7">
        <v>75</v>
      </c>
      <c r="I103" s="2"/>
      <c r="J103" s="6">
        <f t="shared" si="37"/>
        <v>4.1044163519947463E-3</v>
      </c>
      <c r="K103" s="2"/>
      <c r="L103" s="7">
        <f t="shared" si="38"/>
        <v>-1</v>
      </c>
      <c r="M103" s="2"/>
      <c r="N103" s="6">
        <f t="shared" si="39"/>
        <v>-1.3333333333333334E-2</v>
      </c>
      <c r="O103" s="11"/>
      <c r="P103" s="7">
        <v>74</v>
      </c>
      <c r="Q103" s="2"/>
      <c r="R103" s="6">
        <f t="shared" si="40"/>
        <v>3.9427176406777627E-3</v>
      </c>
      <c r="S103" s="2"/>
      <c r="T103" s="7">
        <v>75</v>
      </c>
      <c r="U103" s="2"/>
      <c r="V103" s="6">
        <f t="shared" si="41"/>
        <v>4.1044163519947463E-3</v>
      </c>
      <c r="W103" s="2"/>
      <c r="X103" s="7">
        <f t="shared" si="42"/>
        <v>-1</v>
      </c>
      <c r="Y103" s="2"/>
      <c r="Z103" s="6">
        <f t="shared" si="43"/>
        <v>-1.3333333333333334E-2</v>
      </c>
    </row>
    <row r="104" spans="1:26" s="27" customFormat="1" outlineLevel="1" collapsed="1" x14ac:dyDescent="0.25">
      <c r="A104" s="28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SUM(OSRRefD22_12x_0)</f>
        <v>0</v>
      </c>
      <c r="E104" s="1"/>
      <c r="F104" s="5">
        <f t="shared" si="36"/>
        <v>0</v>
      </c>
      <c r="G104" s="1"/>
      <c r="H104" s="1">
        <f>SUM(OSRRefH22_12x_0)</f>
        <v>175</v>
      </c>
      <c r="I104" s="1"/>
      <c r="J104" s="5">
        <f t="shared" si="37"/>
        <v>9.5769714879877423E-3</v>
      </c>
      <c r="K104" s="1"/>
      <c r="L104" s="1">
        <f t="shared" si="38"/>
        <v>-175</v>
      </c>
      <c r="M104" s="1"/>
      <c r="N104" s="5">
        <f t="shared" si="39"/>
        <v>-1</v>
      </c>
      <c r="O104" s="14"/>
      <c r="P104" s="1">
        <f>SUM(OSRRefP22_12x_0)</f>
        <v>0</v>
      </c>
      <c r="Q104" s="1"/>
      <c r="R104" s="5">
        <f t="shared" si="40"/>
        <v>0</v>
      </c>
      <c r="S104" s="1"/>
      <c r="T104" s="1">
        <f>SUM(OSRRefT22_12x_0)</f>
        <v>175</v>
      </c>
      <c r="U104" s="1"/>
      <c r="V104" s="5">
        <f t="shared" si="41"/>
        <v>9.5769714879877423E-3</v>
      </c>
      <c r="W104" s="1"/>
      <c r="X104" s="1">
        <f t="shared" si="42"/>
        <v>-175</v>
      </c>
      <c r="Y104" s="1"/>
      <c r="Z104" s="5">
        <f t="shared" si="43"/>
        <v>-1</v>
      </c>
    </row>
    <row r="105" spans="1:26" s="24" customFormat="1" hidden="1" outlineLevel="2" x14ac:dyDescent="0.25">
      <c r="A105" s="29"/>
      <c r="B105" s="11" t="str">
        <f>CONCATENATE("          ", "6376", " - ", "TRAINING")</f>
        <v xml:space="preserve">          6376 - TRAINING</v>
      </c>
      <c r="C105" s="11"/>
      <c r="D105" s="7"/>
      <c r="E105" s="2"/>
      <c r="F105" s="6">
        <f t="shared" si="36"/>
        <v>0</v>
      </c>
      <c r="G105" s="2"/>
      <c r="H105" s="7">
        <v>175</v>
      </c>
      <c r="I105" s="2"/>
      <c r="J105" s="6">
        <f t="shared" si="37"/>
        <v>9.5769714879877423E-3</v>
      </c>
      <c r="K105" s="2"/>
      <c r="L105" s="7">
        <f t="shared" si="38"/>
        <v>-175</v>
      </c>
      <c r="M105" s="2"/>
      <c r="N105" s="6">
        <f t="shared" si="39"/>
        <v>-1</v>
      </c>
      <c r="O105" s="11"/>
      <c r="P105" s="7"/>
      <c r="Q105" s="2"/>
      <c r="R105" s="6">
        <f t="shared" si="40"/>
        <v>0</v>
      </c>
      <c r="S105" s="2"/>
      <c r="T105" s="7">
        <v>175</v>
      </c>
      <c r="U105" s="2"/>
      <c r="V105" s="6">
        <f t="shared" si="41"/>
        <v>9.5769714879877423E-3</v>
      </c>
      <c r="W105" s="2"/>
      <c r="X105" s="7">
        <f t="shared" si="42"/>
        <v>-175</v>
      </c>
      <c r="Y105" s="2"/>
      <c r="Z105" s="6">
        <f t="shared" si="43"/>
        <v>-1</v>
      </c>
    </row>
    <row r="106" spans="1:26" s="57" customFormat="1" x14ac:dyDescent="0.25">
      <c r="A106" s="36"/>
      <c r="B106" s="36"/>
      <c r="C106" s="36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6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x14ac:dyDescent="0.25">
      <c r="A107" s="10"/>
      <c r="B107" s="25" t="s">
        <v>0</v>
      </c>
      <c r="C107" s="10"/>
      <c r="D107" s="4">
        <f>SUM(0)</f>
        <v>0</v>
      </c>
      <c r="E107" s="4"/>
      <c r="F107" s="12">
        <f>IF(D$12=0,0,D107/D$12)</f>
        <v>0</v>
      </c>
      <c r="G107" s="4"/>
      <c r="H107" s="4">
        <f>SUM(0)</f>
        <v>0</v>
      </c>
      <c r="I107" s="4"/>
      <c r="J107" s="12">
        <f>IF(H$12=0,0,H107/H$12)</f>
        <v>0</v>
      </c>
      <c r="K107" s="4"/>
      <c r="L107" s="4">
        <f>+D107-H107</f>
        <v>0</v>
      </c>
      <c r="M107" s="4"/>
      <c r="N107" s="12">
        <f>IF(H107=0,0,L107/H107)</f>
        <v>0</v>
      </c>
      <c r="O107" s="10"/>
      <c r="P107" s="4">
        <f>SUM(0)</f>
        <v>0</v>
      </c>
      <c r="Q107" s="4"/>
      <c r="R107" s="12">
        <f>IF(P$12=0,0,P107/P$12)</f>
        <v>0</v>
      </c>
      <c r="S107" s="4"/>
      <c r="T107" s="4">
        <f>SUM(0)</f>
        <v>0</v>
      </c>
      <c r="U107" s="4"/>
      <c r="V107" s="12">
        <f>IF(T$12=0,0,T107/T$12)</f>
        <v>0</v>
      </c>
      <c r="W107" s="4"/>
      <c r="X107" s="4">
        <f>+P107-T107</f>
        <v>0</v>
      </c>
      <c r="Y107" s="4"/>
      <c r="Z107" s="12">
        <f>IF(T107=0,0,X107/T107)</f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6" t="s">
        <v>3</v>
      </c>
      <c r="C109" s="26"/>
      <c r="D109" s="21">
        <f>+D59-D61+D107</f>
        <v>-14204.139999999987</v>
      </c>
      <c r="E109" s="13"/>
      <c r="F109" s="19">
        <f>IF(D$12=0,0,D109/D$12)</f>
        <v>-0.75679612633319704</v>
      </c>
      <c r="G109" s="13"/>
      <c r="H109" s="21">
        <f>+H59-H61+H107</f>
        <v>-10846.866634430768</v>
      </c>
      <c r="I109" s="13"/>
      <c r="J109" s="19">
        <f>IF(H$12=0,0,H109/H$12)</f>
        <v>-0.59360075709685156</v>
      </c>
      <c r="K109" s="15"/>
      <c r="L109" s="21">
        <f>+D109-H109</f>
        <v>-3357.2733655692191</v>
      </c>
      <c r="M109" s="15"/>
      <c r="N109" s="19">
        <f>IF(H109=0,0,L109/H109)</f>
        <v>0.30951550145480383</v>
      </c>
      <c r="O109" s="25"/>
      <c r="P109" s="21">
        <f>+P59-P61+P107</f>
        <v>-14204.139999999987</v>
      </c>
      <c r="Q109" s="13"/>
      <c r="R109" s="19">
        <f>IF(P$12=0,0,P109/P$12)</f>
        <v>-0.75679612633319704</v>
      </c>
      <c r="S109" s="13"/>
      <c r="T109" s="21">
        <f>+T59-T61+T107</f>
        <v>-10846.866634430768</v>
      </c>
      <c r="U109" s="13"/>
      <c r="V109" s="19">
        <f>IF(T$12=0,0,T109/T$12)</f>
        <v>-0.59360075709685156</v>
      </c>
      <c r="W109" s="15"/>
      <c r="X109" s="21">
        <f>+P109-T109</f>
        <v>-3357.2733655692191</v>
      </c>
      <c r="Y109" s="15"/>
      <c r="Z109" s="19">
        <f>IF(T109=0,0,X109/T109)</f>
        <v>0.30951550145480383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14</v>
      </c>
      <c r="C111" s="10"/>
      <c r="D111" s="4">
        <v>3902.58</v>
      </c>
      <c r="E111" s="4"/>
      <c r="F111" s="12">
        <f>IF(D$12=0,0,D111/D$12)</f>
        <v>0.20792933797508409</v>
      </c>
      <c r="G111" s="4"/>
      <c r="H111" s="4">
        <v>4454</v>
      </c>
      <c r="I111" s="4"/>
      <c r="J111" s="12">
        <f>IF(H$12=0,0,H111/H$12)</f>
        <v>0.24374760575712801</v>
      </c>
      <c r="K111" s="4"/>
      <c r="L111" s="4">
        <f>+D111-H111</f>
        <v>-551.42000000000007</v>
      </c>
      <c r="M111" s="4"/>
      <c r="N111" s="12">
        <f>IF(H111=0,0,L111/H111)</f>
        <v>-0.12380332285585992</v>
      </c>
      <c r="O111" s="10"/>
      <c r="P111" s="4">
        <v>3902.58</v>
      </c>
      <c r="Q111" s="4"/>
      <c r="R111" s="12">
        <f>IF(P$12=0,0,P111/P$12)</f>
        <v>0.20792933797508409</v>
      </c>
      <c r="S111" s="4"/>
      <c r="T111" s="4">
        <v>4454</v>
      </c>
      <c r="U111" s="4"/>
      <c r="V111" s="12">
        <f>IF(T$12=0,0,T111/T$12)</f>
        <v>0.24374760575712801</v>
      </c>
      <c r="W111" s="4"/>
      <c r="X111" s="4">
        <f>+P111-T111</f>
        <v>-551.42000000000007</v>
      </c>
      <c r="Y111" s="4"/>
      <c r="Z111" s="12">
        <f>IF(T111=0,0,X111/T111)</f>
        <v>-0.12380332285585992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6" t="s">
        <v>4</v>
      </c>
      <c r="C113" s="26"/>
      <c r="D113" s="32">
        <f>+D109-D111</f>
        <v>-18106.719999999987</v>
      </c>
      <c r="E113" s="13"/>
      <c r="F113" s="31">
        <f>IF(D$12=0,0,D113/D$12)</f>
        <v>-0.9647254643082811</v>
      </c>
      <c r="G113" s="13"/>
      <c r="H113" s="32">
        <f>+H109-H111</f>
        <v>-15300.866634430768</v>
      </c>
      <c r="I113" s="13"/>
      <c r="J113" s="31">
        <f>IF(H$12=0,0,H113/H$12)</f>
        <v>-0.83734836285397951</v>
      </c>
      <c r="K113" s="15"/>
      <c r="L113" s="32">
        <f>D113-H113</f>
        <v>-2805.853365569219</v>
      </c>
      <c r="M113" s="15"/>
      <c r="N113" s="31">
        <f>IF(H113=0,0,L113/H113)</f>
        <v>0.18337872178137601</v>
      </c>
      <c r="O113" s="25"/>
      <c r="P113" s="32">
        <f>+P109-P111</f>
        <v>-18106.719999999987</v>
      </c>
      <c r="Q113" s="13"/>
      <c r="R113" s="31">
        <f>IF(P$12=0,0,P113/P$12)</f>
        <v>-0.9647254643082811</v>
      </c>
      <c r="S113" s="13"/>
      <c r="T113" s="32">
        <f>+T109-T111</f>
        <v>-15300.866634430768</v>
      </c>
      <c r="U113" s="13"/>
      <c r="V113" s="31">
        <f>IF(T$12=0,0,T113/T$12)</f>
        <v>-0.83734836285397951</v>
      </c>
      <c r="W113" s="15"/>
      <c r="X113" s="32">
        <f>P113-T113</f>
        <v>-2805.853365569219</v>
      </c>
      <c r="Y113" s="15"/>
      <c r="Z113" s="31">
        <f>IF(T113=0,0,X113/T113)</f>
        <v>0.18337872178137601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6" t="s">
        <v>5</v>
      </c>
      <c r="C116" s="26"/>
      <c r="D116" s="33">
        <f>SUM(D113:D115)</f>
        <v>-18106.719999999987</v>
      </c>
      <c r="E116" s="13"/>
      <c r="F116" s="34">
        <f>IF(D$12=0,0,D116/D$12)</f>
        <v>-0.9647254643082811</v>
      </c>
      <c r="G116" s="13"/>
      <c r="H116" s="33">
        <f>SUM(H113:H115)</f>
        <v>-15300.866634430768</v>
      </c>
      <c r="I116" s="13"/>
      <c r="J116" s="34">
        <f>IF(H$12=0,0,H116/H$12)</f>
        <v>-0.83734836285397951</v>
      </c>
      <c r="K116" s="15"/>
      <c r="L116" s="33">
        <f>+D116-H116</f>
        <v>-2805.853365569219</v>
      </c>
      <c r="M116" s="15"/>
      <c r="N116" s="34">
        <f>IF(H116=0,0,L116/H116)</f>
        <v>0.18337872178137601</v>
      </c>
      <c r="O116" s="25"/>
      <c r="P116" s="33">
        <f>SUM(P113:P115)</f>
        <v>-18106.719999999987</v>
      </c>
      <c r="Q116" s="13"/>
      <c r="R116" s="34">
        <f>IF(P$12=0,0,P116/P$12)</f>
        <v>-0.9647254643082811</v>
      </c>
      <c r="S116" s="13"/>
      <c r="T116" s="33">
        <f>SUM(T113:T115)</f>
        <v>-15300.866634430768</v>
      </c>
      <c r="U116" s="13"/>
      <c r="V116" s="34">
        <f>IF(T$12=0,0,T116/T$12)</f>
        <v>-0.83734836285397951</v>
      </c>
      <c r="W116" s="15"/>
      <c r="X116" s="33">
        <f>+P116-T116</f>
        <v>-2805.853365569219</v>
      </c>
      <c r="Y116" s="15"/>
      <c r="Z116" s="34">
        <f>IF(T116=0,0,X116/T116)</f>
        <v>0.18337872178137601</v>
      </c>
    </row>
    <row r="117" spans="1:26" ht="15.75" thickTop="1" x14ac:dyDescent="0.25">
      <c r="A117" s="9"/>
      <c r="C117" s="9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A118" s="9"/>
      <c r="B118" s="61">
        <v>43726.678208564816</v>
      </c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56" t="s">
        <v>314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A120" s="9"/>
      <c r="B120" s="53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","307", " - ", "Art Store")</f>
        <v>Department 307 - Art 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2425.96</v>
      </c>
      <c r="E12" s="4"/>
      <c r="F12" s="12"/>
      <c r="G12" s="4"/>
      <c r="H12" s="4">
        <f>SUM(OSRRefH13x_0)</f>
        <v>1824</v>
      </c>
      <c r="I12" s="4"/>
      <c r="J12" s="12"/>
      <c r="K12" s="4"/>
      <c r="L12" s="4">
        <f t="shared" ref="L12:L33" si="0">+D12-H12</f>
        <v>601.96</v>
      </c>
      <c r="M12" s="4"/>
      <c r="N12" s="12">
        <f t="shared" ref="N12:N33" si="1">IF(H12=0,0,L12/H12)</f>
        <v>0.33002192982456141</v>
      </c>
      <c r="O12" s="10"/>
      <c r="P12" s="4">
        <f>SUM(OSRRefP13x_0)</f>
        <v>2425.96</v>
      </c>
      <c r="Q12" s="4"/>
      <c r="R12" s="12"/>
      <c r="S12" s="4"/>
      <c r="T12" s="4">
        <f>SUM(OSRRefT13x_0)</f>
        <v>1824</v>
      </c>
      <c r="U12" s="4"/>
      <c r="V12" s="12"/>
      <c r="W12" s="4"/>
      <c r="X12" s="4">
        <f t="shared" ref="X12:X33" si="2">+P12-T12</f>
        <v>601.96</v>
      </c>
      <c r="Y12" s="4"/>
      <c r="Z12" s="12">
        <f t="shared" ref="Z12:Z33" si="3">IF(T12=0,0,X12/T12)</f>
        <v>0.33002192982456141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1425</v>
      </c>
      <c r="I13" s="2"/>
      <c r="J13" s="22"/>
      <c r="K13" s="2"/>
      <c r="L13" s="2">
        <f t="shared" si="0"/>
        <v>-1425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1425</v>
      </c>
      <c r="U13" s="2"/>
      <c r="V13" s="22"/>
      <c r="W13" s="2"/>
      <c r="X13" s="2">
        <f t="shared" si="2"/>
        <v>-1425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"4025", " - ", "TAXABLE SALES-TEST FORMS")</f>
        <v xml:space="preserve">          4025 - TAXABLE SALES-TEST FORMS</v>
      </c>
      <c r="C14" s="11"/>
      <c r="D14" s="2">
        <f>--1.47</f>
        <v>1.47</v>
      </c>
      <c r="E14" s="2"/>
      <c r="F14" s="22"/>
      <c r="G14" s="2"/>
      <c r="H14" s="2"/>
      <c r="I14" s="2"/>
      <c r="J14" s="22"/>
      <c r="K14" s="2"/>
      <c r="L14" s="2">
        <f t="shared" si="0"/>
        <v>1.47</v>
      </c>
      <c r="M14" s="2"/>
      <c r="N14" s="22">
        <f t="shared" si="1"/>
        <v>0</v>
      </c>
      <c r="O14" s="11"/>
      <c r="P14" s="2">
        <f>--1.47</f>
        <v>1.47</v>
      </c>
      <c r="Q14" s="2"/>
      <c r="R14" s="22"/>
      <c r="S14" s="2"/>
      <c r="T14" s="2"/>
      <c r="U14" s="2"/>
      <c r="V14" s="22"/>
      <c r="W14" s="2"/>
      <c r="X14" s="2">
        <f t="shared" si="2"/>
        <v>1.47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--22.8</f>
        <v>22.8</v>
      </c>
      <c r="E15" s="2"/>
      <c r="F15" s="22"/>
      <c r="G15" s="2"/>
      <c r="H15" s="2"/>
      <c r="I15" s="2"/>
      <c r="J15" s="22"/>
      <c r="K15" s="2"/>
      <c r="L15" s="2">
        <f t="shared" si="0"/>
        <v>22.8</v>
      </c>
      <c r="M15" s="2"/>
      <c r="N15" s="22">
        <f t="shared" si="1"/>
        <v>0</v>
      </c>
      <c r="O15" s="11"/>
      <c r="P15" s="2">
        <f>--22.8</f>
        <v>22.8</v>
      </c>
      <c r="Q15" s="2"/>
      <c r="R15" s="22"/>
      <c r="S15" s="2"/>
      <c r="T15" s="2"/>
      <c r="U15" s="2"/>
      <c r="V15" s="22"/>
      <c r="W15" s="2"/>
      <c r="X15" s="2">
        <f t="shared" si="2"/>
        <v>22.8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--72.11</f>
        <v>72.11</v>
      </c>
      <c r="E16" s="2"/>
      <c r="F16" s="22"/>
      <c r="G16" s="2"/>
      <c r="H16" s="2"/>
      <c r="I16" s="2"/>
      <c r="J16" s="22"/>
      <c r="K16" s="2"/>
      <c r="L16" s="2">
        <f t="shared" si="0"/>
        <v>72.11</v>
      </c>
      <c r="M16" s="2"/>
      <c r="N16" s="22">
        <f t="shared" si="1"/>
        <v>0</v>
      </c>
      <c r="O16" s="11"/>
      <c r="P16" s="2">
        <f>--72.11</f>
        <v>72.11</v>
      </c>
      <c r="Q16" s="2"/>
      <c r="R16" s="22"/>
      <c r="S16" s="2"/>
      <c r="T16" s="2"/>
      <c r="U16" s="2"/>
      <c r="V16" s="22"/>
      <c r="W16" s="2"/>
      <c r="X16" s="2">
        <f t="shared" si="2"/>
        <v>72.11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"4028", " - ", "TAXABLE SALES-ART/TECH")</f>
        <v xml:space="preserve">          4028 - TAXABLE SALES-ART/TECH</v>
      </c>
      <c r="C17" s="11"/>
      <c r="D17" s="2">
        <f>--1856.37</f>
        <v>1856.37</v>
      </c>
      <c r="E17" s="2"/>
      <c r="F17" s="22"/>
      <c r="G17" s="2"/>
      <c r="H17" s="2"/>
      <c r="I17" s="2"/>
      <c r="J17" s="22"/>
      <c r="K17" s="2"/>
      <c r="L17" s="2">
        <f t="shared" si="0"/>
        <v>1856.37</v>
      </c>
      <c r="M17" s="2"/>
      <c r="N17" s="22">
        <f t="shared" si="1"/>
        <v>0</v>
      </c>
      <c r="O17" s="11"/>
      <c r="P17" s="2">
        <f>--1856.37</f>
        <v>1856.37</v>
      </c>
      <c r="Q17" s="2"/>
      <c r="R17" s="22"/>
      <c r="S17" s="2"/>
      <c r="T17" s="2"/>
      <c r="U17" s="2"/>
      <c r="V17" s="22"/>
      <c r="W17" s="2"/>
      <c r="X17" s="2">
        <f t="shared" si="2"/>
        <v>1856.37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"4031", " - ", "TAXABLE SALES-FOOD")</f>
        <v xml:space="preserve">          4031 - TAXABLE SALES-FOOD</v>
      </c>
      <c r="C18" s="11"/>
      <c r="D18" s="2">
        <f>--1.52</f>
        <v>1.52</v>
      </c>
      <c r="E18" s="2"/>
      <c r="F18" s="22"/>
      <c r="G18" s="2"/>
      <c r="H18" s="2"/>
      <c r="I18" s="2"/>
      <c r="J18" s="22"/>
      <c r="K18" s="2"/>
      <c r="L18" s="2">
        <f t="shared" si="0"/>
        <v>1.52</v>
      </c>
      <c r="M18" s="2"/>
      <c r="N18" s="22">
        <f t="shared" si="1"/>
        <v>0</v>
      </c>
      <c r="O18" s="11"/>
      <c r="P18" s="2">
        <f>--1.52</f>
        <v>1.52</v>
      </c>
      <c r="Q18" s="2"/>
      <c r="R18" s="22"/>
      <c r="S18" s="2"/>
      <c r="T18" s="2"/>
      <c r="U18" s="2"/>
      <c r="V18" s="22"/>
      <c r="W18" s="2"/>
      <c r="X18" s="2">
        <f t="shared" si="2"/>
        <v>1.52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"4032", " - ", "TAXABLE SALES-JUICE")</f>
        <v xml:space="preserve">          4032 - TAXABLE SALES-JUICE</v>
      </c>
      <c r="C19" s="11"/>
      <c r="D19" s="2">
        <f>--1.47</f>
        <v>1.47</v>
      </c>
      <c r="E19" s="2"/>
      <c r="F19" s="22"/>
      <c r="G19" s="2"/>
      <c r="H19" s="2"/>
      <c r="I19" s="2"/>
      <c r="J19" s="22"/>
      <c r="K19" s="2"/>
      <c r="L19" s="2">
        <f t="shared" si="0"/>
        <v>1.47</v>
      </c>
      <c r="M19" s="2"/>
      <c r="N19" s="22">
        <f t="shared" si="1"/>
        <v>0</v>
      </c>
      <c r="O19" s="11"/>
      <c r="P19" s="2">
        <f>--1.47</f>
        <v>1.47</v>
      </c>
      <c r="Q19" s="2"/>
      <c r="R19" s="22"/>
      <c r="S19" s="2"/>
      <c r="T19" s="2"/>
      <c r="U19" s="2"/>
      <c r="V19" s="22"/>
      <c r="W19" s="2"/>
      <c r="X19" s="2">
        <f t="shared" si="2"/>
        <v>1.47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"4033", " - ", "TAXABLE SALES-CANDY")</f>
        <v xml:space="preserve">          4033 - TAXABLE SALES-CANDY</v>
      </c>
      <c r="C20" s="11"/>
      <c r="D20" s="2">
        <f>--3.17</f>
        <v>3.17</v>
      </c>
      <c r="E20" s="2"/>
      <c r="F20" s="22"/>
      <c r="G20" s="2"/>
      <c r="H20" s="2"/>
      <c r="I20" s="2"/>
      <c r="J20" s="22"/>
      <c r="K20" s="2"/>
      <c r="L20" s="2">
        <f t="shared" si="0"/>
        <v>3.17</v>
      </c>
      <c r="M20" s="2"/>
      <c r="N20" s="22">
        <f t="shared" si="1"/>
        <v>0</v>
      </c>
      <c r="O20" s="11"/>
      <c r="P20" s="2">
        <f>--3.17</f>
        <v>3.17</v>
      </c>
      <c r="Q20" s="2"/>
      <c r="R20" s="22"/>
      <c r="S20" s="2"/>
      <c r="T20" s="2"/>
      <c r="U20" s="2"/>
      <c r="V20" s="22"/>
      <c r="W20" s="2"/>
      <c r="X20" s="2">
        <f t="shared" si="2"/>
        <v>3.17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"4034", " - ", "TAXABLE SALES-SODA")</f>
        <v xml:space="preserve">          4034 - TAXABLE SALES-SODA</v>
      </c>
      <c r="C21" s="11"/>
      <c r="D21" s="2">
        <f>--34.74</f>
        <v>34.74</v>
      </c>
      <c r="E21" s="2"/>
      <c r="F21" s="22"/>
      <c r="G21" s="2"/>
      <c r="H21" s="2"/>
      <c r="I21" s="2"/>
      <c r="J21" s="22"/>
      <c r="K21" s="2"/>
      <c r="L21" s="2">
        <f t="shared" si="0"/>
        <v>34.74</v>
      </c>
      <c r="M21" s="2"/>
      <c r="N21" s="22">
        <f t="shared" si="1"/>
        <v>0</v>
      </c>
      <c r="O21" s="11"/>
      <c r="P21" s="2">
        <f>--34.74</f>
        <v>34.74</v>
      </c>
      <c r="Q21" s="2"/>
      <c r="R21" s="22"/>
      <c r="S21" s="2"/>
      <c r="T21" s="2"/>
      <c r="U21" s="2"/>
      <c r="V21" s="22"/>
      <c r="W21" s="2"/>
      <c r="X21" s="2">
        <f t="shared" si="2"/>
        <v>34.74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"4035", " - ", "TAXABLE SALES-HEALTH &amp; BEAUTY")</f>
        <v xml:space="preserve">          4035 - TAXABLE SALES-HEALTH &amp; BEAUTY</v>
      </c>
      <c r="C22" s="11"/>
      <c r="D22" s="2">
        <f>--2.99</f>
        <v>2.99</v>
      </c>
      <c r="E22" s="2"/>
      <c r="F22" s="22"/>
      <c r="G22" s="2"/>
      <c r="H22" s="2"/>
      <c r="I22" s="2"/>
      <c r="J22" s="22"/>
      <c r="K22" s="2"/>
      <c r="L22" s="2">
        <f t="shared" si="0"/>
        <v>2.99</v>
      </c>
      <c r="M22" s="2"/>
      <c r="N22" s="22">
        <f t="shared" si="1"/>
        <v>0</v>
      </c>
      <c r="O22" s="11"/>
      <c r="P22" s="2">
        <f>--2.99</f>
        <v>2.99</v>
      </c>
      <c r="Q22" s="2"/>
      <c r="R22" s="22"/>
      <c r="S22" s="2"/>
      <c r="T22" s="2"/>
      <c r="U22" s="2"/>
      <c r="V22" s="22"/>
      <c r="W22" s="2"/>
      <c r="X22" s="2">
        <f t="shared" si="2"/>
        <v>2.99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"4037", " - ", "TAXABLE SALES-WATER")</f>
        <v xml:space="preserve">          4037 - TAXABLE SALES-WATER</v>
      </c>
      <c r="C23" s="11"/>
      <c r="D23" s="2">
        <f>--5.29</f>
        <v>5.29</v>
      </c>
      <c r="E23" s="2"/>
      <c r="F23" s="22"/>
      <c r="G23" s="2"/>
      <c r="H23" s="2"/>
      <c r="I23" s="2"/>
      <c r="J23" s="22"/>
      <c r="K23" s="2"/>
      <c r="L23" s="2">
        <f t="shared" si="0"/>
        <v>5.29</v>
      </c>
      <c r="M23" s="2"/>
      <c r="N23" s="22">
        <f t="shared" si="1"/>
        <v>0</v>
      </c>
      <c r="O23" s="11"/>
      <c r="P23" s="2">
        <f>--5.29</f>
        <v>5.29</v>
      </c>
      <c r="Q23" s="2"/>
      <c r="R23" s="22"/>
      <c r="S23" s="2"/>
      <c r="T23" s="2"/>
      <c r="U23" s="2"/>
      <c r="V23" s="22"/>
      <c r="W23" s="2"/>
      <c r="X23" s="2">
        <f t="shared" si="2"/>
        <v>5.29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"4081", " - ", "TAXABLE SALES-ELECTRONICS")</f>
        <v xml:space="preserve">          4081 - TAXABLE SALES-ELECTRONICS</v>
      </c>
      <c r="C24" s="11"/>
      <c r="D24" s="2">
        <f>--7.98</f>
        <v>7.98</v>
      </c>
      <c r="E24" s="2"/>
      <c r="F24" s="22"/>
      <c r="G24" s="2"/>
      <c r="H24" s="2"/>
      <c r="I24" s="2"/>
      <c r="J24" s="22"/>
      <c r="K24" s="2"/>
      <c r="L24" s="2">
        <f t="shared" si="0"/>
        <v>7.98</v>
      </c>
      <c r="M24" s="2"/>
      <c r="N24" s="22">
        <f t="shared" si="1"/>
        <v>0</v>
      </c>
      <c r="O24" s="11"/>
      <c r="P24" s="2">
        <f>--7.98</f>
        <v>7.98</v>
      </c>
      <c r="Q24" s="2"/>
      <c r="R24" s="22"/>
      <c r="S24" s="2"/>
      <c r="T24" s="2"/>
      <c r="U24" s="2"/>
      <c r="V24" s="22"/>
      <c r="W24" s="2"/>
      <c r="X24" s="2">
        <f t="shared" si="2"/>
        <v>7.98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"4082", " - ", "TAXABLE SALES-COMPUTER HARDWAR")</f>
        <v xml:space="preserve">          4082 - TAXABLE SALES-COMPUTER HARDWAR</v>
      </c>
      <c r="C25" s="11"/>
      <c r="D25" s="2">
        <f>--19</f>
        <v>19</v>
      </c>
      <c r="E25" s="2"/>
      <c r="F25" s="22"/>
      <c r="G25" s="2"/>
      <c r="H25" s="2"/>
      <c r="I25" s="2"/>
      <c r="J25" s="22"/>
      <c r="K25" s="2"/>
      <c r="L25" s="2">
        <f t="shared" si="0"/>
        <v>19</v>
      </c>
      <c r="M25" s="2"/>
      <c r="N25" s="22">
        <f t="shared" si="1"/>
        <v>0</v>
      </c>
      <c r="O25" s="11"/>
      <c r="P25" s="2">
        <f>--19</f>
        <v>19</v>
      </c>
      <c r="Q25" s="2"/>
      <c r="R25" s="22"/>
      <c r="S25" s="2"/>
      <c r="T25" s="2"/>
      <c r="U25" s="2"/>
      <c r="V25" s="22"/>
      <c r="W25" s="2"/>
      <c r="X25" s="2">
        <f t="shared" si="2"/>
        <v>19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"4086", " - ", "TAXABLE SALES-COMPUTER SUPPLIE")</f>
        <v xml:space="preserve">          4086 - TAXABLE SALES-COMPUTER SUPPLIE</v>
      </c>
      <c r="C26" s="11"/>
      <c r="D26" s="2">
        <f>--14.99</f>
        <v>14.99</v>
      </c>
      <c r="E26" s="2"/>
      <c r="F26" s="22"/>
      <c r="G26" s="2"/>
      <c r="H26" s="2"/>
      <c r="I26" s="2"/>
      <c r="J26" s="22"/>
      <c r="K26" s="2"/>
      <c r="L26" s="2">
        <f t="shared" si="0"/>
        <v>14.99</v>
      </c>
      <c r="M26" s="2"/>
      <c r="N26" s="22">
        <f t="shared" si="1"/>
        <v>0</v>
      </c>
      <c r="O26" s="11"/>
      <c r="P26" s="2">
        <f>--14.99</f>
        <v>14.99</v>
      </c>
      <c r="Q26" s="2"/>
      <c r="R26" s="22"/>
      <c r="S26" s="2"/>
      <c r="T26" s="2"/>
      <c r="U26" s="2"/>
      <c r="V26" s="22"/>
      <c r="W26" s="2"/>
      <c r="X26" s="2">
        <f t="shared" si="2"/>
        <v>14.99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"4100", " - ", "NON-TAXABLE SALES")</f>
        <v xml:space="preserve">          4100 - NON-TAXABLE SALES</v>
      </c>
      <c r="C27" s="11"/>
      <c r="D27" s="2">
        <f>0</f>
        <v>0</v>
      </c>
      <c r="E27" s="2"/>
      <c r="F27" s="22"/>
      <c r="G27" s="2"/>
      <c r="H27" s="2">
        <v>399</v>
      </c>
      <c r="I27" s="2"/>
      <c r="J27" s="22"/>
      <c r="K27" s="2"/>
      <c r="L27" s="2">
        <f t="shared" si="0"/>
        <v>-399</v>
      </c>
      <c r="M27" s="2"/>
      <c r="N27" s="22">
        <f t="shared" si="1"/>
        <v>-1</v>
      </c>
      <c r="O27" s="11"/>
      <c r="P27" s="2">
        <f>0</f>
        <v>0</v>
      </c>
      <c r="Q27" s="2"/>
      <c r="R27" s="22"/>
      <c r="S27" s="2"/>
      <c r="T27" s="2">
        <v>399</v>
      </c>
      <c r="U27" s="2"/>
      <c r="V27" s="22"/>
      <c r="W27" s="2"/>
      <c r="X27" s="2">
        <f t="shared" si="2"/>
        <v>-399</v>
      </c>
      <c r="Y27" s="2"/>
      <c r="Z27" s="22">
        <f t="shared" si="3"/>
        <v>-1</v>
      </c>
    </row>
    <row r="28" spans="1:26" s="24" customFormat="1" hidden="1" outlineLevel="1" x14ac:dyDescent="0.25">
      <c r="A28" s="51"/>
      <c r="B28" s="11" t="str">
        <f>CONCATENATE("          ", "4131", " - ", "NON-TAXABLE SALES-FOOD")</f>
        <v xml:space="preserve">          4131 - NON-TAXABLE SALES-FOOD</v>
      </c>
      <c r="C28" s="11"/>
      <c r="D28" s="2">
        <f>--142.2</f>
        <v>142.19999999999999</v>
      </c>
      <c r="E28" s="2"/>
      <c r="F28" s="22"/>
      <c r="G28" s="2"/>
      <c r="H28" s="2"/>
      <c r="I28" s="2"/>
      <c r="J28" s="22"/>
      <c r="K28" s="2"/>
      <c r="L28" s="2">
        <f t="shared" si="0"/>
        <v>142.19999999999999</v>
      </c>
      <c r="M28" s="2"/>
      <c r="N28" s="22">
        <f t="shared" si="1"/>
        <v>0</v>
      </c>
      <c r="O28" s="11"/>
      <c r="P28" s="2">
        <f>--142.2</f>
        <v>142.19999999999999</v>
      </c>
      <c r="Q28" s="2"/>
      <c r="R28" s="22"/>
      <c r="S28" s="2"/>
      <c r="T28" s="2"/>
      <c r="U28" s="2"/>
      <c r="V28" s="22"/>
      <c r="W28" s="2"/>
      <c r="X28" s="2">
        <f t="shared" si="2"/>
        <v>142.19999999999999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"4132", " - ", "NON-TAXABLE SALES-JUICE")</f>
        <v xml:space="preserve">          4132 - NON-TAXABLE SALES-JUICE</v>
      </c>
      <c r="C29" s="11"/>
      <c r="D29" s="2">
        <f>--45.31</f>
        <v>45.31</v>
      </c>
      <c r="E29" s="2"/>
      <c r="F29" s="22"/>
      <c r="G29" s="2"/>
      <c r="H29" s="2"/>
      <c r="I29" s="2"/>
      <c r="J29" s="22"/>
      <c r="K29" s="2"/>
      <c r="L29" s="2">
        <f t="shared" si="0"/>
        <v>45.31</v>
      </c>
      <c r="M29" s="2"/>
      <c r="N29" s="22">
        <f t="shared" si="1"/>
        <v>0</v>
      </c>
      <c r="O29" s="11"/>
      <c r="P29" s="2">
        <f>--45.31</f>
        <v>45.31</v>
      </c>
      <c r="Q29" s="2"/>
      <c r="R29" s="22"/>
      <c r="S29" s="2"/>
      <c r="T29" s="2"/>
      <c r="U29" s="2"/>
      <c r="V29" s="22"/>
      <c r="W29" s="2"/>
      <c r="X29" s="2">
        <f t="shared" si="2"/>
        <v>45.31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"4133", " - ", "NON-TAXABLE SALES-CANDY")</f>
        <v xml:space="preserve">          4133 - NON-TAXABLE SALES-CANDY</v>
      </c>
      <c r="C30" s="11"/>
      <c r="D30" s="2">
        <f>--183.37</f>
        <v>183.37</v>
      </c>
      <c r="E30" s="2"/>
      <c r="F30" s="22"/>
      <c r="G30" s="2"/>
      <c r="H30" s="2"/>
      <c r="I30" s="2"/>
      <c r="J30" s="22"/>
      <c r="K30" s="2"/>
      <c r="L30" s="2">
        <f t="shared" si="0"/>
        <v>183.37</v>
      </c>
      <c r="M30" s="2"/>
      <c r="N30" s="22">
        <f t="shared" si="1"/>
        <v>0</v>
      </c>
      <c r="O30" s="11"/>
      <c r="P30" s="2">
        <f>--183.37</f>
        <v>183.37</v>
      </c>
      <c r="Q30" s="2"/>
      <c r="R30" s="22"/>
      <c r="S30" s="2"/>
      <c r="T30" s="2"/>
      <c r="U30" s="2"/>
      <c r="V30" s="22"/>
      <c r="W30" s="2"/>
      <c r="X30" s="2">
        <f t="shared" si="2"/>
        <v>183.37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"4137", " - ", "NON-TAXABLE SALES-WATER")</f>
        <v xml:space="preserve">          4137 - NON-TAXABLE SALES-WATER</v>
      </c>
      <c r="C31" s="11"/>
      <c r="D31" s="2">
        <f>--30.52</f>
        <v>30.52</v>
      </c>
      <c r="E31" s="2"/>
      <c r="F31" s="22"/>
      <c r="G31" s="2"/>
      <c r="H31" s="2"/>
      <c r="I31" s="2"/>
      <c r="J31" s="22"/>
      <c r="K31" s="2"/>
      <c r="L31" s="2">
        <f t="shared" si="0"/>
        <v>30.52</v>
      </c>
      <c r="M31" s="2"/>
      <c r="N31" s="22">
        <f t="shared" si="1"/>
        <v>0</v>
      </c>
      <c r="O31" s="11"/>
      <c r="P31" s="2">
        <f>--30.52</f>
        <v>30.52</v>
      </c>
      <c r="Q31" s="2"/>
      <c r="R31" s="22"/>
      <c r="S31" s="2"/>
      <c r="T31" s="2"/>
      <c r="U31" s="2"/>
      <c r="V31" s="22"/>
      <c r="W31" s="2"/>
      <c r="X31" s="2">
        <f t="shared" si="2"/>
        <v>30.52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>-8.97</f>
        <v>-8.9700000000000006</v>
      </c>
      <c r="E32" s="2"/>
      <c r="F32" s="22"/>
      <c r="G32" s="2"/>
      <c r="H32" s="2"/>
      <c r="I32" s="2"/>
      <c r="J32" s="22"/>
      <c r="K32" s="2"/>
      <c r="L32" s="2">
        <f t="shared" si="0"/>
        <v>-8.9700000000000006</v>
      </c>
      <c r="M32" s="2"/>
      <c r="N32" s="22">
        <f t="shared" si="1"/>
        <v>0</v>
      </c>
      <c r="O32" s="11"/>
      <c r="P32" s="2">
        <f>-8.97</f>
        <v>-8.9700000000000006</v>
      </c>
      <c r="Q32" s="2"/>
      <c r="R32" s="22"/>
      <c r="S32" s="2"/>
      <c r="T32" s="2"/>
      <c r="U32" s="2"/>
      <c r="V32" s="22"/>
      <c r="W32" s="2"/>
      <c r="X32" s="2">
        <f t="shared" si="2"/>
        <v>-8.9700000000000006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"4228", " - ", "SALES RETURN TAXABLE-ART/TECH")</f>
        <v xml:space="preserve">          4228 - SALES RETURN TAXABLE-ART/TECH</v>
      </c>
      <c r="C33" s="11"/>
      <c r="D33" s="2">
        <f>-10.37</f>
        <v>-10.37</v>
      </c>
      <c r="E33" s="2"/>
      <c r="F33" s="22"/>
      <c r="G33" s="2"/>
      <c r="H33" s="2"/>
      <c r="I33" s="2"/>
      <c r="J33" s="22"/>
      <c r="K33" s="2"/>
      <c r="L33" s="2">
        <f t="shared" si="0"/>
        <v>-10.37</v>
      </c>
      <c r="M33" s="2"/>
      <c r="N33" s="22">
        <f t="shared" si="1"/>
        <v>0</v>
      </c>
      <c r="O33" s="11"/>
      <c r="P33" s="2">
        <f>-10.37</f>
        <v>-10.37</v>
      </c>
      <c r="Q33" s="2"/>
      <c r="R33" s="22"/>
      <c r="S33" s="2"/>
      <c r="T33" s="2"/>
      <c r="U33" s="2"/>
      <c r="V33" s="22"/>
      <c r="W33" s="2"/>
      <c r="X33" s="2">
        <f t="shared" si="2"/>
        <v>-10.37</v>
      </c>
      <c r="Y33" s="2"/>
      <c r="Z33" s="22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5" t="s">
        <v>8</v>
      </c>
      <c r="C35" s="10"/>
      <c r="D35" s="4">
        <f>SUM(OSRRefD16x_0)</f>
        <v>1364.8799999999987</v>
      </c>
      <c r="E35" s="4"/>
      <c r="F35" s="12">
        <f t="shared" ref="F35:F45" si="4">IF(D$12=0,0,D35/D$12)</f>
        <v>0.56261438770630956</v>
      </c>
      <c r="G35" s="4"/>
      <c r="H35" s="4">
        <f>SUM(OSRRefH16x_0)</f>
        <v>796</v>
      </c>
      <c r="I35" s="4"/>
      <c r="J35" s="12">
        <f t="shared" ref="J35:J45" si="5">IF(H$12=0,0,H35/H$12)</f>
        <v>0.43640350877192985</v>
      </c>
      <c r="K35" s="4"/>
      <c r="L35" s="4">
        <f t="shared" ref="L35:L45" si="6">+D35-H35</f>
        <v>568.87999999999874</v>
      </c>
      <c r="M35" s="4"/>
      <c r="N35" s="12">
        <f t="shared" ref="N35:N45" si="7">IF(H35=0,0,L35/H35)</f>
        <v>0.71467336683416927</v>
      </c>
      <c r="O35" s="10"/>
      <c r="P35" s="4">
        <f>SUM(OSRRefP16x_0)</f>
        <v>1364.8799999999987</v>
      </c>
      <c r="Q35" s="4"/>
      <c r="R35" s="12">
        <f t="shared" ref="R35:R45" si="8">IF(P$12=0,0,P35/P$12)</f>
        <v>0.56261438770630956</v>
      </c>
      <c r="S35" s="4"/>
      <c r="T35" s="4">
        <f>SUM(OSRRefT16x_0)</f>
        <v>796</v>
      </c>
      <c r="U35" s="4"/>
      <c r="V35" s="12">
        <f t="shared" ref="V35:V45" si="9">IF(T$12=0,0,T35/T$12)</f>
        <v>0.43640350877192985</v>
      </c>
      <c r="W35" s="4"/>
      <c r="X35" s="4">
        <f t="shared" ref="X35:X45" si="10">+P35-T35</f>
        <v>568.87999999999874</v>
      </c>
      <c r="Y35" s="4"/>
      <c r="Z35" s="12">
        <f t="shared" ref="Z35:Z45" si="11">IF(T35=0,0,X35/T35)</f>
        <v>0.71467336683416927</v>
      </c>
    </row>
    <row r="36" spans="1:26" s="24" customFormat="1" hidden="1" outlineLevel="1" x14ac:dyDescent="0.25">
      <c r="A36" s="51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22">
        <f t="shared" si="4"/>
        <v>0</v>
      </c>
      <c r="G36" s="2"/>
      <c r="H36" s="2">
        <v>796</v>
      </c>
      <c r="I36" s="2"/>
      <c r="J36" s="22">
        <f t="shared" si="5"/>
        <v>0.43640350877192985</v>
      </c>
      <c r="K36" s="2"/>
      <c r="L36" s="2">
        <f t="shared" si="6"/>
        <v>-796</v>
      </c>
      <c r="M36" s="2"/>
      <c r="N36" s="22">
        <f t="shared" si="7"/>
        <v>-1</v>
      </c>
      <c r="O36" s="11"/>
      <c r="P36" s="2"/>
      <c r="Q36" s="2"/>
      <c r="R36" s="22">
        <f t="shared" si="8"/>
        <v>0</v>
      </c>
      <c r="S36" s="2"/>
      <c r="T36" s="2">
        <v>796</v>
      </c>
      <c r="U36" s="2"/>
      <c r="V36" s="22">
        <f t="shared" si="9"/>
        <v>0.43640350877192985</v>
      </c>
      <c r="W36" s="2"/>
      <c r="X36" s="2">
        <f t="shared" si="10"/>
        <v>-796</v>
      </c>
      <c r="Y36" s="2"/>
      <c r="Z36" s="22">
        <f t="shared" si="11"/>
        <v>-1</v>
      </c>
    </row>
    <row r="37" spans="1:26" s="24" customFormat="1" hidden="1" outlineLevel="1" x14ac:dyDescent="0.25">
      <c r="A37" s="51"/>
      <c r="B37" s="11" t="str">
        <f>CONCATENATE("          ", "5026", " - ", "PURCHASES @ COST-WRITING INSTR")</f>
        <v xml:space="preserve">          5026 - PURCHASES @ COST-WRITING INSTR</v>
      </c>
      <c r="C37" s="11"/>
      <c r="D37" s="2">
        <v>875.53</v>
      </c>
      <c r="E37" s="2"/>
      <c r="F37" s="22">
        <f t="shared" si="4"/>
        <v>0.36090042704743686</v>
      </c>
      <c r="G37" s="2"/>
      <c r="H37" s="2"/>
      <c r="I37" s="2"/>
      <c r="J37" s="22">
        <f t="shared" si="5"/>
        <v>0</v>
      </c>
      <c r="K37" s="2"/>
      <c r="L37" s="2">
        <f t="shared" si="6"/>
        <v>875.53</v>
      </c>
      <c r="M37" s="2"/>
      <c r="N37" s="22">
        <f t="shared" si="7"/>
        <v>0</v>
      </c>
      <c r="O37" s="11"/>
      <c r="P37" s="2">
        <v>875.53</v>
      </c>
      <c r="Q37" s="2"/>
      <c r="R37" s="22">
        <f t="shared" si="8"/>
        <v>0.36090042704743686</v>
      </c>
      <c r="S37" s="2"/>
      <c r="T37" s="2"/>
      <c r="U37" s="2"/>
      <c r="V37" s="22">
        <f t="shared" si="9"/>
        <v>0</v>
      </c>
      <c r="W37" s="2"/>
      <c r="X37" s="2">
        <f t="shared" si="10"/>
        <v>875.53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"5027", " - ", "PURCHASES @ COST-SCHOOL SUPPLI")</f>
        <v xml:space="preserve">          5027 - PURCHASES @ COST-SCHOOL SUPPLI</v>
      </c>
      <c r="C38" s="11"/>
      <c r="D38" s="2">
        <v>857.49</v>
      </c>
      <c r="E38" s="2"/>
      <c r="F38" s="22">
        <f t="shared" si="4"/>
        <v>0.35346419561740505</v>
      </c>
      <c r="G38" s="2"/>
      <c r="H38" s="2"/>
      <c r="I38" s="2"/>
      <c r="J38" s="22">
        <f t="shared" si="5"/>
        <v>0</v>
      </c>
      <c r="K38" s="2"/>
      <c r="L38" s="2">
        <f t="shared" si="6"/>
        <v>857.49</v>
      </c>
      <c r="M38" s="2"/>
      <c r="N38" s="22">
        <f t="shared" si="7"/>
        <v>0</v>
      </c>
      <c r="O38" s="11"/>
      <c r="P38" s="2">
        <v>857.49</v>
      </c>
      <c r="Q38" s="2"/>
      <c r="R38" s="22">
        <f t="shared" si="8"/>
        <v>0.35346419561740505</v>
      </c>
      <c r="S38" s="2"/>
      <c r="T38" s="2"/>
      <c r="U38" s="2"/>
      <c r="V38" s="22">
        <f t="shared" si="9"/>
        <v>0</v>
      </c>
      <c r="W38" s="2"/>
      <c r="X38" s="2">
        <f t="shared" si="10"/>
        <v>857.49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"5028", " - ", "PURCHASES @ COST-ART/TECH")</f>
        <v xml:space="preserve">          5028 - PURCHASES @ COST-ART/TECH</v>
      </c>
      <c r="C39" s="11"/>
      <c r="D39" s="2">
        <v>25883.09</v>
      </c>
      <c r="E39" s="2"/>
      <c r="F39" s="22">
        <f t="shared" si="4"/>
        <v>10.669215485828291</v>
      </c>
      <c r="G39" s="2"/>
      <c r="H39" s="2"/>
      <c r="I39" s="2"/>
      <c r="J39" s="22">
        <f t="shared" si="5"/>
        <v>0</v>
      </c>
      <c r="K39" s="2"/>
      <c r="L39" s="2">
        <f t="shared" si="6"/>
        <v>25883.09</v>
      </c>
      <c r="M39" s="2"/>
      <c r="N39" s="22">
        <f t="shared" si="7"/>
        <v>0</v>
      </c>
      <c r="O39" s="11"/>
      <c r="P39" s="2">
        <v>25883.09</v>
      </c>
      <c r="Q39" s="2"/>
      <c r="R39" s="22">
        <f t="shared" si="8"/>
        <v>10.669215485828291</v>
      </c>
      <c r="S39" s="2"/>
      <c r="T39" s="2"/>
      <c r="U39" s="2"/>
      <c r="V39" s="22">
        <f t="shared" si="9"/>
        <v>0</v>
      </c>
      <c r="W39" s="2"/>
      <c r="X39" s="2">
        <f t="shared" si="10"/>
        <v>25883.09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"5032", " - ", "PURCHASES @ COST-JUICE")</f>
        <v xml:space="preserve">          5032 - PURCHASES @ COST-JUICE</v>
      </c>
      <c r="C40" s="11"/>
      <c r="D40" s="2">
        <v>114.42</v>
      </c>
      <c r="E40" s="2"/>
      <c r="F40" s="22">
        <f t="shared" si="4"/>
        <v>4.7164833715312701E-2</v>
      </c>
      <c r="G40" s="2"/>
      <c r="H40" s="2"/>
      <c r="I40" s="2"/>
      <c r="J40" s="22">
        <f t="shared" si="5"/>
        <v>0</v>
      </c>
      <c r="K40" s="2"/>
      <c r="L40" s="2">
        <f t="shared" si="6"/>
        <v>114.42</v>
      </c>
      <c r="M40" s="2"/>
      <c r="N40" s="22">
        <f t="shared" si="7"/>
        <v>0</v>
      </c>
      <c r="O40" s="11"/>
      <c r="P40" s="2">
        <v>114.42</v>
      </c>
      <c r="Q40" s="2"/>
      <c r="R40" s="22">
        <f t="shared" si="8"/>
        <v>4.7164833715312701E-2</v>
      </c>
      <c r="S40" s="2"/>
      <c r="T40" s="2"/>
      <c r="U40" s="2"/>
      <c r="V40" s="22">
        <f t="shared" si="9"/>
        <v>0</v>
      </c>
      <c r="W40" s="2"/>
      <c r="X40" s="2">
        <f t="shared" si="10"/>
        <v>114.42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"5034", " - ", "PURCHASES @ COST-SODA")</f>
        <v xml:space="preserve">          5034 - PURCHASES @ COST-SODA</v>
      </c>
      <c r="C41" s="11"/>
      <c r="D41" s="2">
        <v>-61.54</v>
      </c>
      <c r="E41" s="2"/>
      <c r="F41" s="22">
        <f t="shared" si="4"/>
        <v>-2.5367277284044254E-2</v>
      </c>
      <c r="G41" s="2"/>
      <c r="H41" s="2"/>
      <c r="I41" s="2"/>
      <c r="J41" s="22">
        <f t="shared" si="5"/>
        <v>0</v>
      </c>
      <c r="K41" s="2"/>
      <c r="L41" s="2">
        <f t="shared" si="6"/>
        <v>-61.54</v>
      </c>
      <c r="M41" s="2"/>
      <c r="N41" s="22">
        <f t="shared" si="7"/>
        <v>0</v>
      </c>
      <c r="O41" s="11"/>
      <c r="P41" s="2">
        <v>-61.54</v>
      </c>
      <c r="Q41" s="2"/>
      <c r="R41" s="22">
        <f t="shared" si="8"/>
        <v>-2.5367277284044254E-2</v>
      </c>
      <c r="S41" s="2"/>
      <c r="T41" s="2"/>
      <c r="U41" s="2"/>
      <c r="V41" s="22">
        <f t="shared" si="9"/>
        <v>0</v>
      </c>
      <c r="W41" s="2"/>
      <c r="X41" s="2">
        <f t="shared" si="10"/>
        <v>-61.54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"5037", " - ", "PURCHASES @ COST-WATER")</f>
        <v xml:space="preserve">          5037 - PURCHASES @ COST-WATER</v>
      </c>
      <c r="C42" s="11"/>
      <c r="D42" s="2">
        <v>16.54</v>
      </c>
      <c r="E42" s="2"/>
      <c r="F42" s="22">
        <f t="shared" si="4"/>
        <v>6.8179195040313934E-3</v>
      </c>
      <c r="G42" s="2"/>
      <c r="H42" s="2"/>
      <c r="I42" s="2"/>
      <c r="J42" s="22">
        <f t="shared" si="5"/>
        <v>0</v>
      </c>
      <c r="K42" s="2"/>
      <c r="L42" s="2">
        <f t="shared" si="6"/>
        <v>16.54</v>
      </c>
      <c r="M42" s="2"/>
      <c r="N42" s="22">
        <f t="shared" si="7"/>
        <v>0</v>
      </c>
      <c r="O42" s="11"/>
      <c r="P42" s="2">
        <v>16.54</v>
      </c>
      <c r="Q42" s="2"/>
      <c r="R42" s="22">
        <f t="shared" si="8"/>
        <v>6.8179195040313934E-3</v>
      </c>
      <c r="S42" s="2"/>
      <c r="T42" s="2"/>
      <c r="U42" s="2"/>
      <c r="V42" s="22">
        <f t="shared" si="9"/>
        <v>0</v>
      </c>
      <c r="W42" s="2"/>
      <c r="X42" s="2">
        <f t="shared" si="10"/>
        <v>16.54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"5200", " - ", "PURCHASES OFFSET")</f>
        <v xml:space="preserve">          5200 - PURCHASES OFFSET</v>
      </c>
      <c r="C43" s="11"/>
      <c r="D43" s="2">
        <v>-27685</v>
      </c>
      <c r="E43" s="2"/>
      <c r="F43" s="22">
        <f t="shared" si="4"/>
        <v>-11.411977114214579</v>
      </c>
      <c r="G43" s="2"/>
      <c r="H43" s="2"/>
      <c r="I43" s="2"/>
      <c r="J43" s="22">
        <f t="shared" si="5"/>
        <v>0</v>
      </c>
      <c r="K43" s="2"/>
      <c r="L43" s="2">
        <f t="shared" si="6"/>
        <v>-27685</v>
      </c>
      <c r="M43" s="2"/>
      <c r="N43" s="22">
        <f t="shared" si="7"/>
        <v>0</v>
      </c>
      <c r="O43" s="11"/>
      <c r="P43" s="2">
        <v>-27685</v>
      </c>
      <c r="Q43" s="2"/>
      <c r="R43" s="22">
        <f t="shared" si="8"/>
        <v>-11.411977114214579</v>
      </c>
      <c r="S43" s="2"/>
      <c r="T43" s="2"/>
      <c r="U43" s="2"/>
      <c r="V43" s="22">
        <f t="shared" si="9"/>
        <v>0</v>
      </c>
      <c r="W43" s="2"/>
      <c r="X43" s="2">
        <f t="shared" si="10"/>
        <v>-27685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"5300", " - ", "COG$ OFFSET")</f>
        <v xml:space="preserve">          5300 - COG$ OFFSET</v>
      </c>
      <c r="C44" s="11"/>
      <c r="D44" s="2">
        <v>1364</v>
      </c>
      <c r="E44" s="2"/>
      <c r="F44" s="22">
        <f t="shared" si="4"/>
        <v>0.56225164470972311</v>
      </c>
      <c r="G44" s="2"/>
      <c r="H44" s="2"/>
      <c r="I44" s="2"/>
      <c r="J44" s="22">
        <f t="shared" si="5"/>
        <v>0</v>
      </c>
      <c r="K44" s="2"/>
      <c r="L44" s="2">
        <f t="shared" si="6"/>
        <v>1364</v>
      </c>
      <c r="M44" s="2"/>
      <c r="N44" s="22">
        <f t="shared" si="7"/>
        <v>0</v>
      </c>
      <c r="O44" s="11"/>
      <c r="P44" s="2">
        <v>1364</v>
      </c>
      <c r="Q44" s="2"/>
      <c r="R44" s="22">
        <f t="shared" si="8"/>
        <v>0.56225164470972311</v>
      </c>
      <c r="S44" s="2"/>
      <c r="T44" s="2"/>
      <c r="U44" s="2"/>
      <c r="V44" s="22">
        <f t="shared" si="9"/>
        <v>0</v>
      </c>
      <c r="W44" s="2"/>
      <c r="X44" s="2">
        <f t="shared" si="10"/>
        <v>1364</v>
      </c>
      <c r="Y44" s="2"/>
      <c r="Z44" s="22">
        <f t="shared" si="11"/>
        <v>0</v>
      </c>
    </row>
    <row r="45" spans="1:26" s="24" customFormat="1" hidden="1" outlineLevel="1" x14ac:dyDescent="0.25">
      <c r="A45" s="51"/>
      <c r="B45" s="11" t="str">
        <f>CONCATENATE("          ", "5528", " - ", "FREIGHT-IN-ART/TECH")</f>
        <v xml:space="preserve">          5528 - FREIGHT-IN-ART/TECH</v>
      </c>
      <c r="C45" s="11"/>
      <c r="D45" s="2">
        <v>0.35</v>
      </c>
      <c r="E45" s="2"/>
      <c r="F45" s="22">
        <f t="shared" si="4"/>
        <v>1.4427278273343336E-4</v>
      </c>
      <c r="G45" s="2"/>
      <c r="H45" s="2"/>
      <c r="I45" s="2"/>
      <c r="J45" s="22">
        <f t="shared" si="5"/>
        <v>0</v>
      </c>
      <c r="K45" s="2"/>
      <c r="L45" s="2">
        <f t="shared" si="6"/>
        <v>0.35</v>
      </c>
      <c r="M45" s="2"/>
      <c r="N45" s="22">
        <f t="shared" si="7"/>
        <v>0</v>
      </c>
      <c r="O45" s="11"/>
      <c r="P45" s="2">
        <v>0.35</v>
      </c>
      <c r="Q45" s="2"/>
      <c r="R45" s="22">
        <f t="shared" si="8"/>
        <v>1.4427278273343336E-4</v>
      </c>
      <c r="S45" s="2"/>
      <c r="T45" s="2"/>
      <c r="U45" s="2"/>
      <c r="V45" s="22">
        <f t="shared" si="9"/>
        <v>0</v>
      </c>
      <c r="W45" s="2"/>
      <c r="X45" s="2">
        <f t="shared" si="10"/>
        <v>0.35</v>
      </c>
      <c r="Y45" s="2"/>
      <c r="Z45" s="22">
        <f t="shared" si="11"/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6" t="s">
        <v>6</v>
      </c>
      <c r="C47" s="26"/>
      <c r="D47" s="21">
        <f>D12-D35</f>
        <v>1061.0800000000013</v>
      </c>
      <c r="E47" s="13"/>
      <c r="F47" s="19">
        <f>IF(D$12=0,0,D47/D$12)</f>
        <v>0.43738561229369044</v>
      </c>
      <c r="G47" s="13"/>
      <c r="H47" s="21">
        <f>H12-H35</f>
        <v>1028</v>
      </c>
      <c r="I47" s="13"/>
      <c r="J47" s="19">
        <f>IF(H$12=0,0,H47/H$12)</f>
        <v>0.56359649122807021</v>
      </c>
      <c r="K47" s="15"/>
      <c r="L47" s="21">
        <f>+D47-H47</f>
        <v>33.080000000001291</v>
      </c>
      <c r="M47" s="15"/>
      <c r="N47" s="19">
        <f>IF(H47=0,0,L47/H47)</f>
        <v>3.2178988326849504E-2</v>
      </c>
      <c r="O47" s="25"/>
      <c r="P47" s="21">
        <f>P12-P35</f>
        <v>1061.0800000000013</v>
      </c>
      <c r="Q47" s="13"/>
      <c r="R47" s="19">
        <f>IF(P$12=0,0,P47/P$12)</f>
        <v>0.43738561229369044</v>
      </c>
      <c r="S47" s="13"/>
      <c r="T47" s="21">
        <f>T12-T35</f>
        <v>1028</v>
      </c>
      <c r="U47" s="13"/>
      <c r="V47" s="19">
        <f>IF(T$12=0,0,T47/T$12)</f>
        <v>0.56359649122807021</v>
      </c>
      <c r="W47" s="15"/>
      <c r="X47" s="21">
        <f>+P47-T47</f>
        <v>33.080000000001291</v>
      </c>
      <c r="Y47" s="15"/>
      <c r="Z47" s="19">
        <f>IF(T47=0,0,X47/T47)</f>
        <v>3.2178988326849504E-2</v>
      </c>
    </row>
    <row r="48" spans="1:26" x14ac:dyDescent="0.25">
      <c r="A48" s="9"/>
      <c r="B48" s="10"/>
      <c r="C48" s="9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6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5" t="s">
        <v>9</v>
      </c>
      <c r="C49" s="10"/>
      <c r="D49" s="20">
        <f>SUM(OSRRefD22x_0)</f>
        <v>11283.699999999999</v>
      </c>
      <c r="E49" s="20"/>
      <c r="F49" s="30">
        <f t="shared" ref="F49:F59" si="12">IF(D$12=0,0,D49/D$12)</f>
        <v>4.6512308529406914</v>
      </c>
      <c r="G49" s="20"/>
      <c r="H49" s="20">
        <f>SUM(OSRRefH22x_0)</f>
        <v>8950.742839999999</v>
      </c>
      <c r="I49" s="20"/>
      <c r="J49" s="30">
        <f t="shared" ref="J49:J59" si="13">IF(H$12=0,0,H49/H$12)</f>
        <v>4.9072055043859644</v>
      </c>
      <c r="K49" s="4"/>
      <c r="L49" s="20">
        <f t="shared" ref="L49:L59" si="14">+D49-H49</f>
        <v>2332.9571599999999</v>
      </c>
      <c r="M49" s="4"/>
      <c r="N49" s="30">
        <f t="shared" ref="N49:N59" si="15">IF(H49=0,0,L49/H49)</f>
        <v>0.2606439713108773</v>
      </c>
      <c r="O49" s="10"/>
      <c r="P49" s="20">
        <f>SUM(OSRRefP22x_0)</f>
        <v>11283.699999999999</v>
      </c>
      <c r="Q49" s="20"/>
      <c r="R49" s="30">
        <f t="shared" ref="R49:R59" si="16">IF(P$12=0,0,P49/P$12)</f>
        <v>4.6512308529406914</v>
      </c>
      <c r="S49" s="20"/>
      <c r="T49" s="20">
        <f>SUM(OSRRefT22x_0)</f>
        <v>8950.742839999999</v>
      </c>
      <c r="U49" s="20"/>
      <c r="V49" s="30">
        <f t="shared" ref="V49:V59" si="17">IF(T$12=0,0,T49/T$12)</f>
        <v>4.9072055043859644</v>
      </c>
      <c r="W49" s="4"/>
      <c r="X49" s="20">
        <f t="shared" ref="X49:X59" si="18">+P49-T49</f>
        <v>2332.9571599999999</v>
      </c>
      <c r="Y49" s="4"/>
      <c r="Z49" s="30">
        <f t="shared" ref="Z49:Z59" si="19">IF(T49=0,0,X49/T49)</f>
        <v>0.2606439713108773</v>
      </c>
    </row>
    <row r="50" spans="1:26" s="27" customFormat="1" outlineLevel="1" collapsed="1" x14ac:dyDescent="0.25">
      <c r="A50" s="28"/>
      <c r="B50" s="14" t="str">
        <f>CONCATENATE("     ","*Benefits                                         ")</f>
        <v xml:space="preserve">     *Benefits                                         </v>
      </c>
      <c r="C50" s="14"/>
      <c r="D50" s="1">
        <f>SUM(OSRRefD22_0x_0)</f>
        <v>1603.75</v>
      </c>
      <c r="E50" s="1"/>
      <c r="F50" s="5">
        <f t="shared" si="12"/>
        <v>0.66107850088212505</v>
      </c>
      <c r="G50" s="1"/>
      <c r="H50" s="1">
        <f>SUM(OSRRefH22_0x_0)</f>
        <v>1453.4078400000001</v>
      </c>
      <c r="I50" s="1"/>
      <c r="J50" s="5">
        <f t="shared" si="13"/>
        <v>0.79682447368421061</v>
      </c>
      <c r="K50" s="1"/>
      <c r="L50" s="1">
        <f t="shared" si="14"/>
        <v>150.34215999999992</v>
      </c>
      <c r="M50" s="1"/>
      <c r="N50" s="5">
        <f t="shared" si="15"/>
        <v>0.10344113734793113</v>
      </c>
      <c r="O50" s="14"/>
      <c r="P50" s="1">
        <f>SUM(OSRRefP22_0x_0)</f>
        <v>1603.75</v>
      </c>
      <c r="Q50" s="1"/>
      <c r="R50" s="5">
        <f t="shared" si="16"/>
        <v>0.66107850088212505</v>
      </c>
      <c r="S50" s="1"/>
      <c r="T50" s="1">
        <f>SUM(OSRRefT22_0x_0)</f>
        <v>1453.4078400000001</v>
      </c>
      <c r="U50" s="1"/>
      <c r="V50" s="5">
        <f t="shared" si="17"/>
        <v>0.79682447368421061</v>
      </c>
      <c r="W50" s="1"/>
      <c r="X50" s="1">
        <f t="shared" si="18"/>
        <v>150.34215999999992</v>
      </c>
      <c r="Y50" s="1"/>
      <c r="Z50" s="5">
        <f t="shared" si="19"/>
        <v>0.10344113734793113</v>
      </c>
    </row>
    <row r="51" spans="1:26" s="24" customFormat="1" hidden="1" outlineLevel="2" x14ac:dyDescent="0.25">
      <c r="A51" s="29"/>
      <c r="B51" s="11" t="str">
        <f>CONCATENATE("          ", "6111", " - ", "F.I.C.A.")</f>
        <v xml:space="preserve">          6111 - F.I.C.A.</v>
      </c>
      <c r="C51" s="11"/>
      <c r="D51" s="7">
        <v>364.25</v>
      </c>
      <c r="E51" s="2"/>
      <c r="F51" s="6">
        <f t="shared" si="12"/>
        <v>0.15014674603043743</v>
      </c>
      <c r="G51" s="2"/>
      <c r="H51" s="7">
        <v>283.77323999999999</v>
      </c>
      <c r="I51" s="2"/>
      <c r="J51" s="6">
        <f t="shared" si="13"/>
        <v>0.15557743421052631</v>
      </c>
      <c r="K51" s="2"/>
      <c r="L51" s="7">
        <f t="shared" si="14"/>
        <v>80.476760000000013</v>
      </c>
      <c r="M51" s="2"/>
      <c r="N51" s="6">
        <f t="shared" si="15"/>
        <v>0.28359531011451261</v>
      </c>
      <c r="O51" s="11"/>
      <c r="P51" s="7">
        <v>364.25</v>
      </c>
      <c r="Q51" s="2"/>
      <c r="R51" s="6">
        <f t="shared" si="16"/>
        <v>0.15014674603043743</v>
      </c>
      <c r="S51" s="2"/>
      <c r="T51" s="7">
        <v>283.77323999999999</v>
      </c>
      <c r="U51" s="2"/>
      <c r="V51" s="6">
        <f t="shared" si="17"/>
        <v>0.15557743421052631</v>
      </c>
      <c r="W51" s="2"/>
      <c r="X51" s="7">
        <f t="shared" si="18"/>
        <v>80.476760000000013</v>
      </c>
      <c r="Y51" s="2"/>
      <c r="Z51" s="6">
        <f t="shared" si="19"/>
        <v>0.28359531011451261</v>
      </c>
    </row>
    <row r="52" spans="1:26" s="24" customFormat="1" hidden="1" outlineLevel="2" x14ac:dyDescent="0.25">
      <c r="A52" s="29"/>
      <c r="B52" s="11" t="str">
        <f>CONCATENATE("          ", "6112", " - ", "COMPENSATION INSURANCE")</f>
        <v xml:space="preserve">          6112 - COMPENSATION INSURANCE</v>
      </c>
      <c r="C52" s="11"/>
      <c r="D52" s="7">
        <v>89.98</v>
      </c>
      <c r="E52" s="2"/>
      <c r="F52" s="6">
        <f t="shared" si="12"/>
        <v>3.7090471401012383E-2</v>
      </c>
      <c r="G52" s="2"/>
      <c r="H52" s="7">
        <v>102.8565</v>
      </c>
      <c r="I52" s="2"/>
      <c r="J52" s="6">
        <f t="shared" si="13"/>
        <v>5.6390625E-2</v>
      </c>
      <c r="K52" s="2"/>
      <c r="L52" s="7">
        <f t="shared" si="14"/>
        <v>-12.876499999999993</v>
      </c>
      <c r="M52" s="2"/>
      <c r="N52" s="6">
        <f t="shared" si="15"/>
        <v>-0.12518897687554986</v>
      </c>
      <c r="O52" s="11"/>
      <c r="P52" s="7">
        <v>89.98</v>
      </c>
      <c r="Q52" s="2"/>
      <c r="R52" s="6">
        <f t="shared" si="16"/>
        <v>3.7090471401012383E-2</v>
      </c>
      <c r="S52" s="2"/>
      <c r="T52" s="7">
        <v>102.8565</v>
      </c>
      <c r="U52" s="2"/>
      <c r="V52" s="6">
        <f t="shared" si="17"/>
        <v>5.6390625E-2</v>
      </c>
      <c r="W52" s="2"/>
      <c r="X52" s="7">
        <f t="shared" si="18"/>
        <v>-12.876499999999993</v>
      </c>
      <c r="Y52" s="2"/>
      <c r="Z52" s="6">
        <f t="shared" si="19"/>
        <v>-0.12518897687554986</v>
      </c>
    </row>
    <row r="53" spans="1:26" s="24" customFormat="1" hidden="1" outlineLevel="2" x14ac:dyDescent="0.25">
      <c r="A53" s="29"/>
      <c r="B53" s="11" t="str">
        <f>CONCATENATE("          ", "6113", " - ", "GROUP INSURANCE")</f>
        <v xml:space="preserve">          6113 - GROUP INSURANCE</v>
      </c>
      <c r="C53" s="11"/>
      <c r="D53" s="7">
        <v>488.51</v>
      </c>
      <c r="E53" s="2"/>
      <c r="F53" s="6">
        <f t="shared" si="12"/>
        <v>0.20136770598031295</v>
      </c>
      <c r="G53" s="2"/>
      <c r="H53" s="7">
        <v>497.25</v>
      </c>
      <c r="I53" s="2"/>
      <c r="J53" s="6">
        <f t="shared" si="13"/>
        <v>0.27261513157894735</v>
      </c>
      <c r="K53" s="2"/>
      <c r="L53" s="7">
        <f t="shared" si="14"/>
        <v>-8.7400000000000091</v>
      </c>
      <c r="M53" s="2"/>
      <c r="N53" s="6">
        <f t="shared" si="15"/>
        <v>-1.7576671694318771E-2</v>
      </c>
      <c r="O53" s="11"/>
      <c r="P53" s="7">
        <v>488.51</v>
      </c>
      <c r="Q53" s="2"/>
      <c r="R53" s="6">
        <f t="shared" si="16"/>
        <v>0.20136770598031295</v>
      </c>
      <c r="S53" s="2"/>
      <c r="T53" s="7">
        <v>497.25</v>
      </c>
      <c r="U53" s="2"/>
      <c r="V53" s="6">
        <f t="shared" si="17"/>
        <v>0.27261513157894735</v>
      </c>
      <c r="W53" s="2"/>
      <c r="X53" s="7">
        <f t="shared" si="18"/>
        <v>-8.7400000000000091</v>
      </c>
      <c r="Y53" s="2"/>
      <c r="Z53" s="6">
        <f t="shared" si="19"/>
        <v>-1.7576671694318771E-2</v>
      </c>
    </row>
    <row r="54" spans="1:26" s="24" customFormat="1" hidden="1" outlineLevel="2" x14ac:dyDescent="0.25">
      <c r="A54" s="29"/>
      <c r="B54" s="11" t="str">
        <f>CONCATENATE("          ", "6114", " - ", "STATE UNEMPLOYMENT INSURANCE")</f>
        <v xml:space="preserve">          6114 - STATE UNEMPLOYMENT INSURANCE</v>
      </c>
      <c r="C54" s="11"/>
      <c r="D54" s="7">
        <v>12.31</v>
      </c>
      <c r="E54" s="2"/>
      <c r="F54" s="6">
        <f t="shared" si="12"/>
        <v>5.0742798727101846E-3</v>
      </c>
      <c r="G54" s="2"/>
      <c r="H54" s="7">
        <v>14.075100000000001</v>
      </c>
      <c r="I54" s="2"/>
      <c r="J54" s="6">
        <f t="shared" si="13"/>
        <v>7.7166118421052639E-3</v>
      </c>
      <c r="K54" s="2"/>
      <c r="L54" s="7">
        <f t="shared" si="14"/>
        <v>-1.7651000000000003</v>
      </c>
      <c r="M54" s="2"/>
      <c r="N54" s="6">
        <f t="shared" si="15"/>
        <v>-0.12540585857294087</v>
      </c>
      <c r="O54" s="11"/>
      <c r="P54" s="7">
        <v>12.31</v>
      </c>
      <c r="Q54" s="2"/>
      <c r="R54" s="6">
        <f t="shared" si="16"/>
        <v>5.0742798727101846E-3</v>
      </c>
      <c r="S54" s="2"/>
      <c r="T54" s="7">
        <v>14.075100000000001</v>
      </c>
      <c r="U54" s="2"/>
      <c r="V54" s="6">
        <f t="shared" si="17"/>
        <v>7.7166118421052639E-3</v>
      </c>
      <c r="W54" s="2"/>
      <c r="X54" s="7">
        <f t="shared" si="18"/>
        <v>-1.7651000000000003</v>
      </c>
      <c r="Y54" s="2"/>
      <c r="Z54" s="6">
        <f t="shared" si="19"/>
        <v>-0.12540585857294087</v>
      </c>
    </row>
    <row r="55" spans="1:26" s="24" customFormat="1" hidden="1" outlineLevel="2" x14ac:dyDescent="0.25">
      <c r="A55" s="29"/>
      <c r="B55" s="11" t="str">
        <f>CONCATENATE("          ", "6115", " - ", "P.E.R.S.")</f>
        <v xml:space="preserve">          6115 - P.E.R.S.</v>
      </c>
      <c r="C55" s="11"/>
      <c r="D55" s="7">
        <v>201.17</v>
      </c>
      <c r="E55" s="2"/>
      <c r="F55" s="6">
        <f t="shared" si="12"/>
        <v>8.2923873435670814E-2</v>
      </c>
      <c r="G55" s="2"/>
      <c r="H55" s="7">
        <v>318.88799999999998</v>
      </c>
      <c r="I55" s="2"/>
      <c r="J55" s="6">
        <f t="shared" si="13"/>
        <v>0.17482894736842103</v>
      </c>
      <c r="K55" s="2"/>
      <c r="L55" s="7">
        <f t="shared" si="14"/>
        <v>-117.71799999999999</v>
      </c>
      <c r="M55" s="2"/>
      <c r="N55" s="6">
        <f t="shared" si="15"/>
        <v>-0.36915155164195579</v>
      </c>
      <c r="O55" s="11"/>
      <c r="P55" s="7">
        <v>201.17</v>
      </c>
      <c r="Q55" s="2"/>
      <c r="R55" s="6">
        <f t="shared" si="16"/>
        <v>8.2923873435670814E-2</v>
      </c>
      <c r="S55" s="2"/>
      <c r="T55" s="7">
        <v>318.88799999999998</v>
      </c>
      <c r="U55" s="2"/>
      <c r="V55" s="6">
        <f t="shared" si="17"/>
        <v>0.17482894736842103</v>
      </c>
      <c r="W55" s="2"/>
      <c r="X55" s="7">
        <f t="shared" si="18"/>
        <v>-117.71799999999999</v>
      </c>
      <c r="Y55" s="2"/>
      <c r="Z55" s="6">
        <f t="shared" si="19"/>
        <v>-0.36915155164195579</v>
      </c>
    </row>
    <row r="56" spans="1:26" s="24" customFormat="1" hidden="1" outlineLevel="2" x14ac:dyDescent="0.25">
      <c r="A56" s="29"/>
      <c r="B56" s="11" t="str">
        <f>CONCATENATE("          ", "6116", " - ", "EDUCATIONAL BENEFITS")</f>
        <v xml:space="preserve">          6116 - EDUCATIONAL BENEFITS</v>
      </c>
      <c r="C56" s="11"/>
      <c r="D56" s="7"/>
      <c r="E56" s="2"/>
      <c r="F56" s="6">
        <f t="shared" si="12"/>
        <v>0</v>
      </c>
      <c r="G56" s="2"/>
      <c r="H56" s="7">
        <v>0</v>
      </c>
      <c r="I56" s="2"/>
      <c r="J56" s="6">
        <f t="shared" si="13"/>
        <v>0</v>
      </c>
      <c r="K56" s="2"/>
      <c r="L56" s="7">
        <f t="shared" si="14"/>
        <v>0</v>
      </c>
      <c r="M56" s="2"/>
      <c r="N56" s="6">
        <f t="shared" si="15"/>
        <v>0</v>
      </c>
      <c r="O56" s="11"/>
      <c r="P56" s="7"/>
      <c r="Q56" s="2"/>
      <c r="R56" s="6">
        <f t="shared" si="16"/>
        <v>0</v>
      </c>
      <c r="S56" s="2"/>
      <c r="T56" s="7">
        <v>0</v>
      </c>
      <c r="U56" s="2"/>
      <c r="V56" s="6">
        <f t="shared" si="17"/>
        <v>0</v>
      </c>
      <c r="W56" s="2"/>
      <c r="X56" s="7">
        <f t="shared" si="18"/>
        <v>0</v>
      </c>
      <c r="Y56" s="2"/>
      <c r="Z56" s="6">
        <f t="shared" si="19"/>
        <v>0</v>
      </c>
    </row>
    <row r="57" spans="1:26" s="24" customFormat="1" hidden="1" outlineLevel="2" x14ac:dyDescent="0.25">
      <c r="A57" s="29"/>
      <c r="B57" s="11" t="str">
        <f>CONCATENATE("          ", "6118", " - ", "VACATION")</f>
        <v xml:space="preserve">          6118 - VACATION</v>
      </c>
      <c r="C57" s="11"/>
      <c r="D57" s="7">
        <v>165.96</v>
      </c>
      <c r="E57" s="2"/>
      <c r="F57" s="6">
        <f t="shared" si="12"/>
        <v>6.8410031492687429E-2</v>
      </c>
      <c r="G57" s="2"/>
      <c r="H57" s="7">
        <v>111.24</v>
      </c>
      <c r="I57" s="2"/>
      <c r="J57" s="6">
        <f t="shared" si="13"/>
        <v>6.0986842105263152E-2</v>
      </c>
      <c r="K57" s="2"/>
      <c r="L57" s="7">
        <f t="shared" si="14"/>
        <v>54.720000000000013</v>
      </c>
      <c r="M57" s="2"/>
      <c r="N57" s="6">
        <f t="shared" si="15"/>
        <v>0.49190938511326876</v>
      </c>
      <c r="O57" s="11"/>
      <c r="P57" s="7">
        <v>165.96</v>
      </c>
      <c r="Q57" s="2"/>
      <c r="R57" s="6">
        <f t="shared" si="16"/>
        <v>6.8410031492687429E-2</v>
      </c>
      <c r="S57" s="2"/>
      <c r="T57" s="7">
        <v>111.24</v>
      </c>
      <c r="U57" s="2"/>
      <c r="V57" s="6">
        <f t="shared" si="17"/>
        <v>6.0986842105263152E-2</v>
      </c>
      <c r="W57" s="2"/>
      <c r="X57" s="7">
        <f t="shared" si="18"/>
        <v>54.720000000000013</v>
      </c>
      <c r="Y57" s="2"/>
      <c r="Z57" s="6">
        <f t="shared" si="19"/>
        <v>0.49190938511326876</v>
      </c>
    </row>
    <row r="58" spans="1:26" s="24" customFormat="1" hidden="1" outlineLevel="2" x14ac:dyDescent="0.25">
      <c r="A58" s="29"/>
      <c r="B58" s="11" t="str">
        <f>CONCATENATE("          ", "6119", " - ", "SICK LEAVE")</f>
        <v xml:space="preserve">          6119 - SICK LEAVE</v>
      </c>
      <c r="C58" s="11"/>
      <c r="D58" s="7">
        <v>132.84</v>
      </c>
      <c r="E58" s="2"/>
      <c r="F58" s="6">
        <f t="shared" si="12"/>
        <v>5.4757704166597969E-2</v>
      </c>
      <c r="G58" s="2"/>
      <c r="H58" s="7">
        <v>125.325</v>
      </c>
      <c r="I58" s="2"/>
      <c r="J58" s="6">
        <f t="shared" si="13"/>
        <v>6.8708881578947376E-2</v>
      </c>
      <c r="K58" s="2"/>
      <c r="L58" s="7">
        <f t="shared" si="14"/>
        <v>7.5150000000000006</v>
      </c>
      <c r="M58" s="2"/>
      <c r="N58" s="6">
        <f t="shared" si="15"/>
        <v>5.9964093357271098E-2</v>
      </c>
      <c r="O58" s="11"/>
      <c r="P58" s="7">
        <v>132.84</v>
      </c>
      <c r="Q58" s="2"/>
      <c r="R58" s="6">
        <f t="shared" si="16"/>
        <v>5.4757704166597969E-2</v>
      </c>
      <c r="S58" s="2"/>
      <c r="T58" s="7">
        <v>125.325</v>
      </c>
      <c r="U58" s="2"/>
      <c r="V58" s="6">
        <f t="shared" si="17"/>
        <v>6.8708881578947376E-2</v>
      </c>
      <c r="W58" s="2"/>
      <c r="X58" s="7">
        <f t="shared" si="18"/>
        <v>7.5150000000000006</v>
      </c>
      <c r="Y58" s="2"/>
      <c r="Z58" s="6">
        <f t="shared" si="19"/>
        <v>5.9964093357271098E-2</v>
      </c>
    </row>
    <row r="59" spans="1:26" s="24" customFormat="1" hidden="1" outlineLevel="2" x14ac:dyDescent="0.25">
      <c r="A59" s="29"/>
      <c r="B59" s="11" t="str">
        <f>CONCATENATE("          ", "6156", " - ", "EMPLOYEE MEALS")</f>
        <v xml:space="preserve">          6156 - EMPLOYEE MEALS</v>
      </c>
      <c r="C59" s="11"/>
      <c r="D59" s="7">
        <v>148.72999999999999</v>
      </c>
      <c r="E59" s="2"/>
      <c r="F59" s="6">
        <f t="shared" si="12"/>
        <v>6.1307688502695835E-2</v>
      </c>
      <c r="G59" s="2"/>
      <c r="H59" s="7"/>
      <c r="I59" s="2"/>
      <c r="J59" s="6">
        <f t="shared" si="13"/>
        <v>0</v>
      </c>
      <c r="K59" s="2"/>
      <c r="L59" s="7">
        <f t="shared" si="14"/>
        <v>148.72999999999999</v>
      </c>
      <c r="M59" s="2"/>
      <c r="N59" s="6">
        <f t="shared" si="15"/>
        <v>0</v>
      </c>
      <c r="O59" s="11"/>
      <c r="P59" s="7">
        <v>148.72999999999999</v>
      </c>
      <c r="Q59" s="2"/>
      <c r="R59" s="6">
        <f t="shared" si="16"/>
        <v>6.1307688502695835E-2</v>
      </c>
      <c r="S59" s="2"/>
      <c r="T59" s="7"/>
      <c r="U59" s="2"/>
      <c r="V59" s="6">
        <f t="shared" si="17"/>
        <v>0</v>
      </c>
      <c r="W59" s="2"/>
      <c r="X59" s="7">
        <f t="shared" si="18"/>
        <v>148.72999999999999</v>
      </c>
      <c r="Y59" s="2"/>
      <c r="Z59" s="6">
        <f t="shared" si="19"/>
        <v>0</v>
      </c>
    </row>
    <row r="60" spans="1:26" s="27" customFormat="1" outlineLevel="1" collapsed="1" x14ac:dyDescent="0.25">
      <c r="A60" s="28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7818.1900000000005</v>
      </c>
      <c r="E60" s="1"/>
      <c r="F60" s="5">
        <f t="shared" ref="F60:F70" si="20">IF(D$12=0,0,D60/D$12)</f>
        <v>3.222720077824861</v>
      </c>
      <c r="G60" s="1"/>
      <c r="H60" s="1">
        <f>SUM(OSRRefH22_1x_0)</f>
        <v>5362.335</v>
      </c>
      <c r="I60" s="1"/>
      <c r="J60" s="5">
        <f t="shared" ref="J60:J70" si="21">IF(H$12=0,0,H60/H$12)</f>
        <v>2.9398766447368421</v>
      </c>
      <c r="K60" s="1"/>
      <c r="L60" s="1">
        <f t="shared" ref="L60:L70" si="22">+D60-H60</f>
        <v>2455.8550000000005</v>
      </c>
      <c r="M60" s="1"/>
      <c r="N60" s="5">
        <f t="shared" ref="N60:N70" si="23">IF(H60=0,0,L60/H60)</f>
        <v>0.45798239013414871</v>
      </c>
      <c r="O60" s="14"/>
      <c r="P60" s="1">
        <f>SUM(OSRRefP22_1x_0)</f>
        <v>7818.1900000000005</v>
      </c>
      <c r="Q60" s="1"/>
      <c r="R60" s="5">
        <f t="shared" ref="R60:R70" si="24">IF(P$12=0,0,P60/P$12)</f>
        <v>3.222720077824861</v>
      </c>
      <c r="S60" s="1"/>
      <c r="T60" s="1">
        <f>SUM(OSRRefT22_1x_0)</f>
        <v>5362.335</v>
      </c>
      <c r="U60" s="1"/>
      <c r="V60" s="5">
        <f t="shared" ref="V60:V70" si="25">IF(T$12=0,0,T60/T$12)</f>
        <v>2.9398766447368421</v>
      </c>
      <c r="W60" s="1"/>
      <c r="X60" s="1">
        <f t="shared" ref="X60:X70" si="26">+P60-T60</f>
        <v>2455.8550000000005</v>
      </c>
      <c r="Y60" s="1"/>
      <c r="Z60" s="5">
        <f t="shared" ref="Z60:Z70" si="27">IF(T60=0,0,X60/T60)</f>
        <v>0.45798239013414871</v>
      </c>
    </row>
    <row r="61" spans="1:26" s="24" customFormat="1" hidden="1" outlineLevel="2" x14ac:dyDescent="0.25">
      <c r="A61" s="29"/>
      <c r="B61" s="11" t="str">
        <f>CONCATENATE("          ", "6001", " - ", "ADMINISTRATIVE SALARIES")</f>
        <v xml:space="preserve">          6001 - ADMINISTRATIVE SALARIES</v>
      </c>
      <c r="C61" s="11"/>
      <c r="D61" s="7"/>
      <c r="E61" s="2"/>
      <c r="F61" s="6">
        <f t="shared" si="20"/>
        <v>0</v>
      </c>
      <c r="G61" s="2"/>
      <c r="H61" s="7">
        <v>3708</v>
      </c>
      <c r="I61" s="2"/>
      <c r="J61" s="6">
        <f t="shared" si="21"/>
        <v>2.0328947368421053</v>
      </c>
      <c r="K61" s="2"/>
      <c r="L61" s="7">
        <f t="shared" si="22"/>
        <v>-3708</v>
      </c>
      <c r="M61" s="2"/>
      <c r="N61" s="6">
        <f t="shared" si="23"/>
        <v>-1</v>
      </c>
      <c r="O61" s="11"/>
      <c r="P61" s="7"/>
      <c r="Q61" s="2"/>
      <c r="R61" s="6">
        <f t="shared" si="24"/>
        <v>0</v>
      </c>
      <c r="S61" s="2"/>
      <c r="T61" s="7">
        <v>3708</v>
      </c>
      <c r="U61" s="2"/>
      <c r="V61" s="6">
        <f t="shared" si="25"/>
        <v>2.0328947368421053</v>
      </c>
      <c r="W61" s="2"/>
      <c r="X61" s="7">
        <f t="shared" si="26"/>
        <v>-3708</v>
      </c>
      <c r="Y61" s="2"/>
      <c r="Z61" s="6">
        <f t="shared" si="27"/>
        <v>-1</v>
      </c>
    </row>
    <row r="62" spans="1:26" s="24" customFormat="1" hidden="1" outlineLevel="2" x14ac:dyDescent="0.25">
      <c r="A62" s="29"/>
      <c r="B62" s="11" t="str">
        <f>CONCATENATE("          ", "6002", " - ", "STAFF SALARIES")</f>
        <v xml:space="preserve">          6002 - STAFF SALARIES</v>
      </c>
      <c r="C62" s="11"/>
      <c r="D62" s="7">
        <v>5629</v>
      </c>
      <c r="E62" s="2"/>
      <c r="F62" s="6">
        <f t="shared" si="20"/>
        <v>2.3203185543042752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5629</v>
      </c>
      <c r="M62" s="2"/>
      <c r="N62" s="6">
        <f t="shared" si="23"/>
        <v>0</v>
      </c>
      <c r="O62" s="11"/>
      <c r="P62" s="7">
        <v>5629</v>
      </c>
      <c r="Q62" s="2"/>
      <c r="R62" s="6">
        <f t="shared" si="24"/>
        <v>2.3203185543042752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5629</v>
      </c>
      <c r="Y62" s="2"/>
      <c r="Z62" s="6">
        <f t="shared" si="27"/>
        <v>0</v>
      </c>
    </row>
    <row r="63" spans="1:26" s="24" customFormat="1" hidden="1" outlineLevel="2" x14ac:dyDescent="0.25">
      <c r="A63" s="29"/>
      <c r="B63" s="11" t="str">
        <f>CONCATENATE("          ", "6003", " - ", "STAFF HOURLY-9 MONTH")</f>
        <v xml:space="preserve">          6003 - STAFF HOURLY-9 MONTH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4" customFormat="1" hidden="1" outlineLevel="2" x14ac:dyDescent="0.25">
      <c r="A64" s="29"/>
      <c r="B64" s="11" t="str">
        <f>CONCATENATE("          ", "6004", " - ", "STAFF HOURLY")</f>
        <v xml:space="preserve">          6004 - STAFF HOURLY</v>
      </c>
      <c r="C64" s="11"/>
      <c r="D64" s="7"/>
      <c r="E64" s="2"/>
      <c r="F64" s="6">
        <f t="shared" si="20"/>
        <v>0</v>
      </c>
      <c r="G64" s="2"/>
      <c r="H64" s="7">
        <v>0</v>
      </c>
      <c r="I64" s="2"/>
      <c r="J64" s="6">
        <f t="shared" si="21"/>
        <v>0</v>
      </c>
      <c r="K64" s="2"/>
      <c r="L64" s="7">
        <f t="shared" si="22"/>
        <v>0</v>
      </c>
      <c r="M64" s="2"/>
      <c r="N64" s="6">
        <f t="shared" si="23"/>
        <v>0</v>
      </c>
      <c r="O64" s="11"/>
      <c r="P64" s="7"/>
      <c r="Q64" s="2"/>
      <c r="R64" s="6">
        <f t="shared" si="24"/>
        <v>0</v>
      </c>
      <c r="S64" s="2"/>
      <c r="T64" s="7">
        <v>0</v>
      </c>
      <c r="U64" s="2"/>
      <c r="V64" s="6">
        <f t="shared" si="25"/>
        <v>0</v>
      </c>
      <c r="W64" s="2"/>
      <c r="X64" s="7">
        <f t="shared" si="26"/>
        <v>0</v>
      </c>
      <c r="Y64" s="2"/>
      <c r="Z64" s="6">
        <f t="shared" si="27"/>
        <v>0</v>
      </c>
    </row>
    <row r="65" spans="1:26" s="24" customFormat="1" hidden="1" outlineLevel="2" x14ac:dyDescent="0.25">
      <c r="A65" s="29"/>
      <c r="B65" s="11" t="str">
        <f>CONCATENATE("          ", "6005", " - ", "TEMPORARY WAGES-HOURLY")</f>
        <v xml:space="preserve">          6005 - TEMPORARY WAGES-HOURLY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4" customFormat="1" hidden="1" outlineLevel="2" x14ac:dyDescent="0.25">
      <c r="A66" s="29"/>
      <c r="B66" s="11" t="str">
        <f>CONCATENATE("          ", "6006", " - ", "TEMPORARY PART TIME")</f>
        <v xml:space="preserve">          6006 - TEMPORARY PART TIME</v>
      </c>
      <c r="C66" s="11"/>
      <c r="D66" s="7">
        <v>25.5</v>
      </c>
      <c r="E66" s="2"/>
      <c r="F66" s="6">
        <f t="shared" si="20"/>
        <v>1.0511302742007287E-2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25.5</v>
      </c>
      <c r="M66" s="2"/>
      <c r="N66" s="6">
        <f t="shared" si="23"/>
        <v>0</v>
      </c>
      <c r="O66" s="11"/>
      <c r="P66" s="7">
        <v>25.5</v>
      </c>
      <c r="Q66" s="2"/>
      <c r="R66" s="6">
        <f t="shared" si="24"/>
        <v>1.0511302742007287E-2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25.5</v>
      </c>
      <c r="Y66" s="2"/>
      <c r="Z66" s="6">
        <f t="shared" si="27"/>
        <v>0</v>
      </c>
    </row>
    <row r="67" spans="1:26" s="24" customFormat="1" hidden="1" outlineLevel="2" x14ac:dyDescent="0.25">
      <c r="A67" s="29"/>
      <c r="B67" s="11" t="str">
        <f>CONCATENATE("          ", "6007", " - ", "STUDENT HOURLY")</f>
        <v xml:space="preserve">          6007 - STUDENT HOURLY</v>
      </c>
      <c r="C67" s="11"/>
      <c r="D67" s="7">
        <v>2163.69</v>
      </c>
      <c r="E67" s="2"/>
      <c r="F67" s="6">
        <f t="shared" si="20"/>
        <v>0.89189022077857838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2163.69</v>
      </c>
      <c r="M67" s="2"/>
      <c r="N67" s="6">
        <f t="shared" si="23"/>
        <v>0</v>
      </c>
      <c r="O67" s="11"/>
      <c r="P67" s="7">
        <v>2163.69</v>
      </c>
      <c r="Q67" s="2"/>
      <c r="R67" s="6">
        <f t="shared" si="24"/>
        <v>0.89189022077857838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2163.69</v>
      </c>
      <c r="Y67" s="2"/>
      <c r="Z67" s="6">
        <f t="shared" si="27"/>
        <v>0</v>
      </c>
    </row>
    <row r="68" spans="1:26" s="24" customFormat="1" hidden="1" outlineLevel="2" x14ac:dyDescent="0.25">
      <c r="A68" s="29"/>
      <c r="B68" s="11" t="str">
        <f>CONCATENATE("          ", "6008", " - ", "STUDENT HOURLY-FICA EXEMPT")</f>
        <v xml:space="preserve">          6008 - STUDENT HOURLY-FICA EXEMPT</v>
      </c>
      <c r="C68" s="11"/>
      <c r="D68" s="7"/>
      <c r="E68" s="2"/>
      <c r="F68" s="6">
        <f t="shared" si="20"/>
        <v>0</v>
      </c>
      <c r="G68" s="2"/>
      <c r="H68" s="7">
        <v>1654.335</v>
      </c>
      <c r="I68" s="2"/>
      <c r="J68" s="6">
        <f t="shared" si="21"/>
        <v>0.90698190789473687</v>
      </c>
      <c r="K68" s="2"/>
      <c r="L68" s="7">
        <f t="shared" si="22"/>
        <v>-1654.335</v>
      </c>
      <c r="M68" s="2"/>
      <c r="N68" s="6">
        <f t="shared" si="23"/>
        <v>-1</v>
      </c>
      <c r="O68" s="11"/>
      <c r="P68" s="7"/>
      <c r="Q68" s="2"/>
      <c r="R68" s="6">
        <f t="shared" si="24"/>
        <v>0</v>
      </c>
      <c r="S68" s="2"/>
      <c r="T68" s="7">
        <v>1654.335</v>
      </c>
      <c r="U68" s="2"/>
      <c r="V68" s="6">
        <f t="shared" si="25"/>
        <v>0.90698190789473687</v>
      </c>
      <c r="W68" s="2"/>
      <c r="X68" s="7">
        <f t="shared" si="26"/>
        <v>-1654.335</v>
      </c>
      <c r="Y68" s="2"/>
      <c r="Z68" s="6">
        <f t="shared" si="27"/>
        <v>-1</v>
      </c>
    </row>
    <row r="69" spans="1:26" s="24" customFormat="1" hidden="1" outlineLevel="2" x14ac:dyDescent="0.25">
      <c r="A69" s="29"/>
      <c r="B69" s="11" t="str">
        <f>CONCATENATE("          ", "6009", " - ", "TEMPORARY-SEASONAL")</f>
        <v xml:space="preserve">          6009 - TEMPORARY-SEASONAL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25">
      <c r="A70" s="29"/>
      <c r="B70" s="11" t="str">
        <f>CONCATENATE("          ", "6010", " - ", "GRATUITY")</f>
        <v xml:space="preserve">          6010 - GRATUITY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7" customFormat="1" outlineLevel="1" collapsed="1" x14ac:dyDescent="0.25">
      <c r="A71" s="28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0</v>
      </c>
      <c r="E71" s="1"/>
      <c r="F71" s="5">
        <f t="shared" ref="F71:F87" si="28">IF(D$12=0,0,D71/D$12)</f>
        <v>0</v>
      </c>
      <c r="G71" s="1"/>
      <c r="H71" s="1">
        <f>SUM(OSRRefH22_2x_0)</f>
        <v>40</v>
      </c>
      <c r="I71" s="1"/>
      <c r="J71" s="5">
        <f t="shared" ref="J71:J87" si="29">IF(H$12=0,0,H71/H$12)</f>
        <v>2.1929824561403508E-2</v>
      </c>
      <c r="K71" s="1"/>
      <c r="L71" s="1">
        <f t="shared" ref="L71:L87" si="30">+D71-H71</f>
        <v>-40</v>
      </c>
      <c r="M71" s="1"/>
      <c r="N71" s="5">
        <f t="shared" ref="N71:N87" si="31">IF(H71=0,0,L71/H71)</f>
        <v>-1</v>
      </c>
      <c r="O71" s="14"/>
      <c r="P71" s="1">
        <f>SUM(OSRRefP22_2x_0)</f>
        <v>0</v>
      </c>
      <c r="Q71" s="1"/>
      <c r="R71" s="5">
        <f t="shared" ref="R71:R87" si="32">IF(P$12=0,0,P71/P$12)</f>
        <v>0</v>
      </c>
      <c r="S71" s="1"/>
      <c r="T71" s="1">
        <f>SUM(OSRRefT22_2x_0)</f>
        <v>40</v>
      </c>
      <c r="U71" s="1"/>
      <c r="V71" s="5">
        <f t="shared" ref="V71:V87" si="33">IF(T$12=0,0,T71/T$12)</f>
        <v>2.1929824561403508E-2</v>
      </c>
      <c r="W71" s="1"/>
      <c r="X71" s="1">
        <f t="shared" ref="X71:X87" si="34">+P71-T71</f>
        <v>-40</v>
      </c>
      <c r="Y71" s="1"/>
      <c r="Z71" s="5">
        <f t="shared" ref="Z71:Z87" si="35">IF(T71=0,0,X71/T71)</f>
        <v>-1</v>
      </c>
    </row>
    <row r="72" spans="1:26" s="24" customFormat="1" hidden="1" outlineLevel="2" x14ac:dyDescent="0.25">
      <c r="A72" s="29"/>
      <c r="B72" s="11" t="str">
        <f>CONCATENATE("          ", "6362", " - ", "ADVERTISING EXPENSE")</f>
        <v xml:space="preserve">          6362 - ADVERTISING EXPENSE</v>
      </c>
      <c r="C72" s="11"/>
      <c r="D72" s="7"/>
      <c r="E72" s="2"/>
      <c r="F72" s="6">
        <f t="shared" si="28"/>
        <v>0</v>
      </c>
      <c r="G72" s="2"/>
      <c r="H72" s="7">
        <v>40</v>
      </c>
      <c r="I72" s="2"/>
      <c r="J72" s="6">
        <f t="shared" si="29"/>
        <v>2.1929824561403508E-2</v>
      </c>
      <c r="K72" s="2"/>
      <c r="L72" s="7">
        <f t="shared" si="30"/>
        <v>-40</v>
      </c>
      <c r="M72" s="2"/>
      <c r="N72" s="6">
        <f t="shared" si="31"/>
        <v>-1</v>
      </c>
      <c r="O72" s="11"/>
      <c r="P72" s="7"/>
      <c r="Q72" s="2"/>
      <c r="R72" s="6">
        <f t="shared" si="32"/>
        <v>0</v>
      </c>
      <c r="S72" s="2"/>
      <c r="T72" s="7">
        <v>40</v>
      </c>
      <c r="U72" s="2"/>
      <c r="V72" s="6">
        <f t="shared" si="33"/>
        <v>2.1929824561403508E-2</v>
      </c>
      <c r="W72" s="2"/>
      <c r="X72" s="7">
        <f t="shared" si="34"/>
        <v>-40</v>
      </c>
      <c r="Y72" s="2"/>
      <c r="Z72" s="6">
        <f t="shared" si="35"/>
        <v>-1</v>
      </c>
    </row>
    <row r="73" spans="1:26" s="27" customFormat="1" outlineLevel="1" collapsed="1" x14ac:dyDescent="0.25">
      <c r="A73" s="28"/>
      <c r="B73" s="14" t="str">
        <f>CONCATENATE("     ","Bad Debts/Over/Short                              ")</f>
        <v xml:space="preserve">     Bad Debts/Over/Short                              </v>
      </c>
      <c r="C73" s="14"/>
      <c r="D73" s="1">
        <f>SUM(OSRRefD22_3x_0)</f>
        <v>0.38</v>
      </c>
      <c r="E73" s="1"/>
      <c r="F73" s="5">
        <f t="shared" si="28"/>
        <v>1.5663902125344193E-4</v>
      </c>
      <c r="G73" s="1"/>
      <c r="H73" s="1">
        <f>SUM(OSRRefH22_3x_0)</f>
        <v>0</v>
      </c>
      <c r="I73" s="1"/>
      <c r="J73" s="5">
        <f t="shared" si="29"/>
        <v>0</v>
      </c>
      <c r="K73" s="1"/>
      <c r="L73" s="1">
        <f t="shared" si="30"/>
        <v>0.38</v>
      </c>
      <c r="M73" s="1"/>
      <c r="N73" s="5">
        <f t="shared" si="31"/>
        <v>0</v>
      </c>
      <c r="O73" s="14"/>
      <c r="P73" s="1">
        <f>SUM(OSRRefP22_3x_0)</f>
        <v>0.38</v>
      </c>
      <c r="Q73" s="1"/>
      <c r="R73" s="5">
        <f t="shared" si="32"/>
        <v>1.5663902125344193E-4</v>
      </c>
      <c r="S73" s="1"/>
      <c r="T73" s="1">
        <f>SUM(OSRRefT22_3x_0)</f>
        <v>0</v>
      </c>
      <c r="U73" s="1"/>
      <c r="V73" s="5">
        <f t="shared" si="33"/>
        <v>0</v>
      </c>
      <c r="W73" s="1"/>
      <c r="X73" s="1">
        <f t="shared" si="34"/>
        <v>0.38</v>
      </c>
      <c r="Y73" s="1"/>
      <c r="Z73" s="5">
        <f t="shared" si="35"/>
        <v>0</v>
      </c>
    </row>
    <row r="74" spans="1:26" s="24" customFormat="1" hidden="1" outlineLevel="2" x14ac:dyDescent="0.25">
      <c r="A74" s="29"/>
      <c r="B74" s="11" t="str">
        <f>CONCATENATE("          ", "6272", " - ", "CASH (OVER/SHORT)")</f>
        <v xml:space="preserve">          6272 - CASH (OVER/SHORT)</v>
      </c>
      <c r="C74" s="11"/>
      <c r="D74" s="7">
        <v>0.38</v>
      </c>
      <c r="E74" s="2"/>
      <c r="F74" s="6">
        <f t="shared" si="28"/>
        <v>1.5663902125344193E-4</v>
      </c>
      <c r="G74" s="2"/>
      <c r="H74" s="7"/>
      <c r="I74" s="2"/>
      <c r="J74" s="6">
        <f t="shared" si="29"/>
        <v>0</v>
      </c>
      <c r="K74" s="2"/>
      <c r="L74" s="7">
        <f t="shared" si="30"/>
        <v>0.38</v>
      </c>
      <c r="M74" s="2"/>
      <c r="N74" s="6">
        <f t="shared" si="31"/>
        <v>0</v>
      </c>
      <c r="O74" s="11"/>
      <c r="P74" s="7">
        <v>0.38</v>
      </c>
      <c r="Q74" s="2"/>
      <c r="R74" s="6">
        <f t="shared" si="32"/>
        <v>1.5663902125344193E-4</v>
      </c>
      <c r="S74" s="2"/>
      <c r="T74" s="7"/>
      <c r="U74" s="2"/>
      <c r="V74" s="6">
        <f t="shared" si="33"/>
        <v>0</v>
      </c>
      <c r="W74" s="2"/>
      <c r="X74" s="7">
        <f t="shared" si="34"/>
        <v>0.38</v>
      </c>
      <c r="Y74" s="2"/>
      <c r="Z74" s="6">
        <f t="shared" si="35"/>
        <v>0</v>
      </c>
    </row>
    <row r="75" spans="1:26" s="27" customFormat="1" outlineLevel="1" collapsed="1" x14ac:dyDescent="0.25">
      <c r="A75" s="28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SUM(OSRRefD22_4x_0)</f>
        <v>130.49</v>
      </c>
      <c r="E75" s="1"/>
      <c r="F75" s="5">
        <f t="shared" si="28"/>
        <v>5.3789015482530629E-2</v>
      </c>
      <c r="G75" s="1"/>
      <c r="H75" s="1">
        <f>SUM(OSRRefH22_4x_0)</f>
        <v>1250</v>
      </c>
      <c r="I75" s="1"/>
      <c r="J75" s="5">
        <f t="shared" si="29"/>
        <v>0.6853070175438597</v>
      </c>
      <c r="K75" s="1"/>
      <c r="L75" s="1">
        <f t="shared" si="30"/>
        <v>-1119.51</v>
      </c>
      <c r="M75" s="1"/>
      <c r="N75" s="5">
        <f t="shared" si="31"/>
        <v>-0.89560799999999996</v>
      </c>
      <c r="O75" s="14"/>
      <c r="P75" s="1">
        <f>SUM(OSRRefP22_4x_0)</f>
        <v>130.49</v>
      </c>
      <c r="Q75" s="1"/>
      <c r="R75" s="5">
        <f t="shared" si="32"/>
        <v>5.3789015482530629E-2</v>
      </c>
      <c r="S75" s="1"/>
      <c r="T75" s="1">
        <f>SUM(OSRRefT22_4x_0)</f>
        <v>1250</v>
      </c>
      <c r="U75" s="1"/>
      <c r="V75" s="5">
        <f t="shared" si="33"/>
        <v>0.6853070175438597</v>
      </c>
      <c r="W75" s="1"/>
      <c r="X75" s="1">
        <f t="shared" si="34"/>
        <v>-1119.51</v>
      </c>
      <c r="Y75" s="1"/>
      <c r="Z75" s="5">
        <f t="shared" si="35"/>
        <v>-0.89560799999999996</v>
      </c>
    </row>
    <row r="76" spans="1:26" s="24" customFormat="1" hidden="1" outlineLevel="2" x14ac:dyDescent="0.25">
      <c r="A76" s="29"/>
      <c r="B76" s="11" t="str">
        <f>CONCATENATE("          ", "6382", " - ", "DISCOUNTS/MARK DOWNS")</f>
        <v xml:space="preserve">          6382 - DISCOUNTS/MARK DOWNS</v>
      </c>
      <c r="C76" s="11"/>
      <c r="D76" s="7">
        <v>130.49</v>
      </c>
      <c r="E76" s="2"/>
      <c r="F76" s="6">
        <f t="shared" si="28"/>
        <v>5.3789015482530629E-2</v>
      </c>
      <c r="G76" s="2"/>
      <c r="H76" s="7">
        <v>1250</v>
      </c>
      <c r="I76" s="2"/>
      <c r="J76" s="6">
        <f t="shared" si="29"/>
        <v>0.6853070175438597</v>
      </c>
      <c r="K76" s="2"/>
      <c r="L76" s="7">
        <f t="shared" si="30"/>
        <v>-1119.51</v>
      </c>
      <c r="M76" s="2"/>
      <c r="N76" s="6">
        <f t="shared" si="31"/>
        <v>-0.89560799999999996</v>
      </c>
      <c r="O76" s="11"/>
      <c r="P76" s="7">
        <v>130.49</v>
      </c>
      <c r="Q76" s="2"/>
      <c r="R76" s="6">
        <f t="shared" si="32"/>
        <v>5.3789015482530629E-2</v>
      </c>
      <c r="S76" s="2"/>
      <c r="T76" s="7">
        <v>1250</v>
      </c>
      <c r="U76" s="2"/>
      <c r="V76" s="6">
        <f t="shared" si="33"/>
        <v>0.6853070175438597</v>
      </c>
      <c r="W76" s="2"/>
      <c r="X76" s="7">
        <f t="shared" si="34"/>
        <v>-1119.51</v>
      </c>
      <c r="Y76" s="2"/>
      <c r="Z76" s="6">
        <f t="shared" si="35"/>
        <v>-0.89560799999999996</v>
      </c>
    </row>
    <row r="77" spans="1:26" s="27" customFormat="1" outlineLevel="1" collapsed="1" x14ac:dyDescent="0.25">
      <c r="A77" s="28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SUM(OSRRefD22_5x_0)</f>
        <v>0</v>
      </c>
      <c r="E77" s="1"/>
      <c r="F77" s="5">
        <f t="shared" si="28"/>
        <v>0</v>
      </c>
      <c r="G77" s="1"/>
      <c r="H77" s="1">
        <f>SUM(OSRRefH22_5x_0)</f>
        <v>25</v>
      </c>
      <c r="I77" s="1"/>
      <c r="J77" s="5">
        <f t="shared" si="29"/>
        <v>1.3706140350877192E-2</v>
      </c>
      <c r="K77" s="1"/>
      <c r="L77" s="1">
        <f t="shared" si="30"/>
        <v>-25</v>
      </c>
      <c r="M77" s="1"/>
      <c r="N77" s="5">
        <f t="shared" si="31"/>
        <v>-1</v>
      </c>
      <c r="O77" s="14"/>
      <c r="P77" s="1">
        <f>SUM(OSRRefP22_5x_0)</f>
        <v>0</v>
      </c>
      <c r="Q77" s="1"/>
      <c r="R77" s="5">
        <f t="shared" si="32"/>
        <v>0</v>
      </c>
      <c r="S77" s="1"/>
      <c r="T77" s="1">
        <f>SUM(OSRRefT22_5x_0)</f>
        <v>25</v>
      </c>
      <c r="U77" s="1"/>
      <c r="V77" s="5">
        <f t="shared" si="33"/>
        <v>1.3706140350877192E-2</v>
      </c>
      <c r="W77" s="1"/>
      <c r="X77" s="1">
        <f t="shared" si="34"/>
        <v>-25</v>
      </c>
      <c r="Y77" s="1"/>
      <c r="Z77" s="5">
        <f t="shared" si="35"/>
        <v>-1</v>
      </c>
    </row>
    <row r="78" spans="1:26" s="24" customFormat="1" hidden="1" outlineLevel="2" x14ac:dyDescent="0.25">
      <c r="A78" s="29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28"/>
        <v>0</v>
      </c>
      <c r="G78" s="2"/>
      <c r="H78" s="7">
        <v>25</v>
      </c>
      <c r="I78" s="2"/>
      <c r="J78" s="6">
        <f t="shared" si="29"/>
        <v>1.3706140350877192E-2</v>
      </c>
      <c r="K78" s="2"/>
      <c r="L78" s="7">
        <f t="shared" si="30"/>
        <v>-25</v>
      </c>
      <c r="M78" s="2"/>
      <c r="N78" s="6">
        <f t="shared" si="31"/>
        <v>-1</v>
      </c>
      <c r="O78" s="11"/>
      <c r="P78" s="7"/>
      <c r="Q78" s="2"/>
      <c r="R78" s="6">
        <f t="shared" si="32"/>
        <v>0</v>
      </c>
      <c r="S78" s="2"/>
      <c r="T78" s="7">
        <v>25</v>
      </c>
      <c r="U78" s="2"/>
      <c r="V78" s="6">
        <f t="shared" si="33"/>
        <v>1.3706140350877192E-2</v>
      </c>
      <c r="W78" s="2"/>
      <c r="X78" s="7">
        <f t="shared" si="34"/>
        <v>-25</v>
      </c>
      <c r="Y78" s="2"/>
      <c r="Z78" s="6">
        <f t="shared" si="35"/>
        <v>-1</v>
      </c>
    </row>
    <row r="79" spans="1:26" s="27" customFormat="1" outlineLevel="1" collapsed="1" x14ac:dyDescent="0.25">
      <c r="A79" s="28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SUM(OSRRefD22_6x_0)</f>
        <v>694.55</v>
      </c>
      <c r="E79" s="1"/>
      <c r="F79" s="5">
        <f t="shared" si="28"/>
        <v>0.28629903213573182</v>
      </c>
      <c r="G79" s="1"/>
      <c r="H79" s="1">
        <f>SUM(OSRRefH22_6x_0)</f>
        <v>80</v>
      </c>
      <c r="I79" s="1"/>
      <c r="J79" s="5">
        <f t="shared" si="29"/>
        <v>4.3859649122807015E-2</v>
      </c>
      <c r="K79" s="1"/>
      <c r="L79" s="1">
        <f t="shared" si="30"/>
        <v>614.54999999999995</v>
      </c>
      <c r="M79" s="1"/>
      <c r="N79" s="5">
        <f t="shared" si="31"/>
        <v>7.6818749999999998</v>
      </c>
      <c r="O79" s="14"/>
      <c r="P79" s="1">
        <f>SUM(OSRRefP22_6x_0)</f>
        <v>694.55</v>
      </c>
      <c r="Q79" s="1"/>
      <c r="R79" s="5">
        <f t="shared" si="32"/>
        <v>0.28629903213573182</v>
      </c>
      <c r="S79" s="1"/>
      <c r="T79" s="1">
        <f>SUM(OSRRefT22_6x_0)</f>
        <v>80</v>
      </c>
      <c r="U79" s="1"/>
      <c r="V79" s="5">
        <f t="shared" si="33"/>
        <v>4.3859649122807015E-2</v>
      </c>
      <c r="W79" s="1"/>
      <c r="X79" s="1">
        <f t="shared" si="34"/>
        <v>614.54999999999995</v>
      </c>
      <c r="Y79" s="1"/>
      <c r="Z79" s="5">
        <f t="shared" si="35"/>
        <v>7.6818749999999998</v>
      </c>
    </row>
    <row r="80" spans="1:26" s="24" customFormat="1" hidden="1" outlineLevel="2" x14ac:dyDescent="0.25">
      <c r="A80" s="29"/>
      <c r="B80" s="11" t="str">
        <f>CONCATENATE("          ", "6279", " - ", "GENERAL EXPENSE")</f>
        <v xml:space="preserve">          6279 - GENERAL EXPENSE</v>
      </c>
      <c r="C80" s="11"/>
      <c r="D80" s="7">
        <v>694.55</v>
      </c>
      <c r="E80" s="2"/>
      <c r="F80" s="6">
        <f t="shared" si="28"/>
        <v>0.28629903213573182</v>
      </c>
      <c r="G80" s="2"/>
      <c r="H80" s="7">
        <v>80</v>
      </c>
      <c r="I80" s="2"/>
      <c r="J80" s="6">
        <f t="shared" si="29"/>
        <v>4.3859649122807015E-2</v>
      </c>
      <c r="K80" s="2"/>
      <c r="L80" s="7">
        <f t="shared" si="30"/>
        <v>614.54999999999995</v>
      </c>
      <c r="M80" s="2"/>
      <c r="N80" s="6">
        <f t="shared" si="31"/>
        <v>7.6818749999999998</v>
      </c>
      <c r="O80" s="11"/>
      <c r="P80" s="7">
        <v>694.55</v>
      </c>
      <c r="Q80" s="2"/>
      <c r="R80" s="6">
        <f t="shared" si="32"/>
        <v>0.28629903213573182</v>
      </c>
      <c r="S80" s="2"/>
      <c r="T80" s="7">
        <v>80</v>
      </c>
      <c r="U80" s="2"/>
      <c r="V80" s="6">
        <f t="shared" si="33"/>
        <v>4.3859649122807015E-2</v>
      </c>
      <c r="W80" s="2"/>
      <c r="X80" s="7">
        <f t="shared" si="34"/>
        <v>614.54999999999995</v>
      </c>
      <c r="Y80" s="2"/>
      <c r="Z80" s="6">
        <f t="shared" si="35"/>
        <v>7.6818749999999998</v>
      </c>
    </row>
    <row r="81" spans="1:26" s="27" customFormat="1" outlineLevel="1" collapsed="1" x14ac:dyDescent="0.25">
      <c r="A81" s="28"/>
      <c r="B81" s="14" t="str">
        <f>CONCATENATE("     ","Professional Services                             ")</f>
        <v xml:space="preserve">     Professional Services                             </v>
      </c>
      <c r="C81" s="14"/>
      <c r="D81" s="1">
        <f>SUM(OSRRefD22_7x_0)</f>
        <v>750</v>
      </c>
      <c r="E81" s="1"/>
      <c r="F81" s="5">
        <f t="shared" si="28"/>
        <v>0.30915596300021436</v>
      </c>
      <c r="G81" s="1"/>
      <c r="H81" s="1">
        <f>SUM(OSRRefH22_7x_0)</f>
        <v>115</v>
      </c>
      <c r="I81" s="1"/>
      <c r="J81" s="5">
        <f t="shared" si="29"/>
        <v>6.3048245614035089E-2</v>
      </c>
      <c r="K81" s="1"/>
      <c r="L81" s="1">
        <f t="shared" si="30"/>
        <v>635</v>
      </c>
      <c r="M81" s="1"/>
      <c r="N81" s="5">
        <f t="shared" si="31"/>
        <v>5.5217391304347823</v>
      </c>
      <c r="O81" s="14"/>
      <c r="P81" s="1">
        <f>SUM(OSRRefP22_7x_0)</f>
        <v>750</v>
      </c>
      <c r="Q81" s="1"/>
      <c r="R81" s="5">
        <f t="shared" si="32"/>
        <v>0.30915596300021436</v>
      </c>
      <c r="S81" s="1"/>
      <c r="T81" s="1">
        <f>SUM(OSRRefT22_7x_0)</f>
        <v>115</v>
      </c>
      <c r="U81" s="1"/>
      <c r="V81" s="5">
        <f t="shared" si="33"/>
        <v>6.3048245614035089E-2</v>
      </c>
      <c r="W81" s="1"/>
      <c r="X81" s="1">
        <f t="shared" si="34"/>
        <v>635</v>
      </c>
      <c r="Y81" s="1"/>
      <c r="Z81" s="5">
        <f t="shared" si="35"/>
        <v>5.5217391304347823</v>
      </c>
    </row>
    <row r="82" spans="1:26" s="24" customFormat="1" hidden="1" outlineLevel="2" x14ac:dyDescent="0.25">
      <c r="A82" s="29"/>
      <c r="B82" s="11" t="str">
        <f>CONCATENATE("          ", "6336", " - ", "PROFESSIONAL SERVICES")</f>
        <v xml:space="preserve">          6336 - PROFESSIONAL SERVICES</v>
      </c>
      <c r="C82" s="11"/>
      <c r="D82" s="7">
        <v>750</v>
      </c>
      <c r="E82" s="2"/>
      <c r="F82" s="6">
        <f t="shared" si="28"/>
        <v>0.30915596300021436</v>
      </c>
      <c r="G82" s="2"/>
      <c r="H82" s="7">
        <v>115</v>
      </c>
      <c r="I82" s="2"/>
      <c r="J82" s="6">
        <f t="shared" si="29"/>
        <v>6.3048245614035089E-2</v>
      </c>
      <c r="K82" s="2"/>
      <c r="L82" s="7">
        <f t="shared" si="30"/>
        <v>635</v>
      </c>
      <c r="M82" s="2"/>
      <c r="N82" s="6">
        <f t="shared" si="31"/>
        <v>5.5217391304347823</v>
      </c>
      <c r="O82" s="11"/>
      <c r="P82" s="7">
        <v>750</v>
      </c>
      <c r="Q82" s="2"/>
      <c r="R82" s="6">
        <f t="shared" si="32"/>
        <v>0.30915596300021436</v>
      </c>
      <c r="S82" s="2"/>
      <c r="T82" s="7">
        <v>115</v>
      </c>
      <c r="U82" s="2"/>
      <c r="V82" s="6">
        <f t="shared" si="33"/>
        <v>6.3048245614035089E-2</v>
      </c>
      <c r="W82" s="2"/>
      <c r="X82" s="7">
        <f t="shared" si="34"/>
        <v>635</v>
      </c>
      <c r="Y82" s="2"/>
      <c r="Z82" s="6">
        <f t="shared" si="35"/>
        <v>5.5217391304347823</v>
      </c>
    </row>
    <row r="83" spans="1:26" s="27" customFormat="1" outlineLevel="1" collapsed="1" x14ac:dyDescent="0.25">
      <c r="A83" s="28"/>
      <c r="B83" s="14" t="str">
        <f>CONCATENATE("     ","Repair and Maintenance                            ")</f>
        <v xml:space="preserve">     Repair and Maintenance                            </v>
      </c>
      <c r="C83" s="14"/>
      <c r="D83" s="1">
        <f>SUM(OSRRefD22_8x_0)</f>
        <v>0</v>
      </c>
      <c r="E83" s="1"/>
      <c r="F83" s="5">
        <f t="shared" si="28"/>
        <v>0</v>
      </c>
      <c r="G83" s="1"/>
      <c r="H83" s="1">
        <f>SUM(OSRRefH22_8x_0)</f>
        <v>125</v>
      </c>
      <c r="I83" s="1"/>
      <c r="J83" s="5">
        <f t="shared" si="29"/>
        <v>6.853070175438597E-2</v>
      </c>
      <c r="K83" s="1"/>
      <c r="L83" s="1">
        <f t="shared" si="30"/>
        <v>-125</v>
      </c>
      <c r="M83" s="1"/>
      <c r="N83" s="5">
        <f t="shared" si="31"/>
        <v>-1</v>
      </c>
      <c r="O83" s="14"/>
      <c r="P83" s="1">
        <f>SUM(OSRRefP22_8x_0)</f>
        <v>0</v>
      </c>
      <c r="Q83" s="1"/>
      <c r="R83" s="5">
        <f t="shared" si="32"/>
        <v>0</v>
      </c>
      <c r="S83" s="1"/>
      <c r="T83" s="1">
        <f>SUM(OSRRefT22_8x_0)</f>
        <v>125</v>
      </c>
      <c r="U83" s="1"/>
      <c r="V83" s="5">
        <f t="shared" si="33"/>
        <v>6.853070175438597E-2</v>
      </c>
      <c r="W83" s="1"/>
      <c r="X83" s="1">
        <f t="shared" si="34"/>
        <v>-125</v>
      </c>
      <c r="Y83" s="1"/>
      <c r="Z83" s="5">
        <f t="shared" si="35"/>
        <v>-1</v>
      </c>
    </row>
    <row r="84" spans="1:26" s="24" customFormat="1" hidden="1" outlineLevel="2" x14ac:dyDescent="0.25">
      <c r="A84" s="29"/>
      <c r="B84" s="11" t="str">
        <f>CONCATENATE("          ", "6375", " - ", "OUTSIDE REPAIRS &amp; MAINTENANCE")</f>
        <v xml:space="preserve">          6375 - OUTSIDE REPAIRS &amp; MAINTENANCE</v>
      </c>
      <c r="C84" s="11"/>
      <c r="D84" s="7"/>
      <c r="E84" s="2"/>
      <c r="F84" s="6">
        <f t="shared" si="28"/>
        <v>0</v>
      </c>
      <c r="G84" s="2"/>
      <c r="H84" s="7">
        <v>125</v>
      </c>
      <c r="I84" s="2"/>
      <c r="J84" s="6">
        <f t="shared" si="29"/>
        <v>6.853070175438597E-2</v>
      </c>
      <c r="K84" s="2"/>
      <c r="L84" s="7">
        <f t="shared" si="30"/>
        <v>-125</v>
      </c>
      <c r="M84" s="2"/>
      <c r="N84" s="6">
        <f t="shared" si="31"/>
        <v>-1</v>
      </c>
      <c r="O84" s="11"/>
      <c r="P84" s="7"/>
      <c r="Q84" s="2"/>
      <c r="R84" s="6">
        <f t="shared" si="32"/>
        <v>0</v>
      </c>
      <c r="S84" s="2"/>
      <c r="T84" s="7">
        <v>125</v>
      </c>
      <c r="U84" s="2"/>
      <c r="V84" s="6">
        <f t="shared" si="33"/>
        <v>6.853070175438597E-2</v>
      </c>
      <c r="W84" s="2"/>
      <c r="X84" s="7">
        <f t="shared" si="34"/>
        <v>-125</v>
      </c>
      <c r="Y84" s="2"/>
      <c r="Z84" s="6">
        <f t="shared" si="35"/>
        <v>-1</v>
      </c>
    </row>
    <row r="85" spans="1:26" s="27" customFormat="1" outlineLevel="1" collapsed="1" x14ac:dyDescent="0.25">
      <c r="A85" s="28"/>
      <c r="B85" s="14" t="str">
        <f>CONCATENATE("     ","Services                                          ")</f>
        <v xml:space="preserve">     Services                                          </v>
      </c>
      <c r="C85" s="14"/>
      <c r="D85" s="1">
        <f>SUM(OSRRefD22_9x_0)</f>
        <v>207.67</v>
      </c>
      <c r="E85" s="1"/>
      <c r="F85" s="5">
        <f t="shared" si="28"/>
        <v>8.560322511500601E-2</v>
      </c>
      <c r="G85" s="1"/>
      <c r="H85" s="1">
        <f>SUM(OSRRefH22_9x_0)</f>
        <v>100</v>
      </c>
      <c r="I85" s="1"/>
      <c r="J85" s="5">
        <f t="shared" si="29"/>
        <v>5.4824561403508769E-2</v>
      </c>
      <c r="K85" s="1"/>
      <c r="L85" s="1">
        <f t="shared" si="30"/>
        <v>107.66999999999999</v>
      </c>
      <c r="M85" s="1"/>
      <c r="N85" s="5">
        <f t="shared" si="31"/>
        <v>1.0766999999999998</v>
      </c>
      <c r="O85" s="14"/>
      <c r="P85" s="1">
        <f>SUM(OSRRefP22_9x_0)</f>
        <v>207.67</v>
      </c>
      <c r="Q85" s="1"/>
      <c r="R85" s="5">
        <f t="shared" si="32"/>
        <v>8.560322511500601E-2</v>
      </c>
      <c r="S85" s="1"/>
      <c r="T85" s="1">
        <f>SUM(OSRRefT22_9x_0)</f>
        <v>100</v>
      </c>
      <c r="U85" s="1"/>
      <c r="V85" s="5">
        <f t="shared" si="33"/>
        <v>5.4824561403508769E-2</v>
      </c>
      <c r="W85" s="1"/>
      <c r="X85" s="1">
        <f t="shared" si="34"/>
        <v>107.66999999999999</v>
      </c>
      <c r="Y85" s="1"/>
      <c r="Z85" s="5">
        <f t="shared" si="35"/>
        <v>1.0766999999999998</v>
      </c>
    </row>
    <row r="86" spans="1:26" s="24" customFormat="1" hidden="1" outlineLevel="2" x14ac:dyDescent="0.25">
      <c r="A86" s="29"/>
      <c r="B86" s="11" t="str">
        <f>CONCATENATE("          ", "6282", " - ", "JANITORIAL/EXTERMINATOR EXPENS")</f>
        <v xml:space="preserve">          6282 - JANITORIAL/EXTERMINATOR EXPENS</v>
      </c>
      <c r="C86" s="11"/>
      <c r="D86" s="7">
        <v>44</v>
      </c>
      <c r="E86" s="2"/>
      <c r="F86" s="6">
        <f t="shared" si="28"/>
        <v>1.813714982934591E-2</v>
      </c>
      <c r="G86" s="2"/>
      <c r="H86" s="7">
        <v>50</v>
      </c>
      <c r="I86" s="2"/>
      <c r="J86" s="6">
        <f t="shared" si="29"/>
        <v>2.7412280701754384E-2</v>
      </c>
      <c r="K86" s="2"/>
      <c r="L86" s="7">
        <f t="shared" si="30"/>
        <v>-6</v>
      </c>
      <c r="M86" s="2"/>
      <c r="N86" s="6">
        <f t="shared" si="31"/>
        <v>-0.12</v>
      </c>
      <c r="O86" s="11"/>
      <c r="P86" s="7">
        <v>44</v>
      </c>
      <c r="Q86" s="2"/>
      <c r="R86" s="6">
        <f t="shared" si="32"/>
        <v>1.813714982934591E-2</v>
      </c>
      <c r="S86" s="2"/>
      <c r="T86" s="7">
        <v>50</v>
      </c>
      <c r="U86" s="2"/>
      <c r="V86" s="6">
        <f t="shared" si="33"/>
        <v>2.7412280701754384E-2</v>
      </c>
      <c r="W86" s="2"/>
      <c r="X86" s="7">
        <f t="shared" si="34"/>
        <v>-6</v>
      </c>
      <c r="Y86" s="2"/>
      <c r="Z86" s="6">
        <f t="shared" si="35"/>
        <v>-0.12</v>
      </c>
    </row>
    <row r="87" spans="1:26" s="24" customFormat="1" hidden="1" outlineLevel="2" x14ac:dyDescent="0.25">
      <c r="A87" s="29"/>
      <c r="B87" s="11" t="str">
        <f>CONCATENATE("          ", "6285", " - ", "JANITORIAL SERVICES")</f>
        <v xml:space="preserve">          6285 - JANITORIAL SERVICES</v>
      </c>
      <c r="C87" s="11"/>
      <c r="D87" s="7">
        <v>163.66999999999999</v>
      </c>
      <c r="E87" s="2"/>
      <c r="F87" s="6">
        <f t="shared" si="28"/>
        <v>6.7466075285660107E-2</v>
      </c>
      <c r="G87" s="2"/>
      <c r="H87" s="7">
        <v>50</v>
      </c>
      <c r="I87" s="2"/>
      <c r="J87" s="6">
        <f t="shared" si="29"/>
        <v>2.7412280701754384E-2</v>
      </c>
      <c r="K87" s="2"/>
      <c r="L87" s="7">
        <f t="shared" si="30"/>
        <v>113.66999999999999</v>
      </c>
      <c r="M87" s="2"/>
      <c r="N87" s="6">
        <f t="shared" si="31"/>
        <v>2.2733999999999996</v>
      </c>
      <c r="O87" s="11"/>
      <c r="P87" s="7">
        <v>163.66999999999999</v>
      </c>
      <c r="Q87" s="2"/>
      <c r="R87" s="6">
        <f t="shared" si="32"/>
        <v>6.7466075285660107E-2</v>
      </c>
      <c r="S87" s="2"/>
      <c r="T87" s="7">
        <v>50</v>
      </c>
      <c r="U87" s="2"/>
      <c r="V87" s="6">
        <f t="shared" si="33"/>
        <v>2.7412280701754384E-2</v>
      </c>
      <c r="W87" s="2"/>
      <c r="X87" s="7">
        <f t="shared" si="34"/>
        <v>113.66999999999999</v>
      </c>
      <c r="Y87" s="2"/>
      <c r="Z87" s="6">
        <f t="shared" si="35"/>
        <v>2.2733999999999996</v>
      </c>
    </row>
    <row r="88" spans="1:26" s="27" customFormat="1" outlineLevel="1" collapsed="1" x14ac:dyDescent="0.25">
      <c r="A88" s="28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SUM(OSRRefD22_10x_0)</f>
        <v>4.67</v>
      </c>
      <c r="E88" s="1"/>
      <c r="F88" s="5">
        <f t="shared" ref="F88:F93" si="36">IF(D$12=0,0,D88/D$12)</f>
        <v>1.9250111296146679E-3</v>
      </c>
      <c r="G88" s="1"/>
      <c r="H88" s="1">
        <f>SUM(OSRRefH22_10x_0)</f>
        <v>150</v>
      </c>
      <c r="I88" s="1"/>
      <c r="J88" s="5">
        <f t="shared" ref="J88:J93" si="37">IF(H$12=0,0,H88/H$12)</f>
        <v>8.2236842105263164E-2</v>
      </c>
      <c r="K88" s="1"/>
      <c r="L88" s="1">
        <f t="shared" ref="L88:L93" si="38">+D88-H88</f>
        <v>-145.33000000000001</v>
      </c>
      <c r="M88" s="1"/>
      <c r="N88" s="5">
        <f t="shared" ref="N88:N93" si="39">IF(H88=0,0,L88/H88)</f>
        <v>-0.96886666666666676</v>
      </c>
      <c r="O88" s="14"/>
      <c r="P88" s="1">
        <f>SUM(OSRRefP22_10x_0)</f>
        <v>4.67</v>
      </c>
      <c r="Q88" s="1"/>
      <c r="R88" s="5">
        <f t="shared" ref="R88:R93" si="40">IF(P$12=0,0,P88/P$12)</f>
        <v>1.9250111296146679E-3</v>
      </c>
      <c r="S88" s="1"/>
      <c r="T88" s="1">
        <f>SUM(OSRRefT22_10x_0)</f>
        <v>150</v>
      </c>
      <c r="U88" s="1"/>
      <c r="V88" s="5">
        <f t="shared" ref="V88:V93" si="41">IF(T$12=0,0,T88/T$12)</f>
        <v>8.2236842105263164E-2</v>
      </c>
      <c r="W88" s="1"/>
      <c r="X88" s="1">
        <f t="shared" ref="X88:X93" si="42">+P88-T88</f>
        <v>-145.33000000000001</v>
      </c>
      <c r="Y88" s="1"/>
      <c r="Z88" s="5">
        <f t="shared" ref="Z88:Z93" si="43">IF(T88=0,0,X88/T88)</f>
        <v>-0.96886666666666676</v>
      </c>
    </row>
    <row r="89" spans="1:26" s="24" customFormat="1" hidden="1" outlineLevel="2" x14ac:dyDescent="0.25">
      <c r="A89" s="29"/>
      <c r="B89" s="11" t="str">
        <f>CONCATENATE("          ", "6241", " - ", "OFFICE EXPENSE")</f>
        <v xml:space="preserve">          6241 - OFFICE EXPENSE</v>
      </c>
      <c r="C89" s="11"/>
      <c r="D89" s="7">
        <v>4.67</v>
      </c>
      <c r="E89" s="2"/>
      <c r="F89" s="6">
        <f t="shared" si="36"/>
        <v>1.9250111296146679E-3</v>
      </c>
      <c r="G89" s="2"/>
      <c r="H89" s="7">
        <v>150</v>
      </c>
      <c r="I89" s="2"/>
      <c r="J89" s="6">
        <f t="shared" si="37"/>
        <v>8.2236842105263164E-2</v>
      </c>
      <c r="K89" s="2"/>
      <c r="L89" s="7">
        <f t="shared" si="38"/>
        <v>-145.33000000000001</v>
      </c>
      <c r="M89" s="2"/>
      <c r="N89" s="6">
        <f t="shared" si="39"/>
        <v>-0.96886666666666676</v>
      </c>
      <c r="O89" s="11"/>
      <c r="P89" s="7">
        <v>4.67</v>
      </c>
      <c r="Q89" s="2"/>
      <c r="R89" s="6">
        <f t="shared" si="40"/>
        <v>1.9250111296146679E-3</v>
      </c>
      <c r="S89" s="2"/>
      <c r="T89" s="7">
        <v>150</v>
      </c>
      <c r="U89" s="2"/>
      <c r="V89" s="6">
        <f t="shared" si="41"/>
        <v>8.2236842105263164E-2</v>
      </c>
      <c r="W89" s="2"/>
      <c r="X89" s="7">
        <f t="shared" si="42"/>
        <v>-145.33000000000001</v>
      </c>
      <c r="Y89" s="2"/>
      <c r="Z89" s="6">
        <f t="shared" si="43"/>
        <v>-0.96886666666666676</v>
      </c>
    </row>
    <row r="90" spans="1:26" s="27" customFormat="1" outlineLevel="1" collapsed="1" x14ac:dyDescent="0.25">
      <c r="A90" s="28"/>
      <c r="B90" s="14" t="str">
        <f>CONCATENATE("     ","Telephone/Data Lines                              ")</f>
        <v xml:space="preserve">     Telephone/Data Lines                              </v>
      </c>
      <c r="C90" s="14"/>
      <c r="D90" s="1">
        <f>SUM(OSRRefD22_11x_0)</f>
        <v>74</v>
      </c>
      <c r="E90" s="1"/>
      <c r="F90" s="5">
        <f t="shared" si="36"/>
        <v>3.0503388349354482E-2</v>
      </c>
      <c r="G90" s="1"/>
      <c r="H90" s="1">
        <f>SUM(OSRRefH22_11x_0)</f>
        <v>75</v>
      </c>
      <c r="I90" s="1"/>
      <c r="J90" s="5">
        <f t="shared" si="37"/>
        <v>4.1118421052631582E-2</v>
      </c>
      <c r="K90" s="1"/>
      <c r="L90" s="1">
        <f t="shared" si="38"/>
        <v>-1</v>
      </c>
      <c r="M90" s="1"/>
      <c r="N90" s="5">
        <f t="shared" si="39"/>
        <v>-1.3333333333333334E-2</v>
      </c>
      <c r="O90" s="14"/>
      <c r="P90" s="1">
        <f>SUM(OSRRefP22_11x_0)</f>
        <v>74</v>
      </c>
      <c r="Q90" s="1"/>
      <c r="R90" s="5">
        <f t="shared" si="40"/>
        <v>3.0503388349354482E-2</v>
      </c>
      <c r="S90" s="1"/>
      <c r="T90" s="1">
        <f>SUM(OSRRefT22_11x_0)</f>
        <v>75</v>
      </c>
      <c r="U90" s="1"/>
      <c r="V90" s="5">
        <f t="shared" si="41"/>
        <v>4.1118421052631582E-2</v>
      </c>
      <c r="W90" s="1"/>
      <c r="X90" s="1">
        <f t="shared" si="42"/>
        <v>-1</v>
      </c>
      <c r="Y90" s="1"/>
      <c r="Z90" s="5">
        <f t="shared" si="43"/>
        <v>-1.3333333333333334E-2</v>
      </c>
    </row>
    <row r="91" spans="1:26" s="24" customFormat="1" hidden="1" outlineLevel="2" x14ac:dyDescent="0.25">
      <c r="A91" s="29"/>
      <c r="B91" s="11" t="str">
        <f>CONCATENATE("          ", "6309", " - ", "TELEPHONE")</f>
        <v xml:space="preserve">          6309 - TELEPHONE</v>
      </c>
      <c r="C91" s="11"/>
      <c r="D91" s="7">
        <v>74</v>
      </c>
      <c r="E91" s="2"/>
      <c r="F91" s="6">
        <f t="shared" si="36"/>
        <v>3.0503388349354482E-2</v>
      </c>
      <c r="G91" s="2"/>
      <c r="H91" s="7">
        <v>75</v>
      </c>
      <c r="I91" s="2"/>
      <c r="J91" s="6">
        <f t="shared" si="37"/>
        <v>4.1118421052631582E-2</v>
      </c>
      <c r="K91" s="2"/>
      <c r="L91" s="7">
        <f t="shared" si="38"/>
        <v>-1</v>
      </c>
      <c r="M91" s="2"/>
      <c r="N91" s="6">
        <f t="shared" si="39"/>
        <v>-1.3333333333333334E-2</v>
      </c>
      <c r="O91" s="11"/>
      <c r="P91" s="7">
        <v>74</v>
      </c>
      <c r="Q91" s="2"/>
      <c r="R91" s="6">
        <f t="shared" si="40"/>
        <v>3.0503388349354482E-2</v>
      </c>
      <c r="S91" s="2"/>
      <c r="T91" s="7">
        <v>75</v>
      </c>
      <c r="U91" s="2"/>
      <c r="V91" s="6">
        <f t="shared" si="41"/>
        <v>4.1118421052631582E-2</v>
      </c>
      <c r="W91" s="2"/>
      <c r="X91" s="7">
        <f t="shared" si="42"/>
        <v>-1</v>
      </c>
      <c r="Y91" s="2"/>
      <c r="Z91" s="6">
        <f t="shared" si="43"/>
        <v>-1.3333333333333334E-2</v>
      </c>
    </row>
    <row r="92" spans="1:26" s="27" customFormat="1" outlineLevel="1" collapsed="1" x14ac:dyDescent="0.25">
      <c r="A92" s="28"/>
      <c r="B92" s="14" t="str">
        <f>CONCATENATE("     ","Training                                          ")</f>
        <v xml:space="preserve">     Training                                          </v>
      </c>
      <c r="C92" s="14"/>
      <c r="D92" s="1">
        <f>SUM(OSRRefD22_12x_0)</f>
        <v>0</v>
      </c>
      <c r="E92" s="1"/>
      <c r="F92" s="5">
        <f t="shared" si="36"/>
        <v>0</v>
      </c>
      <c r="G92" s="1"/>
      <c r="H92" s="1">
        <f>SUM(OSRRefH22_12x_0)</f>
        <v>175</v>
      </c>
      <c r="I92" s="1"/>
      <c r="J92" s="5">
        <f t="shared" si="37"/>
        <v>9.5942982456140358E-2</v>
      </c>
      <c r="K92" s="1"/>
      <c r="L92" s="1">
        <f t="shared" si="38"/>
        <v>-175</v>
      </c>
      <c r="M92" s="1"/>
      <c r="N92" s="5">
        <f t="shared" si="39"/>
        <v>-1</v>
      </c>
      <c r="O92" s="14"/>
      <c r="P92" s="1">
        <f>SUM(OSRRefP22_12x_0)</f>
        <v>0</v>
      </c>
      <c r="Q92" s="1"/>
      <c r="R92" s="5">
        <f t="shared" si="40"/>
        <v>0</v>
      </c>
      <c r="S92" s="1"/>
      <c r="T92" s="1">
        <f>SUM(OSRRefT22_12x_0)</f>
        <v>175</v>
      </c>
      <c r="U92" s="1"/>
      <c r="V92" s="5">
        <f t="shared" si="41"/>
        <v>9.5942982456140358E-2</v>
      </c>
      <c r="W92" s="1"/>
      <c r="X92" s="1">
        <f t="shared" si="42"/>
        <v>-175</v>
      </c>
      <c r="Y92" s="1"/>
      <c r="Z92" s="5">
        <f t="shared" si="43"/>
        <v>-1</v>
      </c>
    </row>
    <row r="93" spans="1:26" s="24" customFormat="1" hidden="1" outlineLevel="2" x14ac:dyDescent="0.25">
      <c r="A93" s="29"/>
      <c r="B93" s="11" t="str">
        <f>CONCATENATE("          ", "6376", " - ", "TRAINING")</f>
        <v xml:space="preserve">          6376 - TRAINING</v>
      </c>
      <c r="C93" s="11"/>
      <c r="D93" s="7"/>
      <c r="E93" s="2"/>
      <c r="F93" s="6">
        <f t="shared" si="36"/>
        <v>0</v>
      </c>
      <c r="G93" s="2"/>
      <c r="H93" s="7">
        <v>175</v>
      </c>
      <c r="I93" s="2"/>
      <c r="J93" s="6">
        <f t="shared" si="37"/>
        <v>9.5942982456140358E-2</v>
      </c>
      <c r="K93" s="2"/>
      <c r="L93" s="7">
        <f t="shared" si="38"/>
        <v>-175</v>
      </c>
      <c r="M93" s="2"/>
      <c r="N93" s="6">
        <f t="shared" si="39"/>
        <v>-1</v>
      </c>
      <c r="O93" s="11"/>
      <c r="P93" s="7"/>
      <c r="Q93" s="2"/>
      <c r="R93" s="6">
        <f t="shared" si="40"/>
        <v>0</v>
      </c>
      <c r="S93" s="2"/>
      <c r="T93" s="7">
        <v>175</v>
      </c>
      <c r="U93" s="2"/>
      <c r="V93" s="6">
        <f t="shared" si="41"/>
        <v>9.5942982456140358E-2</v>
      </c>
      <c r="W93" s="2"/>
      <c r="X93" s="7">
        <f t="shared" si="42"/>
        <v>-175</v>
      </c>
      <c r="Y93" s="2"/>
      <c r="Z93" s="6">
        <f t="shared" si="43"/>
        <v>-1</v>
      </c>
    </row>
    <row r="94" spans="1:26" s="57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x14ac:dyDescent="0.25">
      <c r="A95" s="10"/>
      <c r="B95" s="25" t="s">
        <v>0</v>
      </c>
      <c r="C95" s="10"/>
      <c r="D95" s="4">
        <f>SUM(0)</f>
        <v>0</v>
      </c>
      <c r="E95" s="4"/>
      <c r="F95" s="12">
        <f>IF(D$12=0,0,D95/D$12)</f>
        <v>0</v>
      </c>
      <c r="G95" s="4"/>
      <c r="H95" s="4">
        <f>SUM(0)</f>
        <v>0</v>
      </c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>
        <f>SUM(0)</f>
        <v>0</v>
      </c>
      <c r="Q95" s="4"/>
      <c r="R95" s="12">
        <f>IF(P$12=0,0,P95/P$12)</f>
        <v>0</v>
      </c>
      <c r="S95" s="4"/>
      <c r="T95" s="4">
        <f>SUM(0)</f>
        <v>0</v>
      </c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6" t="s">
        <v>3</v>
      </c>
      <c r="C97" s="26"/>
      <c r="D97" s="21">
        <f>+D47-D49+D95</f>
        <v>-10222.619999999997</v>
      </c>
      <c r="E97" s="13"/>
      <c r="F97" s="19">
        <f>IF(D$12=0,0,D97/D$12)</f>
        <v>-4.2138452406470002</v>
      </c>
      <c r="G97" s="13"/>
      <c r="H97" s="21">
        <f>+H47-H49+H95</f>
        <v>-7922.742839999999</v>
      </c>
      <c r="I97" s="13"/>
      <c r="J97" s="19">
        <f>IF(H$12=0,0,H97/H$12)</f>
        <v>-4.3436090131578942</v>
      </c>
      <c r="K97" s="15"/>
      <c r="L97" s="21">
        <f>+D97-H97</f>
        <v>-2299.8771599999982</v>
      </c>
      <c r="M97" s="15"/>
      <c r="N97" s="19">
        <f>IF(H97=0,0,L97/H97)</f>
        <v>0.29028799829125823</v>
      </c>
      <c r="O97" s="25"/>
      <c r="P97" s="21">
        <f>+P47-P49+P95</f>
        <v>-10222.619999999997</v>
      </c>
      <c r="Q97" s="13"/>
      <c r="R97" s="19">
        <f>IF(P$12=0,0,P97/P$12)</f>
        <v>-4.2138452406470002</v>
      </c>
      <c r="S97" s="13"/>
      <c r="T97" s="21">
        <f>+T47-T49+T95</f>
        <v>-7922.742839999999</v>
      </c>
      <c r="U97" s="13"/>
      <c r="V97" s="19">
        <f>IF(T$12=0,0,T97/T$12)</f>
        <v>-4.3436090131578942</v>
      </c>
      <c r="W97" s="15"/>
      <c r="X97" s="21">
        <f>+P97-T97</f>
        <v>-2299.8771599999982</v>
      </c>
      <c r="Y97" s="15"/>
      <c r="Z97" s="19">
        <f>IF(T97=0,0,X97/T97)</f>
        <v>0.29028799829125823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2"/>
      <c r="B99" s="10" t="s">
        <v>14</v>
      </c>
      <c r="C99" s="10"/>
      <c r="D99" s="4">
        <v>504.43</v>
      </c>
      <c r="E99" s="4"/>
      <c r="F99" s="12">
        <f>IF(D$12=0,0,D99/D$12)</f>
        <v>0.20793005655493083</v>
      </c>
      <c r="G99" s="4"/>
      <c r="H99" s="4">
        <v>445</v>
      </c>
      <c r="I99" s="4"/>
      <c r="J99" s="12">
        <f>IF(H$12=0,0,H99/H$12)</f>
        <v>0.24396929824561403</v>
      </c>
      <c r="K99" s="4"/>
      <c r="L99" s="4">
        <f>+D99-H99</f>
        <v>59.430000000000007</v>
      </c>
      <c r="M99" s="4"/>
      <c r="N99" s="12">
        <f>IF(H99=0,0,L99/H99)</f>
        <v>0.13355056179775282</v>
      </c>
      <c r="O99" s="10"/>
      <c r="P99" s="4">
        <v>504.43</v>
      </c>
      <c r="Q99" s="4"/>
      <c r="R99" s="12">
        <f>IF(P$12=0,0,P99/P$12)</f>
        <v>0.20793005655493083</v>
      </c>
      <c r="S99" s="4"/>
      <c r="T99" s="4">
        <v>445</v>
      </c>
      <c r="U99" s="4"/>
      <c r="V99" s="12">
        <f>IF(T$12=0,0,T99/T$12)</f>
        <v>0.24396929824561403</v>
      </c>
      <c r="W99" s="4"/>
      <c r="X99" s="4">
        <f>+P99-T99</f>
        <v>59.430000000000007</v>
      </c>
      <c r="Y99" s="4"/>
      <c r="Z99" s="12">
        <f>IF(T99=0,0,X99/T99)</f>
        <v>0.13355056179775282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6" t="s">
        <v>4</v>
      </c>
      <c r="C101" s="26"/>
      <c r="D101" s="32">
        <f>+D97-D99</f>
        <v>-10727.049999999997</v>
      </c>
      <c r="E101" s="13"/>
      <c r="F101" s="31">
        <f>IF(D$12=0,0,D101/D$12)</f>
        <v>-4.4217752972019317</v>
      </c>
      <c r="G101" s="13"/>
      <c r="H101" s="32">
        <f>+H97-H99</f>
        <v>-8367.742839999999</v>
      </c>
      <c r="I101" s="13"/>
      <c r="J101" s="31">
        <f>IF(H$12=0,0,H101/H$12)</f>
        <v>-4.587578311403508</v>
      </c>
      <c r="K101" s="15"/>
      <c r="L101" s="32">
        <f>D101-H101</f>
        <v>-2359.3071599999985</v>
      </c>
      <c r="M101" s="15"/>
      <c r="N101" s="31">
        <f>IF(H101=0,0,L101/H101)</f>
        <v>0.2819526370626369</v>
      </c>
      <c r="O101" s="25"/>
      <c r="P101" s="32">
        <f>+P97-P99</f>
        <v>-10727.049999999997</v>
      </c>
      <c r="Q101" s="13"/>
      <c r="R101" s="31">
        <f>IF(P$12=0,0,P101/P$12)</f>
        <v>-4.4217752972019317</v>
      </c>
      <c r="S101" s="13"/>
      <c r="T101" s="32">
        <f>+T97-T99</f>
        <v>-8367.742839999999</v>
      </c>
      <c r="U101" s="13"/>
      <c r="V101" s="31">
        <f>IF(T$12=0,0,T101/T$12)</f>
        <v>-4.587578311403508</v>
      </c>
      <c r="W101" s="15"/>
      <c r="X101" s="32">
        <f>P101-T101</f>
        <v>-2359.3071599999985</v>
      </c>
      <c r="Y101" s="15"/>
      <c r="Z101" s="31">
        <f>IF(T101=0,0,X101/T101)</f>
        <v>0.2819526370626369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5</v>
      </c>
      <c r="C104" s="26"/>
      <c r="D104" s="33">
        <f>SUM(D101:D103)</f>
        <v>-10727.049999999997</v>
      </c>
      <c r="E104" s="13"/>
      <c r="F104" s="34">
        <f>IF(D$12=0,0,D104/D$12)</f>
        <v>-4.4217752972019317</v>
      </c>
      <c r="G104" s="13"/>
      <c r="H104" s="33">
        <f>SUM(H101:H103)</f>
        <v>-8367.742839999999</v>
      </c>
      <c r="I104" s="13"/>
      <c r="J104" s="34">
        <f>IF(H$12=0,0,H104/H$12)</f>
        <v>-4.587578311403508</v>
      </c>
      <c r="K104" s="15"/>
      <c r="L104" s="33">
        <f>+D104-H104</f>
        <v>-2359.3071599999985</v>
      </c>
      <c r="M104" s="15"/>
      <c r="N104" s="34">
        <f>IF(H104=0,0,L104/H104)</f>
        <v>0.2819526370626369</v>
      </c>
      <c r="O104" s="25"/>
      <c r="P104" s="33">
        <f>SUM(P101:P103)</f>
        <v>-10727.049999999997</v>
      </c>
      <c r="Q104" s="13"/>
      <c r="R104" s="34">
        <f>IF(P$12=0,0,P104/P$12)</f>
        <v>-4.4217752972019317</v>
      </c>
      <c r="S104" s="13"/>
      <c r="T104" s="33">
        <f>SUM(T101:T103)</f>
        <v>-8367.742839999999</v>
      </c>
      <c r="U104" s="13"/>
      <c r="V104" s="34">
        <f>IF(T$12=0,0,T104/T$12)</f>
        <v>-4.587578311403508</v>
      </c>
      <c r="W104" s="15"/>
      <c r="X104" s="33">
        <f>+P104-T104</f>
        <v>-2359.3071599999985</v>
      </c>
      <c r="Y104" s="15"/>
      <c r="Z104" s="34">
        <f>IF(T104=0,0,X104/T104)</f>
        <v>0.2819526370626369</v>
      </c>
    </row>
    <row r="105" spans="1:26" ht="15.75" thickTop="1" x14ac:dyDescent="0.25">
      <c r="A105" s="9"/>
      <c r="C105" s="9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61">
        <v>43726.678610300929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56" t="s">
        <v>314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53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","314", " - ", "Supplies")</f>
        <v>Department 314 - Supplies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16342.819999999998</v>
      </c>
      <c r="E12" s="4"/>
      <c r="F12" s="12"/>
      <c r="G12" s="4"/>
      <c r="H12" s="4">
        <f>SUM(OSRRefH13x_0)</f>
        <v>16449</v>
      </c>
      <c r="I12" s="4"/>
      <c r="J12" s="12"/>
      <c r="K12" s="4"/>
      <c r="L12" s="4">
        <f t="shared" ref="L12:L30" si="0">+D12-H12</f>
        <v>-106.18000000000211</v>
      </c>
      <c r="M12" s="4"/>
      <c r="N12" s="12">
        <f t="shared" ref="N12:N30" si="1">IF(H12=0,0,L12/H12)</f>
        <v>-6.4551036537176792E-3</v>
      </c>
      <c r="O12" s="10"/>
      <c r="P12" s="4">
        <f>SUM(OSRRefP13x_0)</f>
        <v>16342.819999999998</v>
      </c>
      <c r="Q12" s="4"/>
      <c r="R12" s="12"/>
      <c r="S12" s="4"/>
      <c r="T12" s="4">
        <f>SUM(OSRRefT13x_0)</f>
        <v>16449</v>
      </c>
      <c r="U12" s="4"/>
      <c r="V12" s="12"/>
      <c r="W12" s="4"/>
      <c r="X12" s="4">
        <f t="shared" ref="X12:X30" si="2">+P12-T12</f>
        <v>-106.18000000000211</v>
      </c>
      <c r="Y12" s="4"/>
      <c r="Z12" s="12">
        <f t="shared" ref="Z12:Z30" si="3">IF(T12=0,0,X12/T12)</f>
        <v>-6.4551036537176792E-3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15134</v>
      </c>
      <c r="I13" s="2"/>
      <c r="J13" s="22"/>
      <c r="K13" s="2"/>
      <c r="L13" s="2">
        <f t="shared" si="0"/>
        <v>-15134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15134</v>
      </c>
      <c r="U13" s="2"/>
      <c r="V13" s="22"/>
      <c r="W13" s="2"/>
      <c r="X13" s="2">
        <f t="shared" si="2"/>
        <v>-15134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--4.47</f>
        <v>4.47</v>
      </c>
      <c r="E14" s="2"/>
      <c r="F14" s="22"/>
      <c r="G14" s="2"/>
      <c r="H14" s="2"/>
      <c r="I14" s="2"/>
      <c r="J14" s="22"/>
      <c r="K14" s="2"/>
      <c r="L14" s="2">
        <f t="shared" si="0"/>
        <v>4.47</v>
      </c>
      <c r="M14" s="2"/>
      <c r="N14" s="22">
        <f t="shared" si="1"/>
        <v>0</v>
      </c>
      <c r="O14" s="11"/>
      <c r="P14" s="2">
        <f>--4.47</f>
        <v>4.47</v>
      </c>
      <c r="Q14" s="2"/>
      <c r="R14" s="22"/>
      <c r="S14" s="2"/>
      <c r="T14" s="2"/>
      <c r="U14" s="2"/>
      <c r="V14" s="22"/>
      <c r="W14" s="2"/>
      <c r="X14" s="2">
        <f t="shared" si="2"/>
        <v>4.47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"4025", " - ", "TAXABLE SALES-TEST FORMS")</f>
        <v xml:space="preserve">          4025 - TAXABLE SALES-TEST FORMS</v>
      </c>
      <c r="C15" s="11"/>
      <c r="D15" s="2">
        <f>--390.82</f>
        <v>390.82</v>
      </c>
      <c r="E15" s="2"/>
      <c r="F15" s="22"/>
      <c r="G15" s="2"/>
      <c r="H15" s="2"/>
      <c r="I15" s="2"/>
      <c r="J15" s="22"/>
      <c r="K15" s="2"/>
      <c r="L15" s="2">
        <f t="shared" si="0"/>
        <v>390.82</v>
      </c>
      <c r="M15" s="2"/>
      <c r="N15" s="22">
        <f t="shared" si="1"/>
        <v>0</v>
      </c>
      <c r="O15" s="11"/>
      <c r="P15" s="2">
        <f>--390.82</f>
        <v>390.82</v>
      </c>
      <c r="Q15" s="2"/>
      <c r="R15" s="22"/>
      <c r="S15" s="2"/>
      <c r="T15" s="2"/>
      <c r="U15" s="2"/>
      <c r="V15" s="22"/>
      <c r="W15" s="2"/>
      <c r="X15" s="2">
        <f t="shared" si="2"/>
        <v>390.82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--1874.15</f>
        <v>1874.15</v>
      </c>
      <c r="E16" s="2"/>
      <c r="F16" s="22"/>
      <c r="G16" s="2"/>
      <c r="H16" s="2"/>
      <c r="I16" s="2"/>
      <c r="J16" s="22"/>
      <c r="K16" s="2"/>
      <c r="L16" s="2">
        <f t="shared" si="0"/>
        <v>1874.15</v>
      </c>
      <c r="M16" s="2"/>
      <c r="N16" s="22">
        <f t="shared" si="1"/>
        <v>0</v>
      </c>
      <c r="O16" s="11"/>
      <c r="P16" s="2">
        <f>--1874.15</f>
        <v>1874.15</v>
      </c>
      <c r="Q16" s="2"/>
      <c r="R16" s="22"/>
      <c r="S16" s="2"/>
      <c r="T16" s="2"/>
      <c r="U16" s="2"/>
      <c r="V16" s="22"/>
      <c r="W16" s="2"/>
      <c r="X16" s="2">
        <f t="shared" si="2"/>
        <v>1874.15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--13077.89</f>
        <v>13077.89</v>
      </c>
      <c r="E17" s="2"/>
      <c r="F17" s="22"/>
      <c r="G17" s="2"/>
      <c r="H17" s="2"/>
      <c r="I17" s="2"/>
      <c r="J17" s="22"/>
      <c r="K17" s="2"/>
      <c r="L17" s="2">
        <f t="shared" si="0"/>
        <v>13077.89</v>
      </c>
      <c r="M17" s="2"/>
      <c r="N17" s="22">
        <f t="shared" si="1"/>
        <v>0</v>
      </c>
      <c r="O17" s="11"/>
      <c r="P17" s="2">
        <f>--13077.89</f>
        <v>13077.89</v>
      </c>
      <c r="Q17" s="2"/>
      <c r="R17" s="22"/>
      <c r="S17" s="2"/>
      <c r="T17" s="2"/>
      <c r="U17" s="2"/>
      <c r="V17" s="22"/>
      <c r="W17" s="2"/>
      <c r="X17" s="2">
        <f t="shared" si="2"/>
        <v>13077.89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"4028", " - ", "TAXABLE SALES-ART/TECH")</f>
        <v xml:space="preserve">          4028 - TAXABLE SALES-ART/TECH</v>
      </c>
      <c r="C18" s="11"/>
      <c r="D18" s="2">
        <f>--427.79</f>
        <v>427.79</v>
      </c>
      <c r="E18" s="2"/>
      <c r="F18" s="22"/>
      <c r="G18" s="2"/>
      <c r="H18" s="2"/>
      <c r="I18" s="2"/>
      <c r="J18" s="22"/>
      <c r="K18" s="2"/>
      <c r="L18" s="2">
        <f t="shared" si="0"/>
        <v>427.79</v>
      </c>
      <c r="M18" s="2"/>
      <c r="N18" s="22">
        <f t="shared" si="1"/>
        <v>0</v>
      </c>
      <c r="O18" s="11"/>
      <c r="P18" s="2">
        <f>--427.79</f>
        <v>427.79</v>
      </c>
      <c r="Q18" s="2"/>
      <c r="R18" s="22"/>
      <c r="S18" s="2"/>
      <c r="T18" s="2"/>
      <c r="U18" s="2"/>
      <c r="V18" s="22"/>
      <c r="W18" s="2"/>
      <c r="X18" s="2">
        <f t="shared" si="2"/>
        <v>427.79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>--2.98</f>
        <v>2.98</v>
      </c>
      <c r="E19" s="2"/>
      <c r="F19" s="22"/>
      <c r="G19" s="2"/>
      <c r="H19" s="2"/>
      <c r="I19" s="2"/>
      <c r="J19" s="22"/>
      <c r="K19" s="2"/>
      <c r="L19" s="2">
        <f t="shared" si="0"/>
        <v>2.98</v>
      </c>
      <c r="M19" s="2"/>
      <c r="N19" s="22">
        <f t="shared" si="1"/>
        <v>0</v>
      </c>
      <c r="O19" s="11"/>
      <c r="P19" s="2">
        <f>--2.98</f>
        <v>2.98</v>
      </c>
      <c r="Q19" s="2"/>
      <c r="R19" s="22"/>
      <c r="S19" s="2"/>
      <c r="T19" s="2"/>
      <c r="U19" s="2"/>
      <c r="V19" s="22"/>
      <c r="W19" s="2"/>
      <c r="X19" s="2">
        <f t="shared" si="2"/>
        <v>2.98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>0</f>
        <v>0</v>
      </c>
      <c r="E20" s="2"/>
      <c r="F20" s="22"/>
      <c r="G20" s="2"/>
      <c r="H20" s="2">
        <v>1315</v>
      </c>
      <c r="I20" s="2"/>
      <c r="J20" s="22"/>
      <c r="K20" s="2"/>
      <c r="L20" s="2">
        <f t="shared" si="0"/>
        <v>-1315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1315</v>
      </c>
      <c r="U20" s="2"/>
      <c r="V20" s="22"/>
      <c r="W20" s="2"/>
      <c r="X20" s="2">
        <f t="shared" si="2"/>
        <v>-1315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"4125", " - ", "NON-TAXABLE SALES-TEST FORMS")</f>
        <v xml:space="preserve">          4125 - NON-TAXABLE SALES-TEST FORMS</v>
      </c>
      <c r="C21" s="11"/>
      <c r="D21" s="2">
        <f>--4.98</f>
        <v>4.9800000000000004</v>
      </c>
      <c r="E21" s="2"/>
      <c r="F21" s="22"/>
      <c r="G21" s="2"/>
      <c r="H21" s="2"/>
      <c r="I21" s="2"/>
      <c r="J21" s="22"/>
      <c r="K21" s="2"/>
      <c r="L21" s="2">
        <f t="shared" si="0"/>
        <v>4.9800000000000004</v>
      </c>
      <c r="M21" s="2"/>
      <c r="N21" s="22">
        <f t="shared" si="1"/>
        <v>0</v>
      </c>
      <c r="O21" s="11"/>
      <c r="P21" s="2">
        <f>--4.98</f>
        <v>4.9800000000000004</v>
      </c>
      <c r="Q21" s="2"/>
      <c r="R21" s="22"/>
      <c r="S21" s="2"/>
      <c r="T21" s="2"/>
      <c r="U21" s="2"/>
      <c r="V21" s="22"/>
      <c r="W21" s="2"/>
      <c r="X21" s="2">
        <f t="shared" si="2"/>
        <v>4.9800000000000004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"4126", " - ", "NON-TAXABLE SALES-WRITING INST")</f>
        <v xml:space="preserve">          4126 - NON-TAXABLE SALES-WRITING INST</v>
      </c>
      <c r="C22" s="11"/>
      <c r="D22" s="2">
        <f>--167.03</f>
        <v>167.03</v>
      </c>
      <c r="E22" s="2"/>
      <c r="F22" s="22"/>
      <c r="G22" s="2"/>
      <c r="H22" s="2"/>
      <c r="I22" s="2"/>
      <c r="J22" s="22"/>
      <c r="K22" s="2"/>
      <c r="L22" s="2">
        <f t="shared" si="0"/>
        <v>167.03</v>
      </c>
      <c r="M22" s="2"/>
      <c r="N22" s="22">
        <f t="shared" si="1"/>
        <v>0</v>
      </c>
      <c r="O22" s="11"/>
      <c r="P22" s="2">
        <f>--167.03</f>
        <v>167.03</v>
      </c>
      <c r="Q22" s="2"/>
      <c r="R22" s="22"/>
      <c r="S22" s="2"/>
      <c r="T22" s="2"/>
      <c r="U22" s="2"/>
      <c r="V22" s="22"/>
      <c r="W22" s="2"/>
      <c r="X22" s="2">
        <f t="shared" si="2"/>
        <v>167.03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"4127", " - ", "NON-TAXABLE SALES-SCHOOL SUPPL")</f>
        <v xml:space="preserve">          4127 - NON-TAXABLE SALES-SCHOOL SUPPL</v>
      </c>
      <c r="C23" s="11"/>
      <c r="D23" s="2">
        <f>--177.89</f>
        <v>177.89</v>
      </c>
      <c r="E23" s="2"/>
      <c r="F23" s="22"/>
      <c r="G23" s="2"/>
      <c r="H23" s="2"/>
      <c r="I23" s="2"/>
      <c r="J23" s="22"/>
      <c r="K23" s="2"/>
      <c r="L23" s="2">
        <f t="shared" si="0"/>
        <v>177.89</v>
      </c>
      <c r="M23" s="2"/>
      <c r="N23" s="22">
        <f t="shared" si="1"/>
        <v>0</v>
      </c>
      <c r="O23" s="11"/>
      <c r="P23" s="2">
        <f>--177.89</f>
        <v>177.89</v>
      </c>
      <c r="Q23" s="2"/>
      <c r="R23" s="22"/>
      <c r="S23" s="2"/>
      <c r="T23" s="2"/>
      <c r="U23" s="2"/>
      <c r="V23" s="22"/>
      <c r="W23" s="2"/>
      <c r="X23" s="2">
        <f t="shared" si="2"/>
        <v>177.89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"4128", " - ", "NON-TAXABLE SALES-ART/TECH")</f>
        <v xml:space="preserve">          4128 - NON-TAXABLE SALES-ART/TECH</v>
      </c>
      <c r="C24" s="11"/>
      <c r="D24" s="2">
        <f>--1.49</f>
        <v>1.49</v>
      </c>
      <c r="E24" s="2"/>
      <c r="F24" s="22"/>
      <c r="G24" s="2"/>
      <c r="H24" s="2"/>
      <c r="I24" s="2"/>
      <c r="J24" s="22"/>
      <c r="K24" s="2"/>
      <c r="L24" s="2">
        <f t="shared" si="0"/>
        <v>1.49</v>
      </c>
      <c r="M24" s="2"/>
      <c r="N24" s="22">
        <f t="shared" si="1"/>
        <v>0</v>
      </c>
      <c r="O24" s="11"/>
      <c r="P24" s="2">
        <f>--1.49</f>
        <v>1.49</v>
      </c>
      <c r="Q24" s="2"/>
      <c r="R24" s="22"/>
      <c r="S24" s="2"/>
      <c r="T24" s="2"/>
      <c r="U24" s="2"/>
      <c r="V24" s="22"/>
      <c r="W24" s="2"/>
      <c r="X24" s="2">
        <f t="shared" si="2"/>
        <v>1.49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"4131", " - ", "NON-TAXABLE SALES-FOOD")</f>
        <v xml:space="preserve">          4131 - NON-TAXABLE SALES-FOOD</v>
      </c>
      <c r="C25" s="11"/>
      <c r="D25" s="2">
        <f>--127.42</f>
        <v>127.42</v>
      </c>
      <c r="E25" s="2"/>
      <c r="F25" s="22"/>
      <c r="G25" s="2"/>
      <c r="H25" s="2"/>
      <c r="I25" s="2"/>
      <c r="J25" s="22"/>
      <c r="K25" s="2"/>
      <c r="L25" s="2">
        <f t="shared" si="0"/>
        <v>127.42</v>
      </c>
      <c r="M25" s="2"/>
      <c r="N25" s="22">
        <f t="shared" si="1"/>
        <v>0</v>
      </c>
      <c r="O25" s="11"/>
      <c r="P25" s="2">
        <f>--127.42</f>
        <v>127.42</v>
      </c>
      <c r="Q25" s="2"/>
      <c r="R25" s="22"/>
      <c r="S25" s="2"/>
      <c r="T25" s="2"/>
      <c r="U25" s="2"/>
      <c r="V25" s="22"/>
      <c r="W25" s="2"/>
      <c r="X25" s="2">
        <f t="shared" si="2"/>
        <v>127.42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"4133", " - ", "NON-TAXABLE SALES-CANDY")</f>
        <v xml:space="preserve">          4133 - NON-TAXABLE SALES-CANDY</v>
      </c>
      <c r="C26" s="11"/>
      <c r="D26" s="2">
        <f>--288.85</f>
        <v>288.85000000000002</v>
      </c>
      <c r="E26" s="2"/>
      <c r="F26" s="22"/>
      <c r="G26" s="2"/>
      <c r="H26" s="2"/>
      <c r="I26" s="2"/>
      <c r="J26" s="22"/>
      <c r="K26" s="2"/>
      <c r="L26" s="2">
        <f t="shared" si="0"/>
        <v>288.85000000000002</v>
      </c>
      <c r="M26" s="2"/>
      <c r="N26" s="22">
        <f t="shared" si="1"/>
        <v>0</v>
      </c>
      <c r="O26" s="11"/>
      <c r="P26" s="2">
        <f>--288.85</f>
        <v>288.85000000000002</v>
      </c>
      <c r="Q26" s="2"/>
      <c r="R26" s="22"/>
      <c r="S26" s="2"/>
      <c r="T26" s="2"/>
      <c r="U26" s="2"/>
      <c r="V26" s="22"/>
      <c r="W26" s="2"/>
      <c r="X26" s="2">
        <f t="shared" si="2"/>
        <v>288.85000000000002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"4135", " - ", "NON-TAXABLE SALES")</f>
        <v xml:space="preserve">          4135 - NON-TAXABLE SALES</v>
      </c>
      <c r="C27" s="11"/>
      <c r="D27" s="2">
        <f>--21.54</f>
        <v>21.54</v>
      </c>
      <c r="E27" s="2"/>
      <c r="F27" s="22"/>
      <c r="G27" s="2"/>
      <c r="H27" s="2"/>
      <c r="I27" s="2"/>
      <c r="J27" s="22"/>
      <c r="K27" s="2"/>
      <c r="L27" s="2">
        <f t="shared" si="0"/>
        <v>21.54</v>
      </c>
      <c r="M27" s="2"/>
      <c r="N27" s="22">
        <f t="shared" si="1"/>
        <v>0</v>
      </c>
      <c r="O27" s="11"/>
      <c r="P27" s="2">
        <f>--21.54</f>
        <v>21.54</v>
      </c>
      <c r="Q27" s="2"/>
      <c r="R27" s="22"/>
      <c r="S27" s="2"/>
      <c r="T27" s="2"/>
      <c r="U27" s="2"/>
      <c r="V27" s="22"/>
      <c r="W27" s="2"/>
      <c r="X27" s="2">
        <f t="shared" si="2"/>
        <v>21.54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>-4.08</f>
        <v>-4.08</v>
      </c>
      <c r="E28" s="2"/>
      <c r="F28" s="22"/>
      <c r="G28" s="2"/>
      <c r="H28" s="2"/>
      <c r="I28" s="2"/>
      <c r="J28" s="22"/>
      <c r="K28" s="2"/>
      <c r="L28" s="2">
        <f t="shared" si="0"/>
        <v>-4.08</v>
      </c>
      <c r="M28" s="2"/>
      <c r="N28" s="22">
        <f t="shared" si="1"/>
        <v>0</v>
      </c>
      <c r="O28" s="11"/>
      <c r="P28" s="2">
        <f>-4.08</f>
        <v>-4.08</v>
      </c>
      <c r="Q28" s="2"/>
      <c r="R28" s="22"/>
      <c r="S28" s="2"/>
      <c r="T28" s="2"/>
      <c r="U28" s="2"/>
      <c r="V28" s="22"/>
      <c r="W28" s="2"/>
      <c r="X28" s="2">
        <f t="shared" si="2"/>
        <v>-4.08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-63.93</f>
        <v>-63.93</v>
      </c>
      <c r="E29" s="2"/>
      <c r="F29" s="22"/>
      <c r="G29" s="2"/>
      <c r="H29" s="2"/>
      <c r="I29" s="2"/>
      <c r="J29" s="22"/>
      <c r="K29" s="2"/>
      <c r="L29" s="2">
        <f t="shared" si="0"/>
        <v>-63.93</v>
      </c>
      <c r="M29" s="2"/>
      <c r="N29" s="22">
        <f t="shared" si="1"/>
        <v>0</v>
      </c>
      <c r="O29" s="11"/>
      <c r="P29" s="2">
        <f>-63.93</f>
        <v>-63.93</v>
      </c>
      <c r="Q29" s="2"/>
      <c r="R29" s="22"/>
      <c r="S29" s="2"/>
      <c r="T29" s="2"/>
      <c r="U29" s="2"/>
      <c r="V29" s="22"/>
      <c r="W29" s="2"/>
      <c r="X29" s="2">
        <f t="shared" si="2"/>
        <v>-63.93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-156.47</f>
        <v>-156.47</v>
      </c>
      <c r="E30" s="2"/>
      <c r="F30" s="22"/>
      <c r="G30" s="2"/>
      <c r="H30" s="2"/>
      <c r="I30" s="2"/>
      <c r="J30" s="22"/>
      <c r="K30" s="2"/>
      <c r="L30" s="2">
        <f t="shared" si="0"/>
        <v>-156.47</v>
      </c>
      <c r="M30" s="2"/>
      <c r="N30" s="22">
        <f t="shared" si="1"/>
        <v>0</v>
      </c>
      <c r="O30" s="11"/>
      <c r="P30" s="2">
        <f>-156.47</f>
        <v>-156.47</v>
      </c>
      <c r="Q30" s="2"/>
      <c r="R30" s="22"/>
      <c r="S30" s="2"/>
      <c r="T30" s="2"/>
      <c r="U30" s="2"/>
      <c r="V30" s="22"/>
      <c r="W30" s="2"/>
      <c r="X30" s="2">
        <f t="shared" si="2"/>
        <v>-156.47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5" t="s">
        <v>8</v>
      </c>
      <c r="C32" s="10"/>
      <c r="D32" s="4">
        <f>SUM(OSRRefD16x_0)</f>
        <v>8148.6999999999925</v>
      </c>
      <c r="E32" s="4"/>
      <c r="F32" s="12">
        <f t="shared" ref="F32:F43" si="4">IF(D$12=0,0,D32/D$12)</f>
        <v>0.49861039893971748</v>
      </c>
      <c r="G32" s="4"/>
      <c r="H32" s="4">
        <f>SUM(OSRRefH16x_0)</f>
        <v>8389</v>
      </c>
      <c r="I32" s="4"/>
      <c r="J32" s="12">
        <f t="shared" ref="J32:J43" si="5">IF(H$12=0,0,H32/H$12)</f>
        <v>0.51000060793969237</v>
      </c>
      <c r="K32" s="4"/>
      <c r="L32" s="4">
        <f t="shared" ref="L32:L43" si="6">+D32-H32</f>
        <v>-240.30000000000746</v>
      </c>
      <c r="M32" s="4"/>
      <c r="N32" s="12">
        <f t="shared" ref="N32:N43" si="7">IF(H32=0,0,L32/H32)</f>
        <v>-2.864465371319674E-2</v>
      </c>
      <c r="O32" s="10"/>
      <c r="P32" s="4">
        <f>SUM(OSRRefP16x_0)</f>
        <v>8148.6999999999925</v>
      </c>
      <c r="Q32" s="4"/>
      <c r="R32" s="12">
        <f t="shared" ref="R32:R43" si="8">IF(P$12=0,0,P32/P$12)</f>
        <v>0.49861039893971748</v>
      </c>
      <c r="S32" s="4"/>
      <c r="T32" s="4">
        <f>SUM(OSRRefT16x_0)</f>
        <v>8389</v>
      </c>
      <c r="U32" s="4"/>
      <c r="V32" s="12">
        <f t="shared" ref="V32:V43" si="9">IF(T$12=0,0,T32/T$12)</f>
        <v>0.51000060793969237</v>
      </c>
      <c r="W32" s="4"/>
      <c r="X32" s="4">
        <f t="shared" ref="X32:X43" si="10">+P32-T32</f>
        <v>-240.30000000000746</v>
      </c>
      <c r="Y32" s="4"/>
      <c r="Z32" s="12">
        <f t="shared" ref="Z32:Z43" si="11">IF(T32=0,0,X32/T32)</f>
        <v>-2.864465371319674E-2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8389</v>
      </c>
      <c r="I33" s="2"/>
      <c r="J33" s="22">
        <f t="shared" si="5"/>
        <v>0.51000060793969237</v>
      </c>
      <c r="K33" s="2"/>
      <c r="L33" s="2">
        <f t="shared" si="6"/>
        <v>-8389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8389</v>
      </c>
      <c r="U33" s="2"/>
      <c r="V33" s="22">
        <f t="shared" si="9"/>
        <v>0.51000060793969237</v>
      </c>
      <c r="W33" s="2"/>
      <c r="X33" s="2">
        <f t="shared" si="10"/>
        <v>-8389</v>
      </c>
      <c r="Y33" s="2"/>
      <c r="Z33" s="22">
        <f t="shared" si="11"/>
        <v>-1</v>
      </c>
    </row>
    <row r="34" spans="1:26" s="24" customFormat="1" hidden="1" outlineLevel="1" x14ac:dyDescent="0.25">
      <c r="A34" s="51"/>
      <c r="B34" s="11" t="str">
        <f>CONCATENATE("          ", "5025", " - ", "PURCHASES @ COST-TEST FORMS")</f>
        <v xml:space="preserve">          5025 - PURCHASES @ COST-TEST FORMS</v>
      </c>
      <c r="C34" s="11"/>
      <c r="D34" s="2">
        <v>879.12</v>
      </c>
      <c r="E34" s="2"/>
      <c r="F34" s="22">
        <f t="shared" si="4"/>
        <v>5.379242994783031E-2</v>
      </c>
      <c r="G34" s="2"/>
      <c r="H34" s="2"/>
      <c r="I34" s="2"/>
      <c r="J34" s="22">
        <f t="shared" si="5"/>
        <v>0</v>
      </c>
      <c r="K34" s="2"/>
      <c r="L34" s="2">
        <f t="shared" si="6"/>
        <v>879.12</v>
      </c>
      <c r="M34" s="2"/>
      <c r="N34" s="22">
        <f t="shared" si="7"/>
        <v>0</v>
      </c>
      <c r="O34" s="11"/>
      <c r="P34" s="2">
        <v>879.12</v>
      </c>
      <c r="Q34" s="2"/>
      <c r="R34" s="22">
        <f t="shared" si="8"/>
        <v>5.379242994783031E-2</v>
      </c>
      <c r="S34" s="2"/>
      <c r="T34" s="2"/>
      <c r="U34" s="2"/>
      <c r="V34" s="22">
        <f t="shared" si="9"/>
        <v>0</v>
      </c>
      <c r="W34" s="2"/>
      <c r="X34" s="2">
        <f t="shared" si="10"/>
        <v>879.12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"5026", " - ", "PURCHASES @ COST-WRITING INSTR")</f>
        <v xml:space="preserve">          5026 - PURCHASES @ COST-WRITING INSTR</v>
      </c>
      <c r="C35" s="11"/>
      <c r="D35" s="2">
        <v>9530.23</v>
      </c>
      <c r="E35" s="2"/>
      <c r="F35" s="22">
        <f t="shared" si="4"/>
        <v>0.5831447693849654</v>
      </c>
      <c r="G35" s="2"/>
      <c r="H35" s="2"/>
      <c r="I35" s="2"/>
      <c r="J35" s="22">
        <f t="shared" si="5"/>
        <v>0</v>
      </c>
      <c r="K35" s="2"/>
      <c r="L35" s="2">
        <f t="shared" si="6"/>
        <v>9530.23</v>
      </c>
      <c r="M35" s="2"/>
      <c r="N35" s="22">
        <f t="shared" si="7"/>
        <v>0</v>
      </c>
      <c r="O35" s="11"/>
      <c r="P35" s="2">
        <v>9530.23</v>
      </c>
      <c r="Q35" s="2"/>
      <c r="R35" s="22">
        <f t="shared" si="8"/>
        <v>0.5831447693849654</v>
      </c>
      <c r="S35" s="2"/>
      <c r="T35" s="2"/>
      <c r="U35" s="2"/>
      <c r="V35" s="22">
        <f t="shared" si="9"/>
        <v>0</v>
      </c>
      <c r="W35" s="2"/>
      <c r="X35" s="2">
        <f t="shared" si="10"/>
        <v>9530.23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"5027", " - ", "PURCHASES @ COST-SCHOOL SUPPLI")</f>
        <v xml:space="preserve">          5027 - PURCHASES @ COST-SCHOOL SUPPLI</v>
      </c>
      <c r="C36" s="11"/>
      <c r="D36" s="2">
        <v>49256.659999999996</v>
      </c>
      <c r="E36" s="2"/>
      <c r="F36" s="22">
        <f t="shared" si="4"/>
        <v>3.0139633184481016</v>
      </c>
      <c r="G36" s="2"/>
      <c r="H36" s="2"/>
      <c r="I36" s="2"/>
      <c r="J36" s="22">
        <f t="shared" si="5"/>
        <v>0</v>
      </c>
      <c r="K36" s="2"/>
      <c r="L36" s="2">
        <f t="shared" si="6"/>
        <v>49256.659999999996</v>
      </c>
      <c r="M36" s="2"/>
      <c r="N36" s="22">
        <f t="shared" si="7"/>
        <v>0</v>
      </c>
      <c r="O36" s="11"/>
      <c r="P36" s="2">
        <v>49256.659999999996</v>
      </c>
      <c r="Q36" s="2"/>
      <c r="R36" s="22">
        <f t="shared" si="8"/>
        <v>3.0139633184481016</v>
      </c>
      <c r="S36" s="2"/>
      <c r="T36" s="2"/>
      <c r="U36" s="2"/>
      <c r="V36" s="22">
        <f t="shared" si="9"/>
        <v>0</v>
      </c>
      <c r="W36" s="2"/>
      <c r="X36" s="2">
        <f t="shared" si="10"/>
        <v>49256.659999999996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"5028", " - ", "PURCHASES @ COST-ART/TECH")</f>
        <v xml:space="preserve">          5028 - PURCHASES @ COST-ART/TECH</v>
      </c>
      <c r="C37" s="11"/>
      <c r="D37" s="2">
        <v>2144.56</v>
      </c>
      <c r="E37" s="2"/>
      <c r="F37" s="22">
        <f t="shared" si="4"/>
        <v>0.13122337515802049</v>
      </c>
      <c r="G37" s="2"/>
      <c r="H37" s="2"/>
      <c r="I37" s="2"/>
      <c r="J37" s="22">
        <f t="shared" si="5"/>
        <v>0</v>
      </c>
      <c r="K37" s="2"/>
      <c r="L37" s="2">
        <f t="shared" si="6"/>
        <v>2144.56</v>
      </c>
      <c r="M37" s="2"/>
      <c r="N37" s="22">
        <f t="shared" si="7"/>
        <v>0</v>
      </c>
      <c r="O37" s="11"/>
      <c r="P37" s="2">
        <v>2144.56</v>
      </c>
      <c r="Q37" s="2"/>
      <c r="R37" s="22">
        <f t="shared" si="8"/>
        <v>0.13122337515802049</v>
      </c>
      <c r="S37" s="2"/>
      <c r="T37" s="2"/>
      <c r="U37" s="2"/>
      <c r="V37" s="22">
        <f t="shared" si="9"/>
        <v>0</v>
      </c>
      <c r="W37" s="2"/>
      <c r="X37" s="2">
        <f t="shared" si="10"/>
        <v>2144.56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"5200", " - ", "PURCHASES OFFSET")</f>
        <v xml:space="preserve">          5200 - PURCHASES OFFSET</v>
      </c>
      <c r="C38" s="11"/>
      <c r="D38" s="2">
        <v>-62144</v>
      </c>
      <c r="E38" s="2"/>
      <c r="F38" s="22">
        <f t="shared" si="4"/>
        <v>-3.8025261246223119</v>
      </c>
      <c r="G38" s="2"/>
      <c r="H38" s="2"/>
      <c r="I38" s="2"/>
      <c r="J38" s="22">
        <f t="shared" si="5"/>
        <v>0</v>
      </c>
      <c r="K38" s="2"/>
      <c r="L38" s="2">
        <f t="shared" si="6"/>
        <v>-62144</v>
      </c>
      <c r="M38" s="2"/>
      <c r="N38" s="22">
        <f t="shared" si="7"/>
        <v>0</v>
      </c>
      <c r="O38" s="11"/>
      <c r="P38" s="2">
        <v>-62144</v>
      </c>
      <c r="Q38" s="2"/>
      <c r="R38" s="22">
        <f t="shared" si="8"/>
        <v>-3.8025261246223119</v>
      </c>
      <c r="S38" s="2"/>
      <c r="T38" s="2"/>
      <c r="U38" s="2"/>
      <c r="V38" s="22">
        <f t="shared" si="9"/>
        <v>0</v>
      </c>
      <c r="W38" s="2"/>
      <c r="X38" s="2">
        <f t="shared" si="10"/>
        <v>-62144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"5300", " - ", "COG$ OFFSET")</f>
        <v xml:space="preserve">          5300 - COG$ OFFSET</v>
      </c>
      <c r="C39" s="11"/>
      <c r="D39" s="2">
        <v>8100</v>
      </c>
      <c r="E39" s="2"/>
      <c r="F39" s="22">
        <f t="shared" si="4"/>
        <v>0.49563049706231854</v>
      </c>
      <c r="G39" s="2"/>
      <c r="H39" s="2"/>
      <c r="I39" s="2"/>
      <c r="J39" s="22">
        <f t="shared" si="5"/>
        <v>0</v>
      </c>
      <c r="K39" s="2"/>
      <c r="L39" s="2">
        <f t="shared" si="6"/>
        <v>8100</v>
      </c>
      <c r="M39" s="2"/>
      <c r="N39" s="22">
        <f t="shared" si="7"/>
        <v>0</v>
      </c>
      <c r="O39" s="11"/>
      <c r="P39" s="2">
        <v>8100</v>
      </c>
      <c r="Q39" s="2"/>
      <c r="R39" s="22">
        <f t="shared" si="8"/>
        <v>0.49563049706231854</v>
      </c>
      <c r="S39" s="2"/>
      <c r="T39" s="2"/>
      <c r="U39" s="2"/>
      <c r="V39" s="22">
        <f t="shared" si="9"/>
        <v>0</v>
      </c>
      <c r="W39" s="2"/>
      <c r="X39" s="2">
        <f t="shared" si="10"/>
        <v>8100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"5500", " - ", "FREIGHT-IN")</f>
        <v xml:space="preserve">          5500 - FREIGHT-IN</v>
      </c>
      <c r="C40" s="11"/>
      <c r="D40" s="2">
        <v>49</v>
      </c>
      <c r="E40" s="2"/>
      <c r="F40" s="22">
        <f t="shared" si="4"/>
        <v>2.9982585624757541E-3</v>
      </c>
      <c r="G40" s="2"/>
      <c r="H40" s="2"/>
      <c r="I40" s="2"/>
      <c r="J40" s="22">
        <f t="shared" si="5"/>
        <v>0</v>
      </c>
      <c r="K40" s="2"/>
      <c r="L40" s="2">
        <f t="shared" si="6"/>
        <v>49</v>
      </c>
      <c r="M40" s="2"/>
      <c r="N40" s="22">
        <f t="shared" si="7"/>
        <v>0</v>
      </c>
      <c r="O40" s="11"/>
      <c r="P40" s="2">
        <v>49</v>
      </c>
      <c r="Q40" s="2"/>
      <c r="R40" s="22">
        <f t="shared" si="8"/>
        <v>2.9982585624757541E-3</v>
      </c>
      <c r="S40" s="2"/>
      <c r="T40" s="2"/>
      <c r="U40" s="2"/>
      <c r="V40" s="22">
        <f t="shared" si="9"/>
        <v>0</v>
      </c>
      <c r="W40" s="2"/>
      <c r="X40" s="2">
        <f t="shared" si="10"/>
        <v>49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"5526", " - ", "FREIGHT-IN-WRITING INSTRUMENTS")</f>
        <v xml:space="preserve">          5526 - FREIGHT-IN-WRITING INSTRUMENTS</v>
      </c>
      <c r="C41" s="11"/>
      <c r="D41" s="2">
        <v>39.11</v>
      </c>
      <c r="E41" s="2"/>
      <c r="F41" s="22">
        <f t="shared" si="4"/>
        <v>2.3930998444576888E-3</v>
      </c>
      <c r="G41" s="2"/>
      <c r="H41" s="2"/>
      <c r="I41" s="2"/>
      <c r="J41" s="22">
        <f t="shared" si="5"/>
        <v>0</v>
      </c>
      <c r="K41" s="2"/>
      <c r="L41" s="2">
        <f t="shared" si="6"/>
        <v>39.11</v>
      </c>
      <c r="M41" s="2"/>
      <c r="N41" s="22">
        <f t="shared" si="7"/>
        <v>0</v>
      </c>
      <c r="O41" s="11"/>
      <c r="P41" s="2">
        <v>39.11</v>
      </c>
      <c r="Q41" s="2"/>
      <c r="R41" s="22">
        <f t="shared" si="8"/>
        <v>2.3930998444576888E-3</v>
      </c>
      <c r="S41" s="2"/>
      <c r="T41" s="2"/>
      <c r="U41" s="2"/>
      <c r="V41" s="22">
        <f t="shared" si="9"/>
        <v>0</v>
      </c>
      <c r="W41" s="2"/>
      <c r="X41" s="2">
        <f t="shared" si="10"/>
        <v>39.11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"5527", " - ", "FREIGHT-IN-SCHOOL SUPPLIES")</f>
        <v xml:space="preserve">          5527 - FREIGHT-IN-SCHOOL SUPPLIES</v>
      </c>
      <c r="C42" s="11"/>
      <c r="D42" s="2">
        <v>250.02</v>
      </c>
      <c r="E42" s="2"/>
      <c r="F42" s="22">
        <f t="shared" si="4"/>
        <v>1.52984613426569E-2</v>
      </c>
      <c r="G42" s="2"/>
      <c r="H42" s="2"/>
      <c r="I42" s="2"/>
      <c r="J42" s="22">
        <f t="shared" si="5"/>
        <v>0</v>
      </c>
      <c r="K42" s="2"/>
      <c r="L42" s="2">
        <f t="shared" si="6"/>
        <v>250.02</v>
      </c>
      <c r="M42" s="2"/>
      <c r="N42" s="22">
        <f t="shared" si="7"/>
        <v>0</v>
      </c>
      <c r="O42" s="11"/>
      <c r="P42" s="2">
        <v>250.02</v>
      </c>
      <c r="Q42" s="2"/>
      <c r="R42" s="22">
        <f t="shared" si="8"/>
        <v>1.52984613426569E-2</v>
      </c>
      <c r="S42" s="2"/>
      <c r="T42" s="2"/>
      <c r="U42" s="2"/>
      <c r="V42" s="22">
        <f t="shared" si="9"/>
        <v>0</v>
      </c>
      <c r="W42" s="2"/>
      <c r="X42" s="2">
        <f t="shared" si="10"/>
        <v>250.02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"5528", " - ", "FREIGHT-IN-ART/TECH")</f>
        <v xml:space="preserve">          5528 - FREIGHT-IN-ART/TECH</v>
      </c>
      <c r="C43" s="11"/>
      <c r="D43" s="2">
        <v>44</v>
      </c>
      <c r="E43" s="2"/>
      <c r="F43" s="22">
        <f t="shared" si="4"/>
        <v>2.6923138112027183E-3</v>
      </c>
      <c r="G43" s="2"/>
      <c r="H43" s="2"/>
      <c r="I43" s="2"/>
      <c r="J43" s="22">
        <f t="shared" si="5"/>
        <v>0</v>
      </c>
      <c r="K43" s="2"/>
      <c r="L43" s="2">
        <f t="shared" si="6"/>
        <v>44</v>
      </c>
      <c r="M43" s="2"/>
      <c r="N43" s="22">
        <f t="shared" si="7"/>
        <v>0</v>
      </c>
      <c r="O43" s="11"/>
      <c r="P43" s="2">
        <v>44</v>
      </c>
      <c r="Q43" s="2"/>
      <c r="R43" s="22">
        <f t="shared" si="8"/>
        <v>2.6923138112027183E-3</v>
      </c>
      <c r="S43" s="2"/>
      <c r="T43" s="2"/>
      <c r="U43" s="2"/>
      <c r="V43" s="22">
        <f t="shared" si="9"/>
        <v>0</v>
      </c>
      <c r="W43" s="2"/>
      <c r="X43" s="2">
        <f t="shared" si="10"/>
        <v>44</v>
      </c>
      <c r="Y43" s="2"/>
      <c r="Z43" s="22">
        <f t="shared" si="11"/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6" t="s">
        <v>6</v>
      </c>
      <c r="C45" s="26"/>
      <c r="D45" s="21">
        <f>D12-D32</f>
        <v>8194.1200000000063</v>
      </c>
      <c r="E45" s="13"/>
      <c r="F45" s="19">
        <f>IF(D$12=0,0,D45/D$12)</f>
        <v>0.50138960106028263</v>
      </c>
      <c r="G45" s="13"/>
      <c r="H45" s="21">
        <f>H12-H32</f>
        <v>8060</v>
      </c>
      <c r="I45" s="13"/>
      <c r="J45" s="19">
        <f>IF(H$12=0,0,H45/H$12)</f>
        <v>0.48999939206030763</v>
      </c>
      <c r="K45" s="15"/>
      <c r="L45" s="21">
        <f>+D45-H45</f>
        <v>134.12000000000626</v>
      </c>
      <c r="M45" s="15"/>
      <c r="N45" s="19">
        <f>IF(H45=0,0,L45/H45)</f>
        <v>1.6640198511167031E-2</v>
      </c>
      <c r="O45" s="25"/>
      <c r="P45" s="21">
        <f>P12-P32</f>
        <v>8194.1200000000063</v>
      </c>
      <c r="Q45" s="13"/>
      <c r="R45" s="19">
        <f>IF(P$12=0,0,P45/P$12)</f>
        <v>0.50138960106028263</v>
      </c>
      <c r="S45" s="13"/>
      <c r="T45" s="21">
        <f>T12-T32</f>
        <v>8060</v>
      </c>
      <c r="U45" s="13"/>
      <c r="V45" s="19">
        <f>IF(T$12=0,0,T45/T$12)</f>
        <v>0.48999939206030763</v>
      </c>
      <c r="W45" s="15"/>
      <c r="X45" s="21">
        <f>+P45-T45</f>
        <v>134.12000000000626</v>
      </c>
      <c r="Y45" s="15"/>
      <c r="Z45" s="19">
        <f>IF(T45=0,0,X45/T45)</f>
        <v>1.6640198511167031E-2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5" t="s">
        <v>9</v>
      </c>
      <c r="C47" s="10"/>
      <c r="D47" s="20">
        <f>SUM(OSRRefD22x_0)</f>
        <v>12175.64</v>
      </c>
      <c r="E47" s="20"/>
      <c r="F47" s="30">
        <f t="shared" ref="F47:F56" si="12">IF(D$12=0,0,D47/D$12)</f>
        <v>0.74501463027800596</v>
      </c>
      <c r="G47" s="20"/>
      <c r="H47" s="20">
        <f>SUM(OSRRefH22x_0)</f>
        <v>10984.123794430767</v>
      </c>
      <c r="I47" s="20"/>
      <c r="J47" s="30">
        <f t="shared" ref="J47:J56" si="13">IF(H$12=0,0,H47/H$12)</f>
        <v>0.66776848406777112</v>
      </c>
      <c r="K47" s="4"/>
      <c r="L47" s="20">
        <f t="shared" ref="L47:L56" si="14">+D47-H47</f>
        <v>1191.5162055692326</v>
      </c>
      <c r="M47" s="4"/>
      <c r="N47" s="30">
        <f t="shared" ref="N47:N56" si="15">IF(H47=0,0,L47/H47)</f>
        <v>0.10847621784573859</v>
      </c>
      <c r="O47" s="10"/>
      <c r="P47" s="20">
        <f>SUM(OSRRefP22x_0)</f>
        <v>12175.64</v>
      </c>
      <c r="Q47" s="20"/>
      <c r="R47" s="30">
        <f t="shared" ref="R47:R56" si="16">IF(P$12=0,0,P47/P$12)</f>
        <v>0.74501463027800596</v>
      </c>
      <c r="S47" s="20"/>
      <c r="T47" s="20">
        <f>SUM(OSRRefT22x_0)</f>
        <v>10984.123794430767</v>
      </c>
      <c r="U47" s="20"/>
      <c r="V47" s="30">
        <f t="shared" ref="V47:V56" si="17">IF(T$12=0,0,T47/T$12)</f>
        <v>0.66776848406777112</v>
      </c>
      <c r="W47" s="4"/>
      <c r="X47" s="20">
        <f t="shared" ref="X47:X56" si="18">+P47-T47</f>
        <v>1191.5162055692326</v>
      </c>
      <c r="Y47" s="4"/>
      <c r="Z47" s="30">
        <f t="shared" ref="Z47:Z56" si="19">IF(T47=0,0,X47/T47)</f>
        <v>0.10847621784573859</v>
      </c>
    </row>
    <row r="48" spans="1:26" s="27" customFormat="1" outlineLevel="1" collapsed="1" x14ac:dyDescent="0.25">
      <c r="A48" s="28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2358.2800000000002</v>
      </c>
      <c r="E48" s="1"/>
      <c r="F48" s="5">
        <f t="shared" si="12"/>
        <v>0.14430067760643514</v>
      </c>
      <c r="G48" s="1"/>
      <c r="H48" s="1">
        <f>SUM(OSRRefH22_0x_0)</f>
        <v>2069.2393021230769</v>
      </c>
      <c r="I48" s="1"/>
      <c r="J48" s="5">
        <f t="shared" si="13"/>
        <v>0.12579727047985148</v>
      </c>
      <c r="K48" s="1"/>
      <c r="L48" s="1">
        <f t="shared" si="14"/>
        <v>289.04069787692333</v>
      </c>
      <c r="M48" s="1"/>
      <c r="N48" s="5">
        <f t="shared" si="15"/>
        <v>0.13968451961083592</v>
      </c>
      <c r="O48" s="14"/>
      <c r="P48" s="1">
        <f>SUM(OSRRefP22_0x_0)</f>
        <v>2358.2800000000002</v>
      </c>
      <c r="Q48" s="1"/>
      <c r="R48" s="5">
        <f t="shared" si="16"/>
        <v>0.14430067760643514</v>
      </c>
      <c r="S48" s="1"/>
      <c r="T48" s="1">
        <f>SUM(OSRRefT22_0x_0)</f>
        <v>2069.2393021230769</v>
      </c>
      <c r="U48" s="1"/>
      <c r="V48" s="5">
        <f t="shared" si="17"/>
        <v>0.12579727047985148</v>
      </c>
      <c r="W48" s="1"/>
      <c r="X48" s="1">
        <f t="shared" si="18"/>
        <v>289.04069787692333</v>
      </c>
      <c r="Y48" s="1"/>
      <c r="Z48" s="5">
        <f t="shared" si="19"/>
        <v>0.13968451961083592</v>
      </c>
    </row>
    <row r="49" spans="1:26" s="24" customFormat="1" hidden="1" outlineLevel="2" x14ac:dyDescent="0.25">
      <c r="A49" s="29"/>
      <c r="B49" s="11" t="str">
        <f>CONCATENATE("          ", "6111", " - ", "F.I.C.A.")</f>
        <v xml:space="preserve">          6111 - F.I.C.A.</v>
      </c>
      <c r="C49" s="11"/>
      <c r="D49" s="7">
        <v>474.69</v>
      </c>
      <c r="E49" s="2"/>
      <c r="F49" s="6">
        <f t="shared" si="12"/>
        <v>2.9045782796359505E-2</v>
      </c>
      <c r="G49" s="2"/>
      <c r="H49" s="7">
        <v>590.26129043076901</v>
      </c>
      <c r="I49" s="2"/>
      <c r="J49" s="6">
        <f t="shared" si="13"/>
        <v>3.5884326732978845E-2</v>
      </c>
      <c r="K49" s="2"/>
      <c r="L49" s="7">
        <f t="shared" si="14"/>
        <v>-115.57129043076901</v>
      </c>
      <c r="M49" s="2"/>
      <c r="N49" s="6">
        <f t="shared" si="15"/>
        <v>-0.19579683151240665</v>
      </c>
      <c r="O49" s="11"/>
      <c r="P49" s="7">
        <v>474.69</v>
      </c>
      <c r="Q49" s="2"/>
      <c r="R49" s="6">
        <f t="shared" si="16"/>
        <v>2.9045782796359505E-2</v>
      </c>
      <c r="S49" s="2"/>
      <c r="T49" s="7">
        <v>590.26129043076901</v>
      </c>
      <c r="U49" s="2"/>
      <c r="V49" s="6">
        <f t="shared" si="17"/>
        <v>3.5884326732978845E-2</v>
      </c>
      <c r="W49" s="2"/>
      <c r="X49" s="7">
        <f t="shared" si="18"/>
        <v>-115.57129043076901</v>
      </c>
      <c r="Y49" s="2"/>
      <c r="Z49" s="6">
        <f t="shared" si="19"/>
        <v>-0.19579683151240665</v>
      </c>
    </row>
    <row r="50" spans="1:26" s="24" customFormat="1" hidden="1" outlineLevel="2" x14ac:dyDescent="0.25">
      <c r="A50" s="29"/>
      <c r="B50" s="11" t="str">
        <f>CONCATENATE("          ", "6112", " - ", "COMPENSATION INSURANCE")</f>
        <v xml:space="preserve">          6112 - COMPENSATION INSURANCE</v>
      </c>
      <c r="C50" s="11"/>
      <c r="D50" s="7">
        <v>117.87</v>
      </c>
      <c r="E50" s="2"/>
      <c r="F50" s="6">
        <f t="shared" si="12"/>
        <v>7.2123415665105543E-3</v>
      </c>
      <c r="G50" s="2"/>
      <c r="H50" s="7">
        <v>146.54337538461499</v>
      </c>
      <c r="I50" s="2"/>
      <c r="J50" s="6">
        <f t="shared" si="13"/>
        <v>8.9089534552018353E-3</v>
      </c>
      <c r="K50" s="2"/>
      <c r="L50" s="7">
        <f t="shared" si="14"/>
        <v>-28.673375384614985</v>
      </c>
      <c r="M50" s="2"/>
      <c r="N50" s="6">
        <f t="shared" si="15"/>
        <v>-0.1956647668948486</v>
      </c>
      <c r="O50" s="11"/>
      <c r="P50" s="7">
        <v>117.87</v>
      </c>
      <c r="Q50" s="2"/>
      <c r="R50" s="6">
        <f t="shared" si="16"/>
        <v>7.2123415665105543E-3</v>
      </c>
      <c r="S50" s="2"/>
      <c r="T50" s="7">
        <v>146.54337538461499</v>
      </c>
      <c r="U50" s="2"/>
      <c r="V50" s="6">
        <f t="shared" si="17"/>
        <v>8.9089534552018353E-3</v>
      </c>
      <c r="W50" s="2"/>
      <c r="X50" s="7">
        <f t="shared" si="18"/>
        <v>-28.673375384614985</v>
      </c>
      <c r="Y50" s="2"/>
      <c r="Z50" s="6">
        <f t="shared" si="19"/>
        <v>-0.1956647668948486</v>
      </c>
    </row>
    <row r="51" spans="1:26" s="24" customFormat="1" hidden="1" outlineLevel="2" x14ac:dyDescent="0.25">
      <c r="A51" s="29"/>
      <c r="B51" s="11" t="str">
        <f>CONCATENATE("          ", "6113", " - ", "GROUP INSURANCE")</f>
        <v xml:space="preserve">          6113 - GROUP INSURANCE</v>
      </c>
      <c r="C51" s="11"/>
      <c r="D51" s="7">
        <v>924.25</v>
      </c>
      <c r="E51" s="2"/>
      <c r="F51" s="6">
        <f t="shared" si="12"/>
        <v>5.6553887272820735E-2</v>
      </c>
      <c r="G51" s="2"/>
      <c r="H51" s="7">
        <v>790.8</v>
      </c>
      <c r="I51" s="2"/>
      <c r="J51" s="6">
        <f t="shared" si="13"/>
        <v>4.8075870873609337E-2</v>
      </c>
      <c r="K51" s="2"/>
      <c r="L51" s="7">
        <f t="shared" si="14"/>
        <v>133.45000000000005</v>
      </c>
      <c r="M51" s="2"/>
      <c r="N51" s="6">
        <f t="shared" si="15"/>
        <v>0.16875316135558935</v>
      </c>
      <c r="O51" s="11"/>
      <c r="P51" s="7">
        <v>924.25</v>
      </c>
      <c r="Q51" s="2"/>
      <c r="R51" s="6">
        <f t="shared" si="16"/>
        <v>5.6553887272820735E-2</v>
      </c>
      <c r="S51" s="2"/>
      <c r="T51" s="7">
        <v>790.8</v>
      </c>
      <c r="U51" s="2"/>
      <c r="V51" s="6">
        <f t="shared" si="17"/>
        <v>4.8075870873609337E-2</v>
      </c>
      <c r="W51" s="2"/>
      <c r="X51" s="7">
        <f t="shared" si="18"/>
        <v>133.45000000000005</v>
      </c>
      <c r="Y51" s="2"/>
      <c r="Z51" s="6">
        <f t="shared" si="19"/>
        <v>0.16875316135558935</v>
      </c>
    </row>
    <row r="52" spans="1:26" s="24" customFormat="1" hidden="1" outlineLevel="2" x14ac:dyDescent="0.25">
      <c r="A52" s="29"/>
      <c r="B52" s="11" t="str">
        <f>CONCATENATE("          ", "6114", " - ", "STATE UNEMPLOYMENT INSURANCE")</f>
        <v xml:space="preserve">          6114 - STATE UNEMPLOYMENT INSURANCE</v>
      </c>
      <c r="C52" s="11"/>
      <c r="D52" s="7">
        <v>16.13</v>
      </c>
      <c r="E52" s="2"/>
      <c r="F52" s="6">
        <f t="shared" si="12"/>
        <v>9.8697776760681448E-4</v>
      </c>
      <c r="G52" s="2"/>
      <c r="H52" s="7">
        <v>20.053304000000001</v>
      </c>
      <c r="I52" s="2"/>
      <c r="J52" s="6">
        <f t="shared" si="13"/>
        <v>1.2191199465013071E-3</v>
      </c>
      <c r="K52" s="2"/>
      <c r="L52" s="7">
        <f t="shared" si="14"/>
        <v>-3.9233040000000017</v>
      </c>
      <c r="M52" s="2"/>
      <c r="N52" s="6">
        <f t="shared" si="15"/>
        <v>-0.19564377022360013</v>
      </c>
      <c r="O52" s="11"/>
      <c r="P52" s="7">
        <v>16.13</v>
      </c>
      <c r="Q52" s="2"/>
      <c r="R52" s="6">
        <f t="shared" si="16"/>
        <v>9.8697776760681448E-4</v>
      </c>
      <c r="S52" s="2"/>
      <c r="T52" s="7">
        <v>20.053304000000001</v>
      </c>
      <c r="U52" s="2"/>
      <c r="V52" s="6">
        <f t="shared" si="17"/>
        <v>1.2191199465013071E-3</v>
      </c>
      <c r="W52" s="2"/>
      <c r="X52" s="7">
        <f t="shared" si="18"/>
        <v>-3.9233040000000017</v>
      </c>
      <c r="Y52" s="2"/>
      <c r="Z52" s="6">
        <f t="shared" si="19"/>
        <v>-0.19564377022360013</v>
      </c>
    </row>
    <row r="53" spans="1:26" s="24" customFormat="1" hidden="1" outlineLevel="2" x14ac:dyDescent="0.25">
      <c r="A53" s="29"/>
      <c r="B53" s="11" t="str">
        <f>CONCATENATE("          ", "6115", " - ", "P.E.R.S.")</f>
        <v xml:space="preserve">          6115 - P.E.R.S.</v>
      </c>
      <c r="C53" s="11"/>
      <c r="D53" s="7">
        <v>183.4</v>
      </c>
      <c r="E53" s="2"/>
      <c r="F53" s="6">
        <f t="shared" si="12"/>
        <v>1.1222053476694966E-2</v>
      </c>
      <c r="G53" s="2"/>
      <c r="H53" s="7">
        <v>245.01909384615399</v>
      </c>
      <c r="I53" s="2"/>
      <c r="J53" s="6">
        <f t="shared" si="13"/>
        <v>1.4895683254067359E-2</v>
      </c>
      <c r="K53" s="2"/>
      <c r="L53" s="7">
        <f t="shared" si="14"/>
        <v>-61.619093846153987</v>
      </c>
      <c r="M53" s="2"/>
      <c r="N53" s="6">
        <f t="shared" si="15"/>
        <v>-0.25148690609738455</v>
      </c>
      <c r="O53" s="11"/>
      <c r="P53" s="7">
        <v>183.4</v>
      </c>
      <c r="Q53" s="2"/>
      <c r="R53" s="6">
        <f t="shared" si="16"/>
        <v>1.1222053476694966E-2</v>
      </c>
      <c r="S53" s="2"/>
      <c r="T53" s="7">
        <v>245.01909384615399</v>
      </c>
      <c r="U53" s="2"/>
      <c r="V53" s="6">
        <f t="shared" si="17"/>
        <v>1.4895683254067359E-2</v>
      </c>
      <c r="W53" s="2"/>
      <c r="X53" s="7">
        <f t="shared" si="18"/>
        <v>-61.619093846153987</v>
      </c>
      <c r="Y53" s="2"/>
      <c r="Z53" s="6">
        <f t="shared" si="19"/>
        <v>-0.25148690609738455</v>
      </c>
    </row>
    <row r="54" spans="1:26" s="24" customFormat="1" hidden="1" outlineLevel="2" x14ac:dyDescent="0.25">
      <c r="A54" s="29"/>
      <c r="B54" s="11" t="str">
        <f>CONCATENATE("          ", "6116", " - ", "EDUCATIONAL BENEFITS")</f>
        <v xml:space="preserve">          6116 - EDUCATIONAL BENEFITS</v>
      </c>
      <c r="C54" s="11"/>
      <c r="D54" s="7"/>
      <c r="E54" s="2"/>
      <c r="F54" s="6">
        <f t="shared" si="12"/>
        <v>0</v>
      </c>
      <c r="G54" s="2"/>
      <c r="H54" s="7">
        <v>0</v>
      </c>
      <c r="I54" s="2"/>
      <c r="J54" s="6">
        <f t="shared" si="13"/>
        <v>0</v>
      </c>
      <c r="K54" s="2"/>
      <c r="L54" s="7">
        <f t="shared" si="14"/>
        <v>0</v>
      </c>
      <c r="M54" s="2"/>
      <c r="N54" s="6">
        <f t="shared" si="15"/>
        <v>0</v>
      </c>
      <c r="O54" s="11"/>
      <c r="P54" s="7"/>
      <c r="Q54" s="2"/>
      <c r="R54" s="6">
        <f t="shared" si="16"/>
        <v>0</v>
      </c>
      <c r="S54" s="2"/>
      <c r="T54" s="7">
        <v>0</v>
      </c>
      <c r="U54" s="2"/>
      <c r="V54" s="6">
        <f t="shared" si="17"/>
        <v>0</v>
      </c>
      <c r="W54" s="2"/>
      <c r="X54" s="7">
        <f t="shared" si="18"/>
        <v>0</v>
      </c>
      <c r="Y54" s="2"/>
      <c r="Z54" s="6">
        <f t="shared" si="19"/>
        <v>0</v>
      </c>
    </row>
    <row r="55" spans="1:26" s="24" customFormat="1" hidden="1" outlineLevel="2" x14ac:dyDescent="0.25">
      <c r="A55" s="29"/>
      <c r="B55" s="11" t="str">
        <f>CONCATENATE("          ", "6118", " - ", "VACATION")</f>
        <v xml:space="preserve">          6118 - VACATION</v>
      </c>
      <c r="C55" s="11"/>
      <c r="D55" s="7">
        <v>313.32</v>
      </c>
      <c r="E55" s="2"/>
      <c r="F55" s="6">
        <f t="shared" si="12"/>
        <v>1.9171721893773537E-2</v>
      </c>
      <c r="G55" s="2"/>
      <c r="H55" s="7">
        <v>142.45296153846201</v>
      </c>
      <c r="I55" s="2"/>
      <c r="J55" s="6">
        <f t="shared" si="13"/>
        <v>8.6602809616670925E-3</v>
      </c>
      <c r="K55" s="2"/>
      <c r="L55" s="7">
        <f t="shared" si="14"/>
        <v>170.86703846153799</v>
      </c>
      <c r="M55" s="2"/>
      <c r="N55" s="6">
        <f t="shared" si="15"/>
        <v>1.1994628726297434</v>
      </c>
      <c r="O55" s="11"/>
      <c r="P55" s="7">
        <v>313.32</v>
      </c>
      <c r="Q55" s="2"/>
      <c r="R55" s="6">
        <f t="shared" si="16"/>
        <v>1.9171721893773537E-2</v>
      </c>
      <c r="S55" s="2"/>
      <c r="T55" s="7">
        <v>142.45296153846201</v>
      </c>
      <c r="U55" s="2"/>
      <c r="V55" s="6">
        <f t="shared" si="17"/>
        <v>8.6602809616670925E-3</v>
      </c>
      <c r="W55" s="2"/>
      <c r="X55" s="7">
        <f t="shared" si="18"/>
        <v>170.86703846153799</v>
      </c>
      <c r="Y55" s="2"/>
      <c r="Z55" s="6">
        <f t="shared" si="19"/>
        <v>1.1994628726297434</v>
      </c>
    </row>
    <row r="56" spans="1:26" s="24" customFormat="1" hidden="1" outlineLevel="2" x14ac:dyDescent="0.25">
      <c r="A56" s="29"/>
      <c r="B56" s="11" t="str">
        <f>CONCATENATE("          ", "6119", " - ", "SICK LEAVE")</f>
        <v xml:space="preserve">          6119 - SICK LEAVE</v>
      </c>
      <c r="C56" s="11"/>
      <c r="D56" s="7">
        <v>328.62</v>
      </c>
      <c r="E56" s="2"/>
      <c r="F56" s="6">
        <f t="shared" si="12"/>
        <v>2.010791283266903E-2</v>
      </c>
      <c r="G56" s="2"/>
      <c r="H56" s="7">
        <v>134.109276923077</v>
      </c>
      <c r="I56" s="2"/>
      <c r="J56" s="6">
        <f t="shared" si="13"/>
        <v>8.1530352558257038E-3</v>
      </c>
      <c r="K56" s="2"/>
      <c r="L56" s="7">
        <f t="shared" si="14"/>
        <v>194.510723076923</v>
      </c>
      <c r="M56" s="2"/>
      <c r="N56" s="6">
        <f t="shared" si="15"/>
        <v>1.4503897682521345</v>
      </c>
      <c r="O56" s="11"/>
      <c r="P56" s="7">
        <v>328.62</v>
      </c>
      <c r="Q56" s="2"/>
      <c r="R56" s="6">
        <f t="shared" si="16"/>
        <v>2.010791283266903E-2</v>
      </c>
      <c r="S56" s="2"/>
      <c r="T56" s="7">
        <v>134.109276923077</v>
      </c>
      <c r="U56" s="2"/>
      <c r="V56" s="6">
        <f t="shared" si="17"/>
        <v>8.1530352558257038E-3</v>
      </c>
      <c r="W56" s="2"/>
      <c r="X56" s="7">
        <f t="shared" si="18"/>
        <v>194.510723076923</v>
      </c>
      <c r="Y56" s="2"/>
      <c r="Z56" s="6">
        <f t="shared" si="19"/>
        <v>1.4503897682521345</v>
      </c>
    </row>
    <row r="57" spans="1:26" s="27" customFormat="1" outlineLevel="1" collapsed="1" x14ac:dyDescent="0.25">
      <c r="A57" s="28"/>
      <c r="B57" s="14" t="str">
        <f>CONCATENATE("     ","*Payroll                                          ")</f>
        <v xml:space="preserve">     *Payroll                                          </v>
      </c>
      <c r="C57" s="14"/>
      <c r="D57" s="1">
        <f>SUM(OSRRefD22_1x_0)</f>
        <v>7505.79</v>
      </c>
      <c r="E57" s="1"/>
      <c r="F57" s="5">
        <f t="shared" ref="F57:F67" si="20">IF(D$12=0,0,D57/D$12)</f>
        <v>0.4592714109315284</v>
      </c>
      <c r="G57" s="1"/>
      <c r="H57" s="1">
        <f>SUM(OSRRefH22_1x_0)</f>
        <v>7484.8844923076904</v>
      </c>
      <c r="I57" s="1"/>
      <c r="J57" s="5">
        <f t="shared" ref="J57:J67" si="21">IF(H$12=0,0,H57/H$12)</f>
        <v>0.45503583757721994</v>
      </c>
      <c r="K57" s="1"/>
      <c r="L57" s="1">
        <f t="shared" ref="L57:L67" si="22">+D57-H57</f>
        <v>20.905507692309584</v>
      </c>
      <c r="M57" s="1"/>
      <c r="N57" s="5">
        <f t="shared" ref="N57:N67" si="23">IF(H57=0,0,L57/H57)</f>
        <v>2.7930301013722302E-3</v>
      </c>
      <c r="O57" s="14"/>
      <c r="P57" s="1">
        <f>SUM(OSRRefP22_1x_0)</f>
        <v>7505.79</v>
      </c>
      <c r="Q57" s="1"/>
      <c r="R57" s="5">
        <f t="shared" ref="R57:R67" si="24">IF(P$12=0,0,P57/P$12)</f>
        <v>0.4592714109315284</v>
      </c>
      <c r="S57" s="1"/>
      <c r="T57" s="1">
        <f>SUM(OSRRefT22_1x_0)</f>
        <v>7484.8844923076904</v>
      </c>
      <c r="U57" s="1"/>
      <c r="V57" s="5">
        <f t="shared" ref="V57:V67" si="25">IF(T$12=0,0,T57/T$12)</f>
        <v>0.45503583757721994</v>
      </c>
      <c r="W57" s="1"/>
      <c r="X57" s="1">
        <f t="shared" ref="X57:X67" si="26">+P57-T57</f>
        <v>20.905507692309584</v>
      </c>
      <c r="Y57" s="1"/>
      <c r="Z57" s="5">
        <f t="shared" ref="Z57:Z67" si="27">IF(T57=0,0,X57/T57)</f>
        <v>2.7930301013722302E-3</v>
      </c>
    </row>
    <row r="58" spans="1:26" s="24" customFormat="1" hidden="1" outlineLevel="2" x14ac:dyDescent="0.25">
      <c r="A58" s="29"/>
      <c r="B58" s="11" t="str">
        <f>CONCATENATE("          ", "6001", " - ", "ADMINISTRATIVE SALARIES")</f>
        <v xml:space="preserve">          6001 - ADMINISTRATIVE SALARIES</v>
      </c>
      <c r="C58" s="11"/>
      <c r="D58" s="7"/>
      <c r="E58" s="2"/>
      <c r="F58" s="6">
        <f t="shared" si="20"/>
        <v>0</v>
      </c>
      <c r="G58" s="2"/>
      <c r="H58" s="7">
        <v>2621.1344923076899</v>
      </c>
      <c r="I58" s="2"/>
      <c r="J58" s="6">
        <f t="shared" si="21"/>
        <v>0.15934916969467383</v>
      </c>
      <c r="K58" s="2"/>
      <c r="L58" s="7">
        <f t="shared" si="22"/>
        <v>-2621.1344923076899</v>
      </c>
      <c r="M58" s="2"/>
      <c r="N58" s="6">
        <f t="shared" si="23"/>
        <v>-1</v>
      </c>
      <c r="O58" s="11"/>
      <c r="P58" s="7"/>
      <c r="Q58" s="2"/>
      <c r="R58" s="6">
        <f t="shared" si="24"/>
        <v>0</v>
      </c>
      <c r="S58" s="2"/>
      <c r="T58" s="7">
        <v>2621.1344923076899</v>
      </c>
      <c r="U58" s="2"/>
      <c r="V58" s="6">
        <f t="shared" si="25"/>
        <v>0.15934916969467383</v>
      </c>
      <c r="W58" s="2"/>
      <c r="X58" s="7">
        <f t="shared" si="26"/>
        <v>-2621.1344923076899</v>
      </c>
      <c r="Y58" s="2"/>
      <c r="Z58" s="6">
        <f t="shared" si="27"/>
        <v>-1</v>
      </c>
    </row>
    <row r="59" spans="1:26" s="24" customFormat="1" hidden="1" outlineLevel="2" x14ac:dyDescent="0.25">
      <c r="A59" s="29"/>
      <c r="B59" s="11" t="str">
        <f>CONCATENATE("          ", "6002", " - ", "STAFF SALARIES")</f>
        <v xml:space="preserve">          6002 - STAFF SALARIES</v>
      </c>
      <c r="C59" s="11"/>
      <c r="D59" s="7">
        <v>3150.41</v>
      </c>
      <c r="E59" s="2"/>
      <c r="F59" s="6">
        <f t="shared" si="20"/>
        <v>0.19277028077161715</v>
      </c>
      <c r="G59" s="2"/>
      <c r="H59" s="7">
        <v>0</v>
      </c>
      <c r="I59" s="2"/>
      <c r="J59" s="6">
        <f t="shared" si="21"/>
        <v>0</v>
      </c>
      <c r="K59" s="2"/>
      <c r="L59" s="7">
        <f t="shared" si="22"/>
        <v>3150.41</v>
      </c>
      <c r="M59" s="2"/>
      <c r="N59" s="6">
        <f t="shared" si="23"/>
        <v>0</v>
      </c>
      <c r="O59" s="11"/>
      <c r="P59" s="7">
        <v>3150.41</v>
      </c>
      <c r="Q59" s="2"/>
      <c r="R59" s="6">
        <f t="shared" si="24"/>
        <v>0.19277028077161715</v>
      </c>
      <c r="S59" s="2"/>
      <c r="T59" s="7">
        <v>0</v>
      </c>
      <c r="U59" s="2"/>
      <c r="V59" s="6">
        <f t="shared" si="25"/>
        <v>0</v>
      </c>
      <c r="W59" s="2"/>
      <c r="X59" s="7">
        <f t="shared" si="26"/>
        <v>3150.41</v>
      </c>
      <c r="Y59" s="2"/>
      <c r="Z59" s="6">
        <f t="shared" si="27"/>
        <v>0</v>
      </c>
    </row>
    <row r="60" spans="1:26" s="24" customFormat="1" hidden="1" outlineLevel="2" x14ac:dyDescent="0.25">
      <c r="A60" s="29"/>
      <c r="B60" s="11" t="str">
        <f>CONCATENATE("          ", "6003", " - ", "STAFF HOURLY-9 MONTH")</f>
        <v xml:space="preserve">          6003 - STAFF HOURLY-9 MONTH</v>
      </c>
      <c r="C60" s="11"/>
      <c r="D60" s="7"/>
      <c r="E60" s="2"/>
      <c r="F60" s="6">
        <f t="shared" si="20"/>
        <v>0</v>
      </c>
      <c r="G60" s="2"/>
      <c r="H60" s="7">
        <v>0</v>
      </c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/>
      <c r="Q60" s="2"/>
      <c r="R60" s="6">
        <f t="shared" si="24"/>
        <v>0</v>
      </c>
      <c r="S60" s="2"/>
      <c r="T60" s="7">
        <v>0</v>
      </c>
      <c r="U60" s="2"/>
      <c r="V60" s="6">
        <f t="shared" si="25"/>
        <v>0</v>
      </c>
      <c r="W60" s="2"/>
      <c r="X60" s="7">
        <f t="shared" si="26"/>
        <v>0</v>
      </c>
      <c r="Y60" s="2"/>
      <c r="Z60" s="6">
        <f t="shared" si="27"/>
        <v>0</v>
      </c>
    </row>
    <row r="61" spans="1:26" s="24" customFormat="1" hidden="1" outlineLevel="2" x14ac:dyDescent="0.25">
      <c r="A61" s="29"/>
      <c r="B61" s="11" t="str">
        <f>CONCATENATE("          ", "6004", " - ", "STAFF HOURLY")</f>
        <v xml:space="preserve">          6004 - STAFF HOURLY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4" customFormat="1" hidden="1" outlineLevel="2" x14ac:dyDescent="0.25">
      <c r="A62" s="29"/>
      <c r="B62" s="11" t="str">
        <f>CONCATENATE("          ", "6005", " - ", "TEMPORARY WAGES-HOURLY")</f>
        <v xml:space="preserve">          6005 - TEMPORARY WAGES-HOURLY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25">
      <c r="A63" s="29"/>
      <c r="B63" s="11" t="str">
        <f>CONCATENATE("          ", "6006", " - ", "TEMPORARY PART TIME")</f>
        <v xml:space="preserve">          6006 - TEMPORARY PART TIME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4" customFormat="1" hidden="1" outlineLevel="2" x14ac:dyDescent="0.25">
      <c r="A64" s="29"/>
      <c r="B64" s="11" t="str">
        <f>CONCATENATE("          ", "6007", " - ", "STUDENT HOURLY")</f>
        <v xml:space="preserve">          6007 - STUDENT HOURLY</v>
      </c>
      <c r="C64" s="11"/>
      <c r="D64" s="7">
        <v>4355.38</v>
      </c>
      <c r="E64" s="2"/>
      <c r="F64" s="6">
        <f t="shared" si="20"/>
        <v>0.26650113015991123</v>
      </c>
      <c r="G64" s="2"/>
      <c r="H64" s="7">
        <v>4863.75</v>
      </c>
      <c r="I64" s="2"/>
      <c r="J64" s="6">
        <f t="shared" si="21"/>
        <v>0.29568666788254605</v>
      </c>
      <c r="K64" s="2"/>
      <c r="L64" s="7">
        <f t="shared" si="22"/>
        <v>-508.36999999999989</v>
      </c>
      <c r="M64" s="2"/>
      <c r="N64" s="6">
        <f t="shared" si="23"/>
        <v>-0.10452223078900023</v>
      </c>
      <c r="O64" s="11"/>
      <c r="P64" s="7">
        <v>4355.38</v>
      </c>
      <c r="Q64" s="2"/>
      <c r="R64" s="6">
        <f t="shared" si="24"/>
        <v>0.26650113015991123</v>
      </c>
      <c r="S64" s="2"/>
      <c r="T64" s="7">
        <v>4863.75</v>
      </c>
      <c r="U64" s="2"/>
      <c r="V64" s="6">
        <f t="shared" si="25"/>
        <v>0.29568666788254605</v>
      </c>
      <c r="W64" s="2"/>
      <c r="X64" s="7">
        <f t="shared" si="26"/>
        <v>-508.36999999999989</v>
      </c>
      <c r="Y64" s="2"/>
      <c r="Z64" s="6">
        <f t="shared" si="27"/>
        <v>-0.10452223078900023</v>
      </c>
    </row>
    <row r="65" spans="1:26" s="24" customFormat="1" hidden="1" outlineLevel="2" x14ac:dyDescent="0.25">
      <c r="A65" s="29"/>
      <c r="B65" s="11" t="str">
        <f>CONCATENATE("          ", "6008", " - ", "STUDENT HOURLY-FICA EXEMPT")</f>
        <v xml:space="preserve">          6008 - STUDENT HOURLY-FICA EXEMPT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4" customFormat="1" hidden="1" outlineLevel="2" x14ac:dyDescent="0.25">
      <c r="A66" s="29"/>
      <c r="B66" s="11" t="str">
        <f>CONCATENATE("          ", "6009", " - ", "TEMPORARY-SEASONAL")</f>
        <v xml:space="preserve">          6009 - TEMPORARY-SEASONAL</v>
      </c>
      <c r="C66" s="11"/>
      <c r="D66" s="7"/>
      <c r="E66" s="2"/>
      <c r="F66" s="6">
        <f t="shared" si="20"/>
        <v>0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0</v>
      </c>
      <c r="M66" s="2"/>
      <c r="N66" s="6">
        <f t="shared" si="23"/>
        <v>0</v>
      </c>
      <c r="O66" s="11"/>
      <c r="P66" s="7"/>
      <c r="Q66" s="2"/>
      <c r="R66" s="6">
        <f t="shared" si="24"/>
        <v>0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0</v>
      </c>
      <c r="Y66" s="2"/>
      <c r="Z66" s="6">
        <f t="shared" si="27"/>
        <v>0</v>
      </c>
    </row>
    <row r="67" spans="1:26" s="24" customFormat="1" hidden="1" outlineLevel="2" x14ac:dyDescent="0.25">
      <c r="A67" s="29"/>
      <c r="B67" s="11" t="str">
        <f>CONCATENATE("          ", "6010", " - ", "GRATUITY")</f>
        <v xml:space="preserve">          6010 - GRATUITY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/>
      <c r="Q67" s="2"/>
      <c r="R67" s="6">
        <f t="shared" si="24"/>
        <v>0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0</v>
      </c>
      <c r="Y67" s="2"/>
      <c r="Z67" s="6">
        <f t="shared" si="27"/>
        <v>0</v>
      </c>
    </row>
    <row r="68" spans="1:26" s="27" customFormat="1" outlineLevel="1" collapsed="1" x14ac:dyDescent="0.25">
      <c r="A68" s="28"/>
      <c r="B68" s="14" t="str">
        <f>CONCATENATE("     ","Advertising/Promo                                 ")</f>
        <v xml:space="preserve">     Advertising/Promo                                 </v>
      </c>
      <c r="C68" s="14"/>
      <c r="D68" s="1">
        <f>SUM(OSRRefD22_2x_0)</f>
        <v>0</v>
      </c>
      <c r="E68" s="1"/>
      <c r="F68" s="5">
        <f t="shared" ref="F68:F75" si="28">IF(D$12=0,0,D68/D$12)</f>
        <v>0</v>
      </c>
      <c r="G68" s="1"/>
      <c r="H68" s="1">
        <f>SUM(OSRRefH22_2x_0)</f>
        <v>80</v>
      </c>
      <c r="I68" s="1"/>
      <c r="J68" s="5">
        <f t="shared" ref="J68:J75" si="29">IF(H$12=0,0,H68/H$12)</f>
        <v>4.863517539060125E-3</v>
      </c>
      <c r="K68" s="1"/>
      <c r="L68" s="1">
        <f t="shared" ref="L68:L75" si="30">+D68-H68</f>
        <v>-80</v>
      </c>
      <c r="M68" s="1"/>
      <c r="N68" s="5">
        <f t="shared" ref="N68:N75" si="31">IF(H68=0,0,L68/H68)</f>
        <v>-1</v>
      </c>
      <c r="O68" s="14"/>
      <c r="P68" s="1">
        <f>SUM(OSRRefP22_2x_0)</f>
        <v>0</v>
      </c>
      <c r="Q68" s="1"/>
      <c r="R68" s="5">
        <f t="shared" ref="R68:R75" si="32">IF(P$12=0,0,P68/P$12)</f>
        <v>0</v>
      </c>
      <c r="S68" s="1"/>
      <c r="T68" s="1">
        <f>SUM(OSRRefT22_2x_0)</f>
        <v>80</v>
      </c>
      <c r="U68" s="1"/>
      <c r="V68" s="5">
        <f t="shared" ref="V68:V75" si="33">IF(T$12=0,0,T68/T$12)</f>
        <v>4.863517539060125E-3</v>
      </c>
      <c r="W68" s="1"/>
      <c r="X68" s="1">
        <f t="shared" ref="X68:X75" si="34">+P68-T68</f>
        <v>-80</v>
      </c>
      <c r="Y68" s="1"/>
      <c r="Z68" s="5">
        <f t="shared" ref="Z68:Z75" si="35">IF(T68=0,0,X68/T68)</f>
        <v>-1</v>
      </c>
    </row>
    <row r="69" spans="1:26" s="24" customFormat="1" hidden="1" outlineLevel="2" x14ac:dyDescent="0.25">
      <c r="A69" s="29"/>
      <c r="B69" s="11" t="str">
        <f>CONCATENATE("          ", "6362", " - ", "ADVERTISING EXPENSE")</f>
        <v xml:space="preserve">          6362 - ADVERTISING EXPENSE</v>
      </c>
      <c r="C69" s="11"/>
      <c r="D69" s="7"/>
      <c r="E69" s="2"/>
      <c r="F69" s="6">
        <f t="shared" si="28"/>
        <v>0</v>
      </c>
      <c r="G69" s="2"/>
      <c r="H69" s="7">
        <v>80</v>
      </c>
      <c r="I69" s="2"/>
      <c r="J69" s="6">
        <f t="shared" si="29"/>
        <v>4.863517539060125E-3</v>
      </c>
      <c r="K69" s="2"/>
      <c r="L69" s="7">
        <f t="shared" si="30"/>
        <v>-80</v>
      </c>
      <c r="M69" s="2"/>
      <c r="N69" s="6">
        <f t="shared" si="31"/>
        <v>-1</v>
      </c>
      <c r="O69" s="11"/>
      <c r="P69" s="7"/>
      <c r="Q69" s="2"/>
      <c r="R69" s="6">
        <f t="shared" si="32"/>
        <v>0</v>
      </c>
      <c r="S69" s="2"/>
      <c r="T69" s="7">
        <v>80</v>
      </c>
      <c r="U69" s="2"/>
      <c r="V69" s="6">
        <f t="shared" si="33"/>
        <v>4.863517539060125E-3</v>
      </c>
      <c r="W69" s="2"/>
      <c r="X69" s="7">
        <f t="shared" si="34"/>
        <v>-80</v>
      </c>
      <c r="Y69" s="2"/>
      <c r="Z69" s="6">
        <f t="shared" si="35"/>
        <v>-1</v>
      </c>
    </row>
    <row r="70" spans="1:26" s="27" customFormat="1" outlineLevel="1" collapsed="1" x14ac:dyDescent="0.25">
      <c r="A70" s="28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SUM(OSRRefD22_3x_0)</f>
        <v>2155.11</v>
      </c>
      <c r="E70" s="1"/>
      <c r="F70" s="5">
        <f t="shared" si="28"/>
        <v>0.1318689185832066</v>
      </c>
      <c r="G70" s="1"/>
      <c r="H70" s="1">
        <f>SUM(OSRRefH22_3x_0)</f>
        <v>1250</v>
      </c>
      <c r="I70" s="1"/>
      <c r="J70" s="5">
        <f t="shared" si="29"/>
        <v>7.5992461547814458E-2</v>
      </c>
      <c r="K70" s="1"/>
      <c r="L70" s="1">
        <f t="shared" si="30"/>
        <v>905.11000000000013</v>
      </c>
      <c r="M70" s="1"/>
      <c r="N70" s="5">
        <f t="shared" si="31"/>
        <v>0.72408800000000006</v>
      </c>
      <c r="O70" s="14"/>
      <c r="P70" s="1">
        <f>SUM(OSRRefP22_3x_0)</f>
        <v>2155.11</v>
      </c>
      <c r="Q70" s="1"/>
      <c r="R70" s="5">
        <f t="shared" si="32"/>
        <v>0.1318689185832066</v>
      </c>
      <c r="S70" s="1"/>
      <c r="T70" s="1">
        <f>SUM(OSRRefT22_3x_0)</f>
        <v>1250</v>
      </c>
      <c r="U70" s="1"/>
      <c r="V70" s="5">
        <f t="shared" si="33"/>
        <v>7.5992461547814458E-2</v>
      </c>
      <c r="W70" s="1"/>
      <c r="X70" s="1">
        <f t="shared" si="34"/>
        <v>905.11000000000013</v>
      </c>
      <c r="Y70" s="1"/>
      <c r="Z70" s="5">
        <f t="shared" si="35"/>
        <v>0.72408800000000006</v>
      </c>
    </row>
    <row r="71" spans="1:26" s="24" customFormat="1" hidden="1" outlineLevel="2" x14ac:dyDescent="0.25">
      <c r="A71" s="29"/>
      <c r="B71" s="11" t="str">
        <f>CONCATENATE("          ", "6382", " - ", "DISCOUNTS/MARK DOWNS")</f>
        <v xml:space="preserve">          6382 - DISCOUNTS/MARK DOWNS</v>
      </c>
      <c r="C71" s="11"/>
      <c r="D71" s="7">
        <v>2155.11</v>
      </c>
      <c r="E71" s="2"/>
      <c r="F71" s="6">
        <f t="shared" si="28"/>
        <v>0.1318689185832066</v>
      </c>
      <c r="G71" s="2"/>
      <c r="H71" s="7">
        <v>1250</v>
      </c>
      <c r="I71" s="2"/>
      <c r="J71" s="6">
        <f t="shared" si="29"/>
        <v>7.5992461547814458E-2</v>
      </c>
      <c r="K71" s="2"/>
      <c r="L71" s="7">
        <f t="shared" si="30"/>
        <v>905.11000000000013</v>
      </c>
      <c r="M71" s="2"/>
      <c r="N71" s="6">
        <f t="shared" si="31"/>
        <v>0.72408800000000006</v>
      </c>
      <c r="O71" s="11"/>
      <c r="P71" s="7">
        <v>2155.11</v>
      </c>
      <c r="Q71" s="2"/>
      <c r="R71" s="6">
        <f t="shared" si="32"/>
        <v>0.1318689185832066</v>
      </c>
      <c r="S71" s="2"/>
      <c r="T71" s="7">
        <v>1250</v>
      </c>
      <c r="U71" s="2"/>
      <c r="V71" s="6">
        <f t="shared" si="33"/>
        <v>7.5992461547814458E-2</v>
      </c>
      <c r="W71" s="2"/>
      <c r="X71" s="7">
        <f t="shared" si="34"/>
        <v>905.11000000000013</v>
      </c>
      <c r="Y71" s="2"/>
      <c r="Z71" s="6">
        <f t="shared" si="35"/>
        <v>0.72408800000000006</v>
      </c>
    </row>
    <row r="72" spans="1:26" s="27" customFormat="1" outlineLevel="1" collapsed="1" x14ac:dyDescent="0.25">
      <c r="A72" s="28"/>
      <c r="B72" s="14" t="str">
        <f>CONCATENATE("     ","Employees' Appreciation                           ")</f>
        <v xml:space="preserve">     Employees' Appreciation                           </v>
      </c>
      <c r="C72" s="14"/>
      <c r="D72" s="1">
        <f>SUM(OSRRefD22_4x_0)</f>
        <v>0</v>
      </c>
      <c r="E72" s="1"/>
      <c r="F72" s="5">
        <f t="shared" si="28"/>
        <v>0</v>
      </c>
      <c r="G72" s="1"/>
      <c r="H72" s="1">
        <f>SUM(OSRRefH22_4x_0)</f>
        <v>25</v>
      </c>
      <c r="I72" s="1"/>
      <c r="J72" s="5">
        <f t="shared" si="29"/>
        <v>1.5198492309562892E-3</v>
      </c>
      <c r="K72" s="1"/>
      <c r="L72" s="1">
        <f t="shared" si="30"/>
        <v>-25</v>
      </c>
      <c r="M72" s="1"/>
      <c r="N72" s="5">
        <f t="shared" si="31"/>
        <v>-1</v>
      </c>
      <c r="O72" s="14"/>
      <c r="P72" s="1">
        <f>SUM(OSRRefP22_4x_0)</f>
        <v>0</v>
      </c>
      <c r="Q72" s="1"/>
      <c r="R72" s="5">
        <f t="shared" si="32"/>
        <v>0</v>
      </c>
      <c r="S72" s="1"/>
      <c r="T72" s="1">
        <f>SUM(OSRRefT22_4x_0)</f>
        <v>25</v>
      </c>
      <c r="U72" s="1"/>
      <c r="V72" s="5">
        <f t="shared" si="33"/>
        <v>1.5198492309562892E-3</v>
      </c>
      <c r="W72" s="1"/>
      <c r="X72" s="1">
        <f t="shared" si="34"/>
        <v>-25</v>
      </c>
      <c r="Y72" s="1"/>
      <c r="Z72" s="5">
        <f t="shared" si="35"/>
        <v>-1</v>
      </c>
    </row>
    <row r="73" spans="1:26" s="24" customFormat="1" hidden="1" outlineLevel="2" x14ac:dyDescent="0.25">
      <c r="A73" s="29"/>
      <c r="B73" s="11" t="str">
        <f>CONCATENATE("          ", "6277", " - ", "EMPLOYEE APPRECIATION")</f>
        <v xml:space="preserve">          6277 - EMPLOYEE APPRECIATION</v>
      </c>
      <c r="C73" s="11"/>
      <c r="D73" s="7"/>
      <c r="E73" s="2"/>
      <c r="F73" s="6">
        <f t="shared" si="28"/>
        <v>0</v>
      </c>
      <c r="G73" s="2"/>
      <c r="H73" s="7">
        <v>25</v>
      </c>
      <c r="I73" s="2"/>
      <c r="J73" s="6">
        <f t="shared" si="29"/>
        <v>1.5198492309562892E-3</v>
      </c>
      <c r="K73" s="2"/>
      <c r="L73" s="7">
        <f t="shared" si="30"/>
        <v>-25</v>
      </c>
      <c r="M73" s="2"/>
      <c r="N73" s="6">
        <f t="shared" si="31"/>
        <v>-1</v>
      </c>
      <c r="O73" s="11"/>
      <c r="P73" s="7"/>
      <c r="Q73" s="2"/>
      <c r="R73" s="6">
        <f t="shared" si="32"/>
        <v>0</v>
      </c>
      <c r="S73" s="2"/>
      <c r="T73" s="7">
        <v>25</v>
      </c>
      <c r="U73" s="2"/>
      <c r="V73" s="6">
        <f t="shared" si="33"/>
        <v>1.5198492309562892E-3</v>
      </c>
      <c r="W73" s="2"/>
      <c r="X73" s="7">
        <f t="shared" si="34"/>
        <v>-25</v>
      </c>
      <c r="Y73" s="2"/>
      <c r="Z73" s="6">
        <f t="shared" si="35"/>
        <v>-1</v>
      </c>
    </row>
    <row r="74" spans="1:26" s="27" customFormat="1" outlineLevel="1" collapsed="1" x14ac:dyDescent="0.25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SUM(OSRRefD22_5x_0)</f>
        <v>156.46</v>
      </c>
      <c r="E74" s="1"/>
      <c r="F74" s="5">
        <f t="shared" si="28"/>
        <v>9.573623156835848E-3</v>
      </c>
      <c r="G74" s="1"/>
      <c r="H74" s="1">
        <f>SUM(OSRRefH22_5x_0)</f>
        <v>75</v>
      </c>
      <c r="I74" s="1"/>
      <c r="J74" s="5">
        <f t="shared" si="29"/>
        <v>4.559547692868867E-3</v>
      </c>
      <c r="K74" s="1"/>
      <c r="L74" s="1">
        <f t="shared" si="30"/>
        <v>81.460000000000008</v>
      </c>
      <c r="M74" s="1"/>
      <c r="N74" s="5">
        <f t="shared" si="31"/>
        <v>1.0861333333333334</v>
      </c>
      <c r="O74" s="14"/>
      <c r="P74" s="1">
        <f>SUM(OSRRefP22_5x_0)</f>
        <v>156.46</v>
      </c>
      <c r="Q74" s="1"/>
      <c r="R74" s="5">
        <f t="shared" si="32"/>
        <v>9.573623156835848E-3</v>
      </c>
      <c r="S74" s="1"/>
      <c r="T74" s="1">
        <f>SUM(OSRRefT22_5x_0)</f>
        <v>75</v>
      </c>
      <c r="U74" s="1"/>
      <c r="V74" s="5">
        <f t="shared" si="33"/>
        <v>4.559547692868867E-3</v>
      </c>
      <c r="W74" s="1"/>
      <c r="X74" s="1">
        <f t="shared" si="34"/>
        <v>81.460000000000008</v>
      </c>
      <c r="Y74" s="1"/>
      <c r="Z74" s="5">
        <f t="shared" si="35"/>
        <v>1.0861333333333334</v>
      </c>
    </row>
    <row r="75" spans="1:26" s="24" customFormat="1" hidden="1" outlineLevel="2" x14ac:dyDescent="0.25">
      <c r="A75" s="29"/>
      <c r="B75" s="11" t="str">
        <f>CONCATENATE("          ", "6241", " - ", "OFFICE EXPENSE")</f>
        <v xml:space="preserve">          6241 - OFFICE EXPENSE</v>
      </c>
      <c r="C75" s="11"/>
      <c r="D75" s="7">
        <v>156.46</v>
      </c>
      <c r="E75" s="2"/>
      <c r="F75" s="6">
        <f t="shared" si="28"/>
        <v>9.573623156835848E-3</v>
      </c>
      <c r="G75" s="2"/>
      <c r="H75" s="7">
        <v>75</v>
      </c>
      <c r="I75" s="2"/>
      <c r="J75" s="6">
        <f t="shared" si="29"/>
        <v>4.559547692868867E-3</v>
      </c>
      <c r="K75" s="2"/>
      <c r="L75" s="7">
        <f t="shared" si="30"/>
        <v>81.460000000000008</v>
      </c>
      <c r="M75" s="2"/>
      <c r="N75" s="6">
        <f t="shared" si="31"/>
        <v>1.0861333333333334</v>
      </c>
      <c r="O75" s="11"/>
      <c r="P75" s="7">
        <v>156.46</v>
      </c>
      <c r="Q75" s="2"/>
      <c r="R75" s="6">
        <f t="shared" si="32"/>
        <v>9.573623156835848E-3</v>
      </c>
      <c r="S75" s="2"/>
      <c r="T75" s="7">
        <v>75</v>
      </c>
      <c r="U75" s="2"/>
      <c r="V75" s="6">
        <f t="shared" si="33"/>
        <v>4.559547692868867E-3</v>
      </c>
      <c r="W75" s="2"/>
      <c r="X75" s="7">
        <f t="shared" si="34"/>
        <v>81.460000000000008</v>
      </c>
      <c r="Y75" s="2"/>
      <c r="Z75" s="6">
        <f t="shared" si="35"/>
        <v>1.0861333333333334</v>
      </c>
    </row>
    <row r="76" spans="1:26" s="57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5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6" t="s">
        <v>3</v>
      </c>
      <c r="C79" s="26"/>
      <c r="D79" s="21">
        <f>+D45-D47+D77</f>
        <v>-3981.5199999999932</v>
      </c>
      <c r="E79" s="13"/>
      <c r="F79" s="19">
        <f>IF(D$12=0,0,D79/D$12)</f>
        <v>-0.24362502921772336</v>
      </c>
      <c r="G79" s="13"/>
      <c r="H79" s="21">
        <f>+H45-H47+H77</f>
        <v>-2924.1237944307668</v>
      </c>
      <c r="I79" s="13"/>
      <c r="J79" s="19">
        <f>IF(H$12=0,0,H79/H$12)</f>
        <v>-0.17776909200746349</v>
      </c>
      <c r="K79" s="15"/>
      <c r="L79" s="21">
        <f>+D79-H79</f>
        <v>-1057.3962055692264</v>
      </c>
      <c r="M79" s="15"/>
      <c r="N79" s="19">
        <f>IF(H79=0,0,L79/H79)</f>
        <v>0.36161129962524979</v>
      </c>
      <c r="O79" s="25"/>
      <c r="P79" s="21">
        <f>+P45-P47+P77</f>
        <v>-3981.5199999999932</v>
      </c>
      <c r="Q79" s="13"/>
      <c r="R79" s="19">
        <f>IF(P$12=0,0,P79/P$12)</f>
        <v>-0.24362502921772336</v>
      </c>
      <c r="S79" s="13"/>
      <c r="T79" s="21">
        <f>+T45-T47+T77</f>
        <v>-2924.1237944307668</v>
      </c>
      <c r="U79" s="13"/>
      <c r="V79" s="19">
        <f>IF(T$12=0,0,T79/T$12)</f>
        <v>-0.17776909200746349</v>
      </c>
      <c r="W79" s="15"/>
      <c r="X79" s="21">
        <f>+P79-T79</f>
        <v>-1057.3962055692264</v>
      </c>
      <c r="Y79" s="15"/>
      <c r="Z79" s="19">
        <f>IF(T79=0,0,X79/T79)</f>
        <v>0.36161129962524979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3398.15</v>
      </c>
      <c r="E81" s="4"/>
      <c r="F81" s="12">
        <f>IF(D$12=0,0,D81/D$12)</f>
        <v>0.20792923130769356</v>
      </c>
      <c r="G81" s="4"/>
      <c r="H81" s="4">
        <v>4009</v>
      </c>
      <c r="I81" s="4"/>
      <c r="J81" s="12">
        <f>IF(H$12=0,0,H81/H$12)</f>
        <v>0.24372302267615054</v>
      </c>
      <c r="K81" s="4"/>
      <c r="L81" s="4">
        <f>+D81-H81</f>
        <v>-610.84999999999991</v>
      </c>
      <c r="M81" s="4"/>
      <c r="N81" s="12">
        <f>IF(H81=0,0,L81/H81)</f>
        <v>-0.15236966824644549</v>
      </c>
      <c r="O81" s="10"/>
      <c r="P81" s="4">
        <v>3398.15</v>
      </c>
      <c r="Q81" s="4"/>
      <c r="R81" s="12">
        <f>IF(P$12=0,0,P81/P$12)</f>
        <v>0.20792923130769356</v>
      </c>
      <c r="S81" s="4"/>
      <c r="T81" s="4">
        <v>4009</v>
      </c>
      <c r="U81" s="4"/>
      <c r="V81" s="12">
        <f>IF(T$12=0,0,T81/T$12)</f>
        <v>0.24372302267615054</v>
      </c>
      <c r="W81" s="4"/>
      <c r="X81" s="4">
        <f>+P81-T81</f>
        <v>-610.84999999999991</v>
      </c>
      <c r="Y81" s="4"/>
      <c r="Z81" s="12">
        <f>IF(T81=0,0,X81/T81)</f>
        <v>-0.15236966824644549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4</v>
      </c>
      <c r="C83" s="26"/>
      <c r="D83" s="32">
        <f>+D79-D81</f>
        <v>-7379.6699999999928</v>
      </c>
      <c r="E83" s="13"/>
      <c r="F83" s="31">
        <f>IF(D$12=0,0,D83/D$12)</f>
        <v>-0.45155426052541692</v>
      </c>
      <c r="G83" s="13"/>
      <c r="H83" s="32">
        <f>+H79-H81</f>
        <v>-6933.1237944307668</v>
      </c>
      <c r="I83" s="13"/>
      <c r="J83" s="31">
        <f>IF(H$12=0,0,H83/H$12)</f>
        <v>-0.42149211468361403</v>
      </c>
      <c r="K83" s="15"/>
      <c r="L83" s="32">
        <f>D83-H83</f>
        <v>-446.546205569226</v>
      </c>
      <c r="M83" s="15"/>
      <c r="N83" s="31">
        <f>IF(H83=0,0,L83/H83)</f>
        <v>6.4407649251543325E-2</v>
      </c>
      <c r="O83" s="25"/>
      <c r="P83" s="32">
        <f>+P79-P81</f>
        <v>-7379.6699999999928</v>
      </c>
      <c r="Q83" s="13"/>
      <c r="R83" s="31">
        <f>IF(P$12=0,0,P83/P$12)</f>
        <v>-0.45155426052541692</v>
      </c>
      <c r="S83" s="13"/>
      <c r="T83" s="32">
        <f>+T79-T81</f>
        <v>-6933.1237944307668</v>
      </c>
      <c r="U83" s="13"/>
      <c r="V83" s="31">
        <f>IF(T$12=0,0,T83/T$12)</f>
        <v>-0.42149211468361403</v>
      </c>
      <c r="W83" s="15"/>
      <c r="X83" s="32">
        <f>P83-T83</f>
        <v>-446.546205569226</v>
      </c>
      <c r="Y83" s="15"/>
      <c r="Z83" s="31">
        <f>IF(T83=0,0,X83/T83)</f>
        <v>6.4407649251543325E-2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5</v>
      </c>
      <c r="C86" s="26"/>
      <c r="D86" s="33">
        <f>SUM(D83:D85)</f>
        <v>-7379.6699999999928</v>
      </c>
      <c r="E86" s="13"/>
      <c r="F86" s="34">
        <f>IF(D$12=0,0,D86/D$12)</f>
        <v>-0.45155426052541692</v>
      </c>
      <c r="G86" s="13"/>
      <c r="H86" s="33">
        <f>SUM(H83:H85)</f>
        <v>-6933.1237944307668</v>
      </c>
      <c r="I86" s="13"/>
      <c r="J86" s="34">
        <f>IF(H$12=0,0,H86/H$12)</f>
        <v>-0.42149211468361403</v>
      </c>
      <c r="K86" s="15"/>
      <c r="L86" s="33">
        <f>+D86-H86</f>
        <v>-446.546205569226</v>
      </c>
      <c r="M86" s="15"/>
      <c r="N86" s="34">
        <f>IF(H86=0,0,L86/H86)</f>
        <v>6.4407649251543325E-2</v>
      </c>
      <c r="O86" s="25"/>
      <c r="P86" s="33">
        <f>SUM(P83:P85)</f>
        <v>-7379.6699999999928</v>
      </c>
      <c r="Q86" s="13"/>
      <c r="R86" s="34">
        <f>IF(P$12=0,0,P86/P$12)</f>
        <v>-0.45155426052541692</v>
      </c>
      <c r="S86" s="13"/>
      <c r="T86" s="33">
        <f>SUM(T83:T85)</f>
        <v>-6933.1237944307668</v>
      </c>
      <c r="U86" s="13"/>
      <c r="V86" s="34">
        <f>IF(T$12=0,0,T86/T$12)</f>
        <v>-0.42149211468361403</v>
      </c>
      <c r="W86" s="15"/>
      <c r="X86" s="33">
        <f>+P86-T86</f>
        <v>-446.546205569226</v>
      </c>
      <c r="Y86" s="15"/>
      <c r="Z86" s="34">
        <f>IF(T86=0,0,X86/T86)</f>
        <v>6.4407649251543325E-2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61">
        <v>43726.678699768519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6" t="s">
        <v>314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53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92133.200000000012</v>
      </c>
      <c r="E12" s="4"/>
      <c r="F12" s="12"/>
      <c r="G12" s="4"/>
      <c r="H12" s="4">
        <f>SUM(OSRRefH13x_0)</f>
        <v>126825.99999999999</v>
      </c>
      <c r="I12" s="4"/>
      <c r="J12" s="12"/>
      <c r="K12" s="4"/>
      <c r="L12" s="4">
        <f t="shared" ref="L12:L30" si="0">+D12-H12</f>
        <v>-34692.799999999974</v>
      </c>
      <c r="M12" s="4"/>
      <c r="N12" s="12">
        <f t="shared" ref="N12:N30" si="1">IF(H12=0,0,L12/H12)</f>
        <v>-0.27354643369656045</v>
      </c>
      <c r="O12" s="10"/>
      <c r="P12" s="4">
        <f>SUM(OSRRefP13x_0)</f>
        <v>92133.200000000012</v>
      </c>
      <c r="Q12" s="4"/>
      <c r="R12" s="12"/>
      <c r="S12" s="4"/>
      <c r="T12" s="4">
        <f>SUM(OSRRefT13x_0)</f>
        <v>126825.99999999999</v>
      </c>
      <c r="U12" s="4"/>
      <c r="V12" s="12"/>
      <c r="W12" s="4"/>
      <c r="X12" s="4">
        <f t="shared" ref="X12:X30" si="2">+P12-T12</f>
        <v>-34692.799999999974</v>
      </c>
      <c r="Y12" s="4"/>
      <c r="Z12" s="12">
        <f t="shared" ref="Z12:Z30" si="3">IF(T12=0,0,X12/T12)</f>
        <v>-0.27354643369656045</v>
      </c>
    </row>
    <row r="13" spans="1:26" s="24" customFormat="1" hidden="1" outlineLevel="1" x14ac:dyDescent="0.25">
      <c r="A13" s="51"/>
      <c r="B13" s="11" t="str">
        <f>CONCATENATE("          ", "4001", " - ", "TAXABLE SALES-NEW TEXT")</f>
        <v xml:space="preserve">          4001 - TAXABLE SALES-NEW TEXT</v>
      </c>
      <c r="C13" s="11"/>
      <c r="D13" s="2">
        <f>--36312.25</f>
        <v>36312.25</v>
      </c>
      <c r="E13" s="2"/>
      <c r="F13" s="22"/>
      <c r="G13" s="2"/>
      <c r="H13" s="2"/>
      <c r="I13" s="2"/>
      <c r="J13" s="22"/>
      <c r="K13" s="2"/>
      <c r="L13" s="2">
        <f t="shared" si="0"/>
        <v>36312.25</v>
      </c>
      <c r="M13" s="2"/>
      <c r="N13" s="22">
        <f t="shared" si="1"/>
        <v>0</v>
      </c>
      <c r="O13" s="11"/>
      <c r="P13" s="2">
        <f>--36312.25</f>
        <v>36312.25</v>
      </c>
      <c r="Q13" s="2"/>
      <c r="R13" s="22"/>
      <c r="S13" s="2"/>
      <c r="T13" s="2"/>
      <c r="U13" s="2"/>
      <c r="V13" s="22"/>
      <c r="W13" s="2"/>
      <c r="X13" s="2">
        <f t="shared" si="2"/>
        <v>36312.25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"4002", " - ", "TAXABLE SALES-USED TEXT")</f>
        <v xml:space="preserve">          4002 - TAXABLE SALES-USED TEXT</v>
      </c>
      <c r="C14" s="11"/>
      <c r="D14" s="2">
        <f>--21794.81</f>
        <v>21794.81</v>
      </c>
      <c r="E14" s="2"/>
      <c r="F14" s="22"/>
      <c r="G14" s="2"/>
      <c r="H14" s="2"/>
      <c r="I14" s="2"/>
      <c r="J14" s="22"/>
      <c r="K14" s="2"/>
      <c r="L14" s="2">
        <f t="shared" si="0"/>
        <v>21794.81</v>
      </c>
      <c r="M14" s="2"/>
      <c r="N14" s="22">
        <f t="shared" si="1"/>
        <v>0</v>
      </c>
      <c r="O14" s="11"/>
      <c r="P14" s="2">
        <f>--21794.81</f>
        <v>21794.81</v>
      </c>
      <c r="Q14" s="2"/>
      <c r="R14" s="22"/>
      <c r="S14" s="2"/>
      <c r="T14" s="2"/>
      <c r="U14" s="2"/>
      <c r="V14" s="22"/>
      <c r="W14" s="2"/>
      <c r="X14" s="2">
        <f t="shared" si="2"/>
        <v>21794.81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"4003", " - ", "TAXABLE SALES-RENTAL TEXT")</f>
        <v xml:space="preserve">          4003 - TAXABLE SALES-RENTAL TEXT</v>
      </c>
      <c r="C15" s="11"/>
      <c r="D15" s="2">
        <f>--433.98</f>
        <v>433.98</v>
      </c>
      <c r="E15" s="2"/>
      <c r="F15" s="22"/>
      <c r="G15" s="2"/>
      <c r="H15" s="2"/>
      <c r="I15" s="2"/>
      <c r="J15" s="22"/>
      <c r="K15" s="2"/>
      <c r="L15" s="2">
        <f t="shared" si="0"/>
        <v>433.98</v>
      </c>
      <c r="M15" s="2"/>
      <c r="N15" s="22">
        <f t="shared" si="1"/>
        <v>0</v>
      </c>
      <c r="O15" s="11"/>
      <c r="P15" s="2">
        <f>--433.98</f>
        <v>433.98</v>
      </c>
      <c r="Q15" s="2"/>
      <c r="R15" s="22"/>
      <c r="S15" s="2"/>
      <c r="T15" s="2"/>
      <c r="U15" s="2"/>
      <c r="V15" s="22"/>
      <c r="W15" s="2"/>
      <c r="X15" s="2">
        <f t="shared" si="2"/>
        <v>433.98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"4004", " - ", "TAXABLE SALES-DIGITAL TEXT")</f>
        <v xml:space="preserve">          4004 - TAXABLE SALES-DIGITAL TEXT</v>
      </c>
      <c r="C16" s="11"/>
      <c r="D16" s="2">
        <f>--133.35</f>
        <v>133.35</v>
      </c>
      <c r="E16" s="2"/>
      <c r="F16" s="22"/>
      <c r="G16" s="2"/>
      <c r="H16" s="2"/>
      <c r="I16" s="2"/>
      <c r="J16" s="22"/>
      <c r="K16" s="2"/>
      <c r="L16" s="2">
        <f t="shared" si="0"/>
        <v>133.35</v>
      </c>
      <c r="M16" s="2"/>
      <c r="N16" s="22">
        <f t="shared" si="1"/>
        <v>0</v>
      </c>
      <c r="O16" s="11"/>
      <c r="P16" s="2">
        <f>--133.35</f>
        <v>133.35</v>
      </c>
      <c r="Q16" s="2"/>
      <c r="R16" s="22"/>
      <c r="S16" s="2"/>
      <c r="T16" s="2"/>
      <c r="U16" s="2"/>
      <c r="V16" s="22"/>
      <c r="W16" s="2"/>
      <c r="X16" s="2">
        <f t="shared" si="2"/>
        <v>133.35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"4013", " - ", "TAXABLE SALES-TRADE BOOKS")</f>
        <v xml:space="preserve">          4013 - TAXABLE SALES-TRADE BOOKS</v>
      </c>
      <c r="C17" s="11"/>
      <c r="D17" s="2">
        <f>--39.95</f>
        <v>39.950000000000003</v>
      </c>
      <c r="E17" s="2"/>
      <c r="F17" s="22"/>
      <c r="G17" s="2"/>
      <c r="H17" s="2"/>
      <c r="I17" s="2"/>
      <c r="J17" s="22"/>
      <c r="K17" s="2"/>
      <c r="L17" s="2">
        <f t="shared" si="0"/>
        <v>39.950000000000003</v>
      </c>
      <c r="M17" s="2"/>
      <c r="N17" s="22">
        <f t="shared" si="1"/>
        <v>0</v>
      </c>
      <c r="O17" s="11"/>
      <c r="P17" s="2">
        <f>--39.95</f>
        <v>39.950000000000003</v>
      </c>
      <c r="Q17" s="2"/>
      <c r="R17" s="22"/>
      <c r="S17" s="2"/>
      <c r="T17" s="2"/>
      <c r="U17" s="2"/>
      <c r="V17" s="22"/>
      <c r="W17" s="2"/>
      <c r="X17" s="2">
        <f t="shared" si="2"/>
        <v>39.950000000000003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"4014", " - ", "TAXABLE SALES-REMAINDERS")</f>
        <v xml:space="preserve">          4014 - TAXABLE SALES-REMAINDERS</v>
      </c>
      <c r="C18" s="11"/>
      <c r="D18" s="2">
        <f>--250.65</f>
        <v>250.65</v>
      </c>
      <c r="E18" s="2"/>
      <c r="F18" s="22"/>
      <c r="G18" s="2"/>
      <c r="H18" s="2"/>
      <c r="I18" s="2"/>
      <c r="J18" s="22"/>
      <c r="K18" s="2"/>
      <c r="L18" s="2">
        <f t="shared" si="0"/>
        <v>250.65</v>
      </c>
      <c r="M18" s="2"/>
      <c r="N18" s="22">
        <f t="shared" si="1"/>
        <v>0</v>
      </c>
      <c r="O18" s="11"/>
      <c r="P18" s="2">
        <f>--250.65</f>
        <v>250.65</v>
      </c>
      <c r="Q18" s="2"/>
      <c r="R18" s="22"/>
      <c r="S18" s="2"/>
      <c r="T18" s="2"/>
      <c r="U18" s="2"/>
      <c r="V18" s="22"/>
      <c r="W18" s="2"/>
      <c r="X18" s="2">
        <f t="shared" si="2"/>
        <v>250.65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"4018", " - ", "TAXABLE SALES-STUDY GUIDES")</f>
        <v xml:space="preserve">          4018 - TAXABLE SALES-STUDY GUIDES</v>
      </c>
      <c r="C19" s="11"/>
      <c r="D19" s="2">
        <f>--179.29</f>
        <v>179.29</v>
      </c>
      <c r="E19" s="2"/>
      <c r="F19" s="22"/>
      <c r="G19" s="2"/>
      <c r="H19" s="2"/>
      <c r="I19" s="2"/>
      <c r="J19" s="22"/>
      <c r="K19" s="2"/>
      <c r="L19" s="2">
        <f t="shared" si="0"/>
        <v>179.29</v>
      </c>
      <c r="M19" s="2"/>
      <c r="N19" s="22">
        <f t="shared" si="1"/>
        <v>0</v>
      </c>
      <c r="O19" s="11"/>
      <c r="P19" s="2">
        <f>--179.29</f>
        <v>179.29</v>
      </c>
      <c r="Q19" s="2"/>
      <c r="R19" s="22"/>
      <c r="S19" s="2"/>
      <c r="T19" s="2"/>
      <c r="U19" s="2"/>
      <c r="V19" s="22"/>
      <c r="W19" s="2"/>
      <c r="X19" s="2">
        <f t="shared" si="2"/>
        <v>179.29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>--4262.2</f>
        <v>4262.2</v>
      </c>
      <c r="E20" s="2"/>
      <c r="F20" s="22"/>
      <c r="G20" s="2"/>
      <c r="H20" s="2">
        <v>126825.99999999999</v>
      </c>
      <c r="I20" s="2"/>
      <c r="J20" s="22"/>
      <c r="K20" s="2"/>
      <c r="L20" s="2">
        <f t="shared" si="0"/>
        <v>-122563.79999999999</v>
      </c>
      <c r="M20" s="2"/>
      <c r="N20" s="22">
        <f t="shared" si="1"/>
        <v>-0.96639332628956209</v>
      </c>
      <c r="O20" s="11"/>
      <c r="P20" s="2">
        <f>--4262.2</f>
        <v>4262.2</v>
      </c>
      <c r="Q20" s="2"/>
      <c r="R20" s="22"/>
      <c r="S20" s="2"/>
      <c r="T20" s="2">
        <v>126825.99999999999</v>
      </c>
      <c r="U20" s="2"/>
      <c r="V20" s="22"/>
      <c r="W20" s="2"/>
      <c r="X20" s="2">
        <f t="shared" si="2"/>
        <v>-122563.79999999999</v>
      </c>
      <c r="Y20" s="2"/>
      <c r="Z20" s="22">
        <f t="shared" si="3"/>
        <v>-0.96639332628956209</v>
      </c>
    </row>
    <row r="21" spans="1:26" s="24" customFormat="1" hidden="1" outlineLevel="1" x14ac:dyDescent="0.25">
      <c r="A21" s="51"/>
      <c r="B21" s="11" t="str">
        <f>CONCATENATE("          ", "4101", " - ", "NON-TAXABLE SALES-NEW TEXT")</f>
        <v xml:space="preserve">          4101 - NON-TAXABLE SALES-NEW TEXT</v>
      </c>
      <c r="C21" s="11"/>
      <c r="D21" s="2">
        <f>--7736.58</f>
        <v>7736.58</v>
      </c>
      <c r="E21" s="2"/>
      <c r="F21" s="22"/>
      <c r="G21" s="2"/>
      <c r="H21" s="2"/>
      <c r="I21" s="2"/>
      <c r="J21" s="22"/>
      <c r="K21" s="2"/>
      <c r="L21" s="2">
        <f t="shared" si="0"/>
        <v>7736.58</v>
      </c>
      <c r="M21" s="2"/>
      <c r="N21" s="22">
        <f t="shared" si="1"/>
        <v>0</v>
      </c>
      <c r="O21" s="11"/>
      <c r="P21" s="2">
        <f>--7736.58</f>
        <v>7736.58</v>
      </c>
      <c r="Q21" s="2"/>
      <c r="R21" s="22"/>
      <c r="S21" s="2"/>
      <c r="T21" s="2"/>
      <c r="U21" s="2"/>
      <c r="V21" s="22"/>
      <c r="W21" s="2"/>
      <c r="X21" s="2">
        <f t="shared" si="2"/>
        <v>7736.58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"4102", " - ", "NON-TAXABLE SALES-USED TEXT")</f>
        <v xml:space="preserve">          4102 - NON-TAXABLE SALES-USED TEXT</v>
      </c>
      <c r="C22" s="11"/>
      <c r="D22" s="2">
        <f>--5359.24</f>
        <v>5359.24</v>
      </c>
      <c r="E22" s="2"/>
      <c r="F22" s="22"/>
      <c r="G22" s="2"/>
      <c r="H22" s="2"/>
      <c r="I22" s="2"/>
      <c r="J22" s="22"/>
      <c r="K22" s="2"/>
      <c r="L22" s="2">
        <f t="shared" si="0"/>
        <v>5359.24</v>
      </c>
      <c r="M22" s="2"/>
      <c r="N22" s="22">
        <f t="shared" si="1"/>
        <v>0</v>
      </c>
      <c r="O22" s="11"/>
      <c r="P22" s="2">
        <f>--5359.24</f>
        <v>5359.24</v>
      </c>
      <c r="Q22" s="2"/>
      <c r="R22" s="22"/>
      <c r="S22" s="2"/>
      <c r="T22" s="2"/>
      <c r="U22" s="2"/>
      <c r="V22" s="22"/>
      <c r="W22" s="2"/>
      <c r="X22" s="2">
        <f t="shared" si="2"/>
        <v>5359.24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"4104", " - ", "NON-TAXABLE SALES-DIGITAL TEXT")</f>
        <v xml:space="preserve">          4104 - NON-TAXABLE SALES-DIGITAL TEXT</v>
      </c>
      <c r="C23" s="11"/>
      <c r="D23" s="2">
        <f>--13424.17</f>
        <v>13424.17</v>
      </c>
      <c r="E23" s="2"/>
      <c r="F23" s="22"/>
      <c r="G23" s="2"/>
      <c r="H23" s="2"/>
      <c r="I23" s="2"/>
      <c r="J23" s="22"/>
      <c r="K23" s="2"/>
      <c r="L23" s="2">
        <f t="shared" si="0"/>
        <v>13424.17</v>
      </c>
      <c r="M23" s="2"/>
      <c r="N23" s="22">
        <f t="shared" si="1"/>
        <v>0</v>
      </c>
      <c r="O23" s="11"/>
      <c r="P23" s="2">
        <f>--13424.17</f>
        <v>13424.17</v>
      </c>
      <c r="Q23" s="2"/>
      <c r="R23" s="22"/>
      <c r="S23" s="2"/>
      <c r="T23" s="2"/>
      <c r="U23" s="2"/>
      <c r="V23" s="22"/>
      <c r="W23" s="2"/>
      <c r="X23" s="2">
        <f t="shared" si="2"/>
        <v>13424.17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"4111", " - ", "NON-TAXABLE SALES-NO VALUE TEX")</f>
        <v xml:space="preserve">          4111 - NON-TAXABLE SALES-NO VALUE TEX</v>
      </c>
      <c r="C24" s="11"/>
      <c r="D24" s="2">
        <f>--2680.95</f>
        <v>2680.95</v>
      </c>
      <c r="E24" s="2"/>
      <c r="F24" s="22"/>
      <c r="G24" s="2"/>
      <c r="H24" s="2"/>
      <c r="I24" s="2"/>
      <c r="J24" s="22"/>
      <c r="K24" s="2"/>
      <c r="L24" s="2">
        <f t="shared" si="0"/>
        <v>2680.95</v>
      </c>
      <c r="M24" s="2"/>
      <c r="N24" s="22">
        <f t="shared" si="1"/>
        <v>0</v>
      </c>
      <c r="O24" s="11"/>
      <c r="P24" s="2">
        <f>--2680.95</f>
        <v>2680.95</v>
      </c>
      <c r="Q24" s="2"/>
      <c r="R24" s="22"/>
      <c r="S24" s="2"/>
      <c r="T24" s="2"/>
      <c r="U24" s="2"/>
      <c r="V24" s="22"/>
      <c r="W24" s="2"/>
      <c r="X24" s="2">
        <f t="shared" si="2"/>
        <v>2680.95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--1134</f>
        <v>1134</v>
      </c>
      <c r="E25" s="2"/>
      <c r="F25" s="22"/>
      <c r="G25" s="2"/>
      <c r="H25" s="2"/>
      <c r="I25" s="2"/>
      <c r="J25" s="22"/>
      <c r="K25" s="2"/>
      <c r="L25" s="2">
        <f t="shared" si="0"/>
        <v>1134</v>
      </c>
      <c r="M25" s="2"/>
      <c r="N25" s="22">
        <f t="shared" si="1"/>
        <v>0</v>
      </c>
      <c r="O25" s="11"/>
      <c r="P25" s="2">
        <f>--1134</f>
        <v>1134</v>
      </c>
      <c r="Q25" s="2"/>
      <c r="R25" s="22"/>
      <c r="S25" s="2"/>
      <c r="T25" s="2"/>
      <c r="U25" s="2"/>
      <c r="V25" s="22"/>
      <c r="W25" s="2"/>
      <c r="X25" s="2">
        <f t="shared" si="2"/>
        <v>1134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--6.95</f>
        <v>6.95</v>
      </c>
      <c r="E26" s="2"/>
      <c r="F26" s="22"/>
      <c r="G26" s="2"/>
      <c r="H26" s="2"/>
      <c r="I26" s="2"/>
      <c r="J26" s="22"/>
      <c r="K26" s="2"/>
      <c r="L26" s="2">
        <f t="shared" si="0"/>
        <v>6.95</v>
      </c>
      <c r="M26" s="2"/>
      <c r="N26" s="22">
        <f t="shared" si="1"/>
        <v>0</v>
      </c>
      <c r="O26" s="11"/>
      <c r="P26" s="2">
        <f>--6.95</f>
        <v>6.95</v>
      </c>
      <c r="Q26" s="2"/>
      <c r="R26" s="22"/>
      <c r="S26" s="2"/>
      <c r="T26" s="2"/>
      <c r="U26" s="2"/>
      <c r="V26" s="22"/>
      <c r="W26" s="2"/>
      <c r="X26" s="2">
        <f t="shared" si="2"/>
        <v>6.95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-607.15</f>
        <v>-607.15</v>
      </c>
      <c r="E27" s="2"/>
      <c r="F27" s="22"/>
      <c r="G27" s="2"/>
      <c r="H27" s="2"/>
      <c r="I27" s="2"/>
      <c r="J27" s="22"/>
      <c r="K27" s="2"/>
      <c r="L27" s="2">
        <f t="shared" si="0"/>
        <v>-607.15</v>
      </c>
      <c r="M27" s="2"/>
      <c r="N27" s="22">
        <f t="shared" si="1"/>
        <v>0</v>
      </c>
      <c r="O27" s="11"/>
      <c r="P27" s="2">
        <f>-607.15</f>
        <v>-607.15</v>
      </c>
      <c r="Q27" s="2"/>
      <c r="R27" s="22"/>
      <c r="S27" s="2"/>
      <c r="T27" s="2"/>
      <c r="U27" s="2"/>
      <c r="V27" s="22"/>
      <c r="W27" s="2"/>
      <c r="X27" s="2">
        <f t="shared" si="2"/>
        <v>-607.15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-721.45</f>
        <v>-721.45</v>
      </c>
      <c r="E28" s="2"/>
      <c r="F28" s="22"/>
      <c r="G28" s="2"/>
      <c r="H28" s="2"/>
      <c r="I28" s="2"/>
      <c r="J28" s="22"/>
      <c r="K28" s="2"/>
      <c r="L28" s="2">
        <f t="shared" si="0"/>
        <v>-721.45</v>
      </c>
      <c r="M28" s="2"/>
      <c r="N28" s="22">
        <f t="shared" si="1"/>
        <v>0</v>
      </c>
      <c r="O28" s="11"/>
      <c r="P28" s="2">
        <f>-721.45</f>
        <v>-721.45</v>
      </c>
      <c r="Q28" s="2"/>
      <c r="R28" s="22"/>
      <c r="S28" s="2"/>
      <c r="T28" s="2"/>
      <c r="U28" s="2"/>
      <c r="V28" s="22"/>
      <c r="W28" s="2"/>
      <c r="X28" s="2">
        <f t="shared" si="2"/>
        <v>-721.45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"4301", " - ", "SALES RETURN NON TAXABLE-NEW T")</f>
        <v xml:space="preserve">          4301 - SALES RETURN NON TAXABLE-NEW T</v>
      </c>
      <c r="C29" s="11"/>
      <c r="D29" s="2">
        <f>-254.59</f>
        <v>-254.59</v>
      </c>
      <c r="E29" s="2"/>
      <c r="F29" s="22"/>
      <c r="G29" s="2"/>
      <c r="H29" s="2"/>
      <c r="I29" s="2"/>
      <c r="J29" s="22"/>
      <c r="K29" s="2"/>
      <c r="L29" s="2">
        <f t="shared" si="0"/>
        <v>-254.59</v>
      </c>
      <c r="M29" s="2"/>
      <c r="N29" s="22">
        <f t="shared" si="1"/>
        <v>0</v>
      </c>
      <c r="O29" s="11"/>
      <c r="P29" s="2">
        <f>-254.59</f>
        <v>-254.59</v>
      </c>
      <c r="Q29" s="2"/>
      <c r="R29" s="22"/>
      <c r="S29" s="2"/>
      <c r="T29" s="2"/>
      <c r="U29" s="2"/>
      <c r="V29" s="22"/>
      <c r="W29" s="2"/>
      <c r="X29" s="2">
        <f t="shared" si="2"/>
        <v>-254.59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"4311", " - ", "SALES RETURN NON TAXABLE-NO VA")</f>
        <v xml:space="preserve">          4311 - SALES RETURN NON TAXABLE-NO VA</v>
      </c>
      <c r="C30" s="11"/>
      <c r="D30" s="2">
        <f>-31.98</f>
        <v>-31.98</v>
      </c>
      <c r="E30" s="2"/>
      <c r="F30" s="22"/>
      <c r="G30" s="2"/>
      <c r="H30" s="2"/>
      <c r="I30" s="2"/>
      <c r="J30" s="22"/>
      <c r="K30" s="2"/>
      <c r="L30" s="2">
        <f t="shared" si="0"/>
        <v>-31.98</v>
      </c>
      <c r="M30" s="2"/>
      <c r="N30" s="22">
        <f t="shared" si="1"/>
        <v>0</v>
      </c>
      <c r="O30" s="11"/>
      <c r="P30" s="2">
        <f>-31.98</f>
        <v>-31.98</v>
      </c>
      <c r="Q30" s="2"/>
      <c r="R30" s="22"/>
      <c r="S30" s="2"/>
      <c r="T30" s="2"/>
      <c r="U30" s="2"/>
      <c r="V30" s="22"/>
      <c r="W30" s="2"/>
      <c r="X30" s="2">
        <f t="shared" si="2"/>
        <v>-31.98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5" t="s">
        <v>8</v>
      </c>
      <c r="C32" s="10"/>
      <c r="D32" s="4">
        <f>SUM(OSRRefD16x_0)</f>
        <v>75991.06</v>
      </c>
      <c r="E32" s="4"/>
      <c r="F32" s="12">
        <f t="shared" ref="F32:F45" si="4">IF(D$12=0,0,D32/D$12)</f>
        <v>0.82479562199076972</v>
      </c>
      <c r="G32" s="4"/>
      <c r="H32" s="4">
        <f>SUM(OSRRefH16x_0)</f>
        <v>91619.35</v>
      </c>
      <c r="I32" s="4"/>
      <c r="J32" s="12">
        <f t="shared" ref="J32:J45" si="5">IF(H$12=0,0,H32/H$12)</f>
        <v>0.72240195228107817</v>
      </c>
      <c r="K32" s="4"/>
      <c r="L32" s="4">
        <f t="shared" ref="L32:L45" si="6">+D32-H32</f>
        <v>-15628.290000000008</v>
      </c>
      <c r="M32" s="4"/>
      <c r="N32" s="12">
        <f t="shared" ref="N32:N45" si="7">IF(H32=0,0,L32/H32)</f>
        <v>-0.17057848587661895</v>
      </c>
      <c r="O32" s="10"/>
      <c r="P32" s="4">
        <f>SUM(OSRRefP16x_0)</f>
        <v>75991.06</v>
      </c>
      <c r="Q32" s="4"/>
      <c r="R32" s="12">
        <f t="shared" ref="R32:R45" si="8">IF(P$12=0,0,P32/P$12)</f>
        <v>0.82479562199076972</v>
      </c>
      <c r="S32" s="4"/>
      <c r="T32" s="4">
        <f>SUM(OSRRefT16x_0)</f>
        <v>91619.35</v>
      </c>
      <c r="U32" s="4"/>
      <c r="V32" s="12">
        <f t="shared" ref="V32:V45" si="9">IF(T$12=0,0,T32/T$12)</f>
        <v>0.72240195228107817</v>
      </c>
      <c r="W32" s="4"/>
      <c r="X32" s="4">
        <f t="shared" ref="X32:X45" si="10">+P32-T32</f>
        <v>-15628.290000000008</v>
      </c>
      <c r="Y32" s="4"/>
      <c r="Z32" s="12">
        <f t="shared" ref="Z32:Z45" si="11">IF(T32=0,0,X32/T32)</f>
        <v>-0.17057848587661895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91619.35</v>
      </c>
      <c r="I33" s="2"/>
      <c r="J33" s="22">
        <f t="shared" si="5"/>
        <v>0.72240195228107817</v>
      </c>
      <c r="K33" s="2"/>
      <c r="L33" s="2">
        <f t="shared" si="6"/>
        <v>-91619.35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91619.35</v>
      </c>
      <c r="U33" s="2"/>
      <c r="V33" s="22">
        <f t="shared" si="9"/>
        <v>0.72240195228107817</v>
      </c>
      <c r="W33" s="2"/>
      <c r="X33" s="2">
        <f t="shared" si="10"/>
        <v>-91619.35</v>
      </c>
      <c r="Y33" s="2"/>
      <c r="Z33" s="22">
        <f t="shared" si="11"/>
        <v>-1</v>
      </c>
    </row>
    <row r="34" spans="1:26" s="24" customFormat="1" hidden="1" outlineLevel="1" x14ac:dyDescent="0.25">
      <c r="A34" s="51"/>
      <c r="B34" s="11" t="str">
        <f>CONCATENATE("          ", "5001", " - ", "PURCHASES @ COST-NEW TEXT")</f>
        <v xml:space="preserve">          5001 - PURCHASES @ COST-NEW TEXT</v>
      </c>
      <c r="C34" s="11"/>
      <c r="D34" s="2">
        <v>343994.56</v>
      </c>
      <c r="E34" s="2"/>
      <c r="F34" s="22">
        <f t="shared" si="4"/>
        <v>3.733665605883655</v>
      </c>
      <c r="G34" s="2"/>
      <c r="H34" s="2"/>
      <c r="I34" s="2"/>
      <c r="J34" s="22">
        <f t="shared" si="5"/>
        <v>0</v>
      </c>
      <c r="K34" s="2"/>
      <c r="L34" s="2">
        <f t="shared" si="6"/>
        <v>343994.56</v>
      </c>
      <c r="M34" s="2"/>
      <c r="N34" s="22">
        <f t="shared" si="7"/>
        <v>0</v>
      </c>
      <c r="O34" s="11"/>
      <c r="P34" s="2">
        <v>343994.56</v>
      </c>
      <c r="Q34" s="2"/>
      <c r="R34" s="22">
        <f t="shared" si="8"/>
        <v>3.733665605883655</v>
      </c>
      <c r="S34" s="2"/>
      <c r="T34" s="2"/>
      <c r="U34" s="2"/>
      <c r="V34" s="22">
        <f t="shared" si="9"/>
        <v>0</v>
      </c>
      <c r="W34" s="2"/>
      <c r="X34" s="2">
        <f t="shared" si="10"/>
        <v>343994.56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"5002", " - ", "PURCHASES @ COST-USED TEXT")</f>
        <v xml:space="preserve">          5002 - PURCHASES @ COST-USED TEXT</v>
      </c>
      <c r="C35" s="11"/>
      <c r="D35" s="2">
        <v>110293.25</v>
      </c>
      <c r="E35" s="2"/>
      <c r="F35" s="22">
        <f t="shared" si="4"/>
        <v>1.1971064719341127</v>
      </c>
      <c r="G35" s="2"/>
      <c r="H35" s="2"/>
      <c r="I35" s="2"/>
      <c r="J35" s="22">
        <f t="shared" si="5"/>
        <v>0</v>
      </c>
      <c r="K35" s="2"/>
      <c r="L35" s="2">
        <f t="shared" si="6"/>
        <v>110293.25</v>
      </c>
      <c r="M35" s="2"/>
      <c r="N35" s="22">
        <f t="shared" si="7"/>
        <v>0</v>
      </c>
      <c r="O35" s="11"/>
      <c r="P35" s="2">
        <v>110293.25</v>
      </c>
      <c r="Q35" s="2"/>
      <c r="R35" s="22">
        <f t="shared" si="8"/>
        <v>1.1971064719341127</v>
      </c>
      <c r="S35" s="2"/>
      <c r="T35" s="2"/>
      <c r="U35" s="2"/>
      <c r="V35" s="22">
        <f t="shared" si="9"/>
        <v>0</v>
      </c>
      <c r="W35" s="2"/>
      <c r="X35" s="2">
        <f t="shared" si="10"/>
        <v>110293.25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"5003", " - ", "PURCHASES @ COST-RENTAL TEXT")</f>
        <v xml:space="preserve">          5003 - PURCHASES @ COST-RENTAL TEXT</v>
      </c>
      <c r="C36" s="11"/>
      <c r="D36" s="2">
        <v>38295.800000000003</v>
      </c>
      <c r="E36" s="2"/>
      <c r="F36" s="22">
        <f t="shared" si="4"/>
        <v>0.41565689675383033</v>
      </c>
      <c r="G36" s="2"/>
      <c r="H36" s="2"/>
      <c r="I36" s="2"/>
      <c r="J36" s="22">
        <f t="shared" si="5"/>
        <v>0</v>
      </c>
      <c r="K36" s="2"/>
      <c r="L36" s="2">
        <f t="shared" si="6"/>
        <v>38295.800000000003</v>
      </c>
      <c r="M36" s="2"/>
      <c r="N36" s="22">
        <f t="shared" si="7"/>
        <v>0</v>
      </c>
      <c r="O36" s="11"/>
      <c r="P36" s="2">
        <v>38295.800000000003</v>
      </c>
      <c r="Q36" s="2"/>
      <c r="R36" s="22">
        <f t="shared" si="8"/>
        <v>0.41565689675383033</v>
      </c>
      <c r="S36" s="2"/>
      <c r="T36" s="2"/>
      <c r="U36" s="2"/>
      <c r="V36" s="22">
        <f t="shared" si="9"/>
        <v>0</v>
      </c>
      <c r="W36" s="2"/>
      <c r="X36" s="2">
        <f t="shared" si="10"/>
        <v>38295.800000000003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"5004", " - ", "PURCHASES @ COST-DIGITAL TEXT")</f>
        <v xml:space="preserve">          5004 - PURCHASES @ COST-DIGITAL TEXT</v>
      </c>
      <c r="C37" s="11"/>
      <c r="D37" s="2">
        <v>133958.57</v>
      </c>
      <c r="E37" s="2"/>
      <c r="F37" s="22">
        <f t="shared" si="4"/>
        <v>1.4539663226719575</v>
      </c>
      <c r="G37" s="2"/>
      <c r="H37" s="2"/>
      <c r="I37" s="2"/>
      <c r="J37" s="22">
        <f t="shared" si="5"/>
        <v>0</v>
      </c>
      <c r="K37" s="2"/>
      <c r="L37" s="2">
        <f t="shared" si="6"/>
        <v>133958.57</v>
      </c>
      <c r="M37" s="2"/>
      <c r="N37" s="22">
        <f t="shared" si="7"/>
        <v>0</v>
      </c>
      <c r="O37" s="11"/>
      <c r="P37" s="2">
        <v>133958.57</v>
      </c>
      <c r="Q37" s="2"/>
      <c r="R37" s="22">
        <f t="shared" si="8"/>
        <v>1.4539663226719575</v>
      </c>
      <c r="S37" s="2"/>
      <c r="T37" s="2"/>
      <c r="U37" s="2"/>
      <c r="V37" s="22">
        <f t="shared" si="9"/>
        <v>0</v>
      </c>
      <c r="W37" s="2"/>
      <c r="X37" s="2">
        <f t="shared" si="10"/>
        <v>133958.57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"5011", " - ", "PURCHASES @ COST-NO VALUE TEXT")</f>
        <v xml:space="preserve">          5011 - PURCHASES @ COST-NO VALUE TEXT</v>
      </c>
      <c r="C38" s="11"/>
      <c r="D38" s="2">
        <v>288</v>
      </c>
      <c r="E38" s="2"/>
      <c r="F38" s="22">
        <f t="shared" si="4"/>
        <v>3.1259090099985667E-3</v>
      </c>
      <c r="G38" s="2"/>
      <c r="H38" s="2"/>
      <c r="I38" s="2"/>
      <c r="J38" s="22">
        <f t="shared" si="5"/>
        <v>0</v>
      </c>
      <c r="K38" s="2"/>
      <c r="L38" s="2">
        <f t="shared" si="6"/>
        <v>288</v>
      </c>
      <c r="M38" s="2"/>
      <c r="N38" s="22">
        <f t="shared" si="7"/>
        <v>0</v>
      </c>
      <c r="O38" s="11"/>
      <c r="P38" s="2">
        <v>288</v>
      </c>
      <c r="Q38" s="2"/>
      <c r="R38" s="22">
        <f t="shared" si="8"/>
        <v>3.1259090099985667E-3</v>
      </c>
      <c r="S38" s="2"/>
      <c r="T38" s="2"/>
      <c r="U38" s="2"/>
      <c r="V38" s="22">
        <f t="shared" si="9"/>
        <v>0</v>
      </c>
      <c r="W38" s="2"/>
      <c r="X38" s="2">
        <f t="shared" si="10"/>
        <v>288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"5013", " - ", "PURCHASES @ COST-TRADE BOOKS")</f>
        <v xml:space="preserve">          5013 - PURCHASES @ COST-TRADE BOOKS</v>
      </c>
      <c r="C39" s="11"/>
      <c r="D39" s="2">
        <v>204.9</v>
      </c>
      <c r="E39" s="2"/>
      <c r="F39" s="22">
        <f t="shared" si="4"/>
        <v>2.2239540144052303E-3</v>
      </c>
      <c r="G39" s="2"/>
      <c r="H39" s="2"/>
      <c r="I39" s="2"/>
      <c r="J39" s="22">
        <f t="shared" si="5"/>
        <v>0</v>
      </c>
      <c r="K39" s="2"/>
      <c r="L39" s="2">
        <f t="shared" si="6"/>
        <v>204.9</v>
      </c>
      <c r="M39" s="2"/>
      <c r="N39" s="22">
        <f t="shared" si="7"/>
        <v>0</v>
      </c>
      <c r="O39" s="11"/>
      <c r="P39" s="2">
        <v>204.9</v>
      </c>
      <c r="Q39" s="2"/>
      <c r="R39" s="22">
        <f t="shared" si="8"/>
        <v>2.2239540144052303E-3</v>
      </c>
      <c r="S39" s="2"/>
      <c r="T39" s="2"/>
      <c r="U39" s="2"/>
      <c r="V39" s="22">
        <f t="shared" si="9"/>
        <v>0</v>
      </c>
      <c r="W39" s="2"/>
      <c r="X39" s="2">
        <f t="shared" si="10"/>
        <v>204.9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"5014", " - ", "PURCHASES @ COST-REMAINDERS")</f>
        <v xml:space="preserve">          5014 - PURCHASES @ COST-REMAINDERS</v>
      </c>
      <c r="C40" s="11"/>
      <c r="D40" s="2">
        <v>100.48</v>
      </c>
      <c r="E40" s="2"/>
      <c r="F40" s="22">
        <f t="shared" si="4"/>
        <v>1.0905949212661667E-3</v>
      </c>
      <c r="G40" s="2"/>
      <c r="H40" s="2"/>
      <c r="I40" s="2"/>
      <c r="J40" s="22">
        <f t="shared" si="5"/>
        <v>0</v>
      </c>
      <c r="K40" s="2"/>
      <c r="L40" s="2">
        <f t="shared" si="6"/>
        <v>100.48</v>
      </c>
      <c r="M40" s="2"/>
      <c r="N40" s="22">
        <f t="shared" si="7"/>
        <v>0</v>
      </c>
      <c r="O40" s="11"/>
      <c r="P40" s="2">
        <v>100.48</v>
      </c>
      <c r="Q40" s="2"/>
      <c r="R40" s="22">
        <f t="shared" si="8"/>
        <v>1.0905949212661667E-3</v>
      </c>
      <c r="S40" s="2"/>
      <c r="T40" s="2"/>
      <c r="U40" s="2"/>
      <c r="V40" s="22">
        <f t="shared" si="9"/>
        <v>0</v>
      </c>
      <c r="W40" s="2"/>
      <c r="X40" s="2">
        <f t="shared" si="10"/>
        <v>100.48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"5018", " - ", "PURCHASES @ COST-STUDY GUIDES")</f>
        <v xml:space="preserve">          5018 - PURCHASES @ COST-STUDY GUIDES</v>
      </c>
      <c r="C41" s="11"/>
      <c r="D41" s="2">
        <v>503.93</v>
      </c>
      <c r="E41" s="2"/>
      <c r="F41" s="22">
        <f t="shared" si="4"/>
        <v>5.4695809979464511E-3</v>
      </c>
      <c r="G41" s="2"/>
      <c r="H41" s="2"/>
      <c r="I41" s="2"/>
      <c r="J41" s="22">
        <f t="shared" si="5"/>
        <v>0</v>
      </c>
      <c r="K41" s="2"/>
      <c r="L41" s="2">
        <f t="shared" si="6"/>
        <v>503.93</v>
      </c>
      <c r="M41" s="2"/>
      <c r="N41" s="22">
        <f t="shared" si="7"/>
        <v>0</v>
      </c>
      <c r="O41" s="11"/>
      <c r="P41" s="2">
        <v>503.93</v>
      </c>
      <c r="Q41" s="2"/>
      <c r="R41" s="22">
        <f t="shared" si="8"/>
        <v>5.4695809979464511E-3</v>
      </c>
      <c r="S41" s="2"/>
      <c r="T41" s="2"/>
      <c r="U41" s="2"/>
      <c r="V41" s="22">
        <f t="shared" si="9"/>
        <v>0</v>
      </c>
      <c r="W41" s="2"/>
      <c r="X41" s="2">
        <f t="shared" si="10"/>
        <v>503.93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"5200", " - ", "PURCHASES OFFSET")</f>
        <v xml:space="preserve">          5200 - PURCHASES OFFSET</v>
      </c>
      <c r="C42" s="11"/>
      <c r="D42" s="2">
        <v>-616930</v>
      </c>
      <c r="E42" s="2"/>
      <c r="F42" s="22">
        <f t="shared" si="4"/>
        <v>-6.6960661303417215</v>
      </c>
      <c r="G42" s="2"/>
      <c r="H42" s="2"/>
      <c r="I42" s="2"/>
      <c r="J42" s="22">
        <f t="shared" si="5"/>
        <v>0</v>
      </c>
      <c r="K42" s="2"/>
      <c r="L42" s="2">
        <f t="shared" si="6"/>
        <v>-616930</v>
      </c>
      <c r="M42" s="2"/>
      <c r="N42" s="22">
        <f t="shared" si="7"/>
        <v>0</v>
      </c>
      <c r="O42" s="11"/>
      <c r="P42" s="2">
        <v>-616930</v>
      </c>
      <c r="Q42" s="2"/>
      <c r="R42" s="22">
        <f t="shared" si="8"/>
        <v>-6.6960661303417215</v>
      </c>
      <c r="S42" s="2"/>
      <c r="T42" s="2"/>
      <c r="U42" s="2"/>
      <c r="V42" s="22">
        <f t="shared" si="9"/>
        <v>0</v>
      </c>
      <c r="W42" s="2"/>
      <c r="X42" s="2">
        <f t="shared" si="10"/>
        <v>-616930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"5300", " - ", "COG$ OFFSET")</f>
        <v xml:space="preserve">          5300 - COG$ OFFSET</v>
      </c>
      <c r="C43" s="11"/>
      <c r="D43" s="2">
        <v>63288</v>
      </c>
      <c r="E43" s="2"/>
      <c r="F43" s="22">
        <f t="shared" si="4"/>
        <v>0.68691850494718509</v>
      </c>
      <c r="G43" s="2"/>
      <c r="H43" s="2"/>
      <c r="I43" s="2"/>
      <c r="J43" s="22">
        <f t="shared" si="5"/>
        <v>0</v>
      </c>
      <c r="K43" s="2"/>
      <c r="L43" s="2">
        <f t="shared" si="6"/>
        <v>63288</v>
      </c>
      <c r="M43" s="2"/>
      <c r="N43" s="22">
        <f t="shared" si="7"/>
        <v>0</v>
      </c>
      <c r="O43" s="11"/>
      <c r="P43" s="2">
        <v>63288</v>
      </c>
      <c r="Q43" s="2"/>
      <c r="R43" s="22">
        <f t="shared" si="8"/>
        <v>0.68691850494718509</v>
      </c>
      <c r="S43" s="2"/>
      <c r="T43" s="2"/>
      <c r="U43" s="2"/>
      <c r="V43" s="22">
        <f t="shared" si="9"/>
        <v>0</v>
      </c>
      <c r="W43" s="2"/>
      <c r="X43" s="2">
        <f t="shared" si="10"/>
        <v>63288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"5501", " - ", "FREIGHT-IN-NEW TEXT")</f>
        <v xml:space="preserve">          5501 - FREIGHT-IN-NEW TEXT</v>
      </c>
      <c r="C44" s="11"/>
      <c r="D44" s="2">
        <v>1716.08</v>
      </c>
      <c r="E44" s="2"/>
      <c r="F44" s="22">
        <f t="shared" si="4"/>
        <v>1.8626076159299794E-2</v>
      </c>
      <c r="G44" s="2"/>
      <c r="H44" s="2"/>
      <c r="I44" s="2"/>
      <c r="J44" s="22">
        <f t="shared" si="5"/>
        <v>0</v>
      </c>
      <c r="K44" s="2"/>
      <c r="L44" s="2">
        <f t="shared" si="6"/>
        <v>1716.08</v>
      </c>
      <c r="M44" s="2"/>
      <c r="N44" s="22">
        <f t="shared" si="7"/>
        <v>0</v>
      </c>
      <c r="O44" s="11"/>
      <c r="P44" s="2">
        <v>1716.08</v>
      </c>
      <c r="Q44" s="2"/>
      <c r="R44" s="22">
        <f t="shared" si="8"/>
        <v>1.8626076159299794E-2</v>
      </c>
      <c r="S44" s="2"/>
      <c r="T44" s="2"/>
      <c r="U44" s="2"/>
      <c r="V44" s="22">
        <f t="shared" si="9"/>
        <v>0</v>
      </c>
      <c r="W44" s="2"/>
      <c r="X44" s="2">
        <f t="shared" si="10"/>
        <v>1716.08</v>
      </c>
      <c r="Y44" s="2"/>
      <c r="Z44" s="22">
        <f t="shared" si="11"/>
        <v>0</v>
      </c>
    </row>
    <row r="45" spans="1:26" s="24" customFormat="1" hidden="1" outlineLevel="1" x14ac:dyDescent="0.25">
      <c r="A45" s="51"/>
      <c r="B45" s="11" t="str">
        <f>CONCATENATE("          ", "5502", " - ", "FREIGHT-IN-USED TEXT")</f>
        <v xml:space="preserve">          5502 - FREIGHT-IN-USED TEXT</v>
      </c>
      <c r="C45" s="11"/>
      <c r="D45" s="2">
        <v>277.49</v>
      </c>
      <c r="E45" s="2"/>
      <c r="F45" s="22">
        <f t="shared" si="4"/>
        <v>3.0118350388350775E-3</v>
      </c>
      <c r="G45" s="2"/>
      <c r="H45" s="2"/>
      <c r="I45" s="2"/>
      <c r="J45" s="22">
        <f t="shared" si="5"/>
        <v>0</v>
      </c>
      <c r="K45" s="2"/>
      <c r="L45" s="2">
        <f t="shared" si="6"/>
        <v>277.49</v>
      </c>
      <c r="M45" s="2"/>
      <c r="N45" s="22">
        <f t="shared" si="7"/>
        <v>0</v>
      </c>
      <c r="O45" s="11"/>
      <c r="P45" s="2">
        <v>277.49</v>
      </c>
      <c r="Q45" s="2"/>
      <c r="R45" s="22">
        <f t="shared" si="8"/>
        <v>3.0118350388350775E-3</v>
      </c>
      <c r="S45" s="2"/>
      <c r="T45" s="2"/>
      <c r="U45" s="2"/>
      <c r="V45" s="22">
        <f t="shared" si="9"/>
        <v>0</v>
      </c>
      <c r="W45" s="2"/>
      <c r="X45" s="2">
        <f t="shared" si="10"/>
        <v>277.49</v>
      </c>
      <c r="Y45" s="2"/>
      <c r="Z45" s="22">
        <f t="shared" si="11"/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6" t="s">
        <v>6</v>
      </c>
      <c r="C47" s="26"/>
      <c r="D47" s="21">
        <f>D12-D32</f>
        <v>16142.140000000014</v>
      </c>
      <c r="E47" s="13"/>
      <c r="F47" s="19">
        <f>IF(D$12=0,0,D47/D$12)</f>
        <v>0.17520437800923025</v>
      </c>
      <c r="G47" s="13"/>
      <c r="H47" s="21">
        <f>H12-H32</f>
        <v>35206.64999999998</v>
      </c>
      <c r="I47" s="13"/>
      <c r="J47" s="19">
        <f>IF(H$12=0,0,H47/H$12)</f>
        <v>0.27759804771892188</v>
      </c>
      <c r="K47" s="15"/>
      <c r="L47" s="21">
        <f>+D47-H47</f>
        <v>-19064.509999999966</v>
      </c>
      <c r="M47" s="15"/>
      <c r="N47" s="19">
        <f>IF(H47=0,0,L47/H47)</f>
        <v>-0.54150309671610264</v>
      </c>
      <c r="O47" s="25"/>
      <c r="P47" s="21">
        <f>P12-P32</f>
        <v>16142.140000000014</v>
      </c>
      <c r="Q47" s="13"/>
      <c r="R47" s="19">
        <f>IF(P$12=0,0,P47/P$12)</f>
        <v>0.17520437800923025</v>
      </c>
      <c r="S47" s="13"/>
      <c r="T47" s="21">
        <f>T12-T32</f>
        <v>35206.64999999998</v>
      </c>
      <c r="U47" s="13"/>
      <c r="V47" s="19">
        <f>IF(T$12=0,0,T47/T$12)</f>
        <v>0.27759804771892188</v>
      </c>
      <c r="W47" s="15"/>
      <c r="X47" s="21">
        <f>+P47-T47</f>
        <v>-19064.509999999966</v>
      </c>
      <c r="Y47" s="15"/>
      <c r="Z47" s="19">
        <f>IF(T47=0,0,X47/T47)</f>
        <v>-0.54150309671610264</v>
      </c>
    </row>
    <row r="48" spans="1:26" x14ac:dyDescent="0.25">
      <c r="A48" s="9"/>
      <c r="B48" s="10"/>
      <c r="C48" s="9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6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5" t="s">
        <v>9</v>
      </c>
      <c r="C49" s="10"/>
      <c r="D49" s="20">
        <f>SUM(OSRRefD22x_0)</f>
        <v>42991.349999999991</v>
      </c>
      <c r="E49" s="20"/>
      <c r="F49" s="30">
        <f t="shared" ref="F49:F60" si="12">IF(D$12=0,0,D49/D$12)</f>
        <v>0.46662169554514538</v>
      </c>
      <c r="G49" s="20"/>
      <c r="H49" s="20">
        <f>SUM(OSRRefH22x_0)</f>
        <v>52228.344691372258</v>
      </c>
      <c r="I49" s="20"/>
      <c r="J49" s="30">
        <f t="shared" ref="J49:J60" si="13">IF(H$12=0,0,H49/H$12)</f>
        <v>0.41181102211985132</v>
      </c>
      <c r="K49" s="4"/>
      <c r="L49" s="20">
        <f t="shared" ref="L49:L60" si="14">+D49-H49</f>
        <v>-9236.994691372267</v>
      </c>
      <c r="M49" s="4"/>
      <c r="N49" s="30">
        <f t="shared" ref="N49:N60" si="15">IF(H49=0,0,L49/H49)</f>
        <v>-0.17685788714835818</v>
      </c>
      <c r="O49" s="10"/>
      <c r="P49" s="20">
        <f>SUM(OSRRefP22x_0)</f>
        <v>42991.349999999991</v>
      </c>
      <c r="Q49" s="20"/>
      <c r="R49" s="30">
        <f t="shared" ref="R49:R60" si="16">IF(P$12=0,0,P49/P$12)</f>
        <v>0.46662169554514538</v>
      </c>
      <c r="S49" s="20"/>
      <c r="T49" s="20">
        <f>SUM(OSRRefT22x_0)</f>
        <v>52228.344691372258</v>
      </c>
      <c r="U49" s="20"/>
      <c r="V49" s="30">
        <f t="shared" ref="V49:V60" si="17">IF(T$12=0,0,T49/T$12)</f>
        <v>0.41181102211985132</v>
      </c>
      <c r="W49" s="4"/>
      <c r="X49" s="20">
        <f t="shared" ref="X49:X60" si="18">+P49-T49</f>
        <v>-9236.994691372267</v>
      </c>
      <c r="Y49" s="4"/>
      <c r="Z49" s="30">
        <f t="shared" ref="Z49:Z60" si="19">IF(T49=0,0,X49/T49)</f>
        <v>-0.17685788714835818</v>
      </c>
    </row>
    <row r="50" spans="1:26" s="27" customFormat="1" outlineLevel="1" collapsed="1" x14ac:dyDescent="0.25">
      <c r="A50" s="28"/>
      <c r="B50" s="14" t="str">
        <f>CONCATENATE("     ","*Benefits                                         ")</f>
        <v xml:space="preserve">     *Benefits                                         </v>
      </c>
      <c r="C50" s="14"/>
      <c r="D50" s="1">
        <f>SUM(OSRRefD22_0x_0)</f>
        <v>11226.609999999999</v>
      </c>
      <c r="E50" s="1"/>
      <c r="F50" s="5">
        <f t="shared" si="12"/>
        <v>0.12185194913451391</v>
      </c>
      <c r="G50" s="1"/>
      <c r="H50" s="1">
        <f>SUM(OSRRefH22_0x_0)</f>
        <v>14228.000671718455</v>
      </c>
      <c r="I50" s="1"/>
      <c r="J50" s="5">
        <f t="shared" si="13"/>
        <v>0.11218520391495795</v>
      </c>
      <c r="K50" s="1"/>
      <c r="L50" s="1">
        <f t="shared" si="14"/>
        <v>-3001.3906717184564</v>
      </c>
      <c r="M50" s="1"/>
      <c r="N50" s="5">
        <f t="shared" si="15"/>
        <v>-0.21094957337782785</v>
      </c>
      <c r="O50" s="14"/>
      <c r="P50" s="1">
        <f>SUM(OSRRefP22_0x_0)</f>
        <v>11226.609999999999</v>
      </c>
      <c r="Q50" s="1"/>
      <c r="R50" s="5">
        <f t="shared" si="16"/>
        <v>0.12185194913451391</v>
      </c>
      <c r="S50" s="1"/>
      <c r="T50" s="1">
        <f>SUM(OSRRefT22_0x_0)</f>
        <v>14228.000671718455</v>
      </c>
      <c r="U50" s="1"/>
      <c r="V50" s="5">
        <f t="shared" si="17"/>
        <v>0.11218520391495795</v>
      </c>
      <c r="W50" s="1"/>
      <c r="X50" s="1">
        <f t="shared" si="18"/>
        <v>-3001.3906717184564</v>
      </c>
      <c r="Y50" s="1"/>
      <c r="Z50" s="5">
        <f t="shared" si="19"/>
        <v>-0.21094957337782785</v>
      </c>
    </row>
    <row r="51" spans="1:26" s="24" customFormat="1" hidden="1" outlineLevel="2" x14ac:dyDescent="0.25">
      <c r="A51" s="29"/>
      <c r="B51" s="11" t="str">
        <f>CONCATENATE("          ", "6111", " - ", "F.I.C.A.")</f>
        <v xml:space="preserve">          6111 - F.I.C.A.</v>
      </c>
      <c r="C51" s="11"/>
      <c r="D51" s="7">
        <v>1620.75</v>
      </c>
      <c r="E51" s="2"/>
      <c r="F51" s="6">
        <f t="shared" si="12"/>
        <v>1.7591378569288808E-2</v>
      </c>
      <c r="G51" s="2"/>
      <c r="H51" s="7">
        <v>2345.2125058107699</v>
      </c>
      <c r="I51" s="2"/>
      <c r="J51" s="6">
        <f t="shared" si="13"/>
        <v>1.8491575117174478E-2</v>
      </c>
      <c r="K51" s="2"/>
      <c r="L51" s="7">
        <f t="shared" si="14"/>
        <v>-724.46250581076993</v>
      </c>
      <c r="M51" s="2"/>
      <c r="N51" s="6">
        <f t="shared" si="15"/>
        <v>-0.30891124109894424</v>
      </c>
      <c r="O51" s="11"/>
      <c r="P51" s="7">
        <v>1620.75</v>
      </c>
      <c r="Q51" s="2"/>
      <c r="R51" s="6">
        <f t="shared" si="16"/>
        <v>1.7591378569288808E-2</v>
      </c>
      <c r="S51" s="2"/>
      <c r="T51" s="7">
        <v>2345.2125058107699</v>
      </c>
      <c r="U51" s="2"/>
      <c r="V51" s="6">
        <f t="shared" si="17"/>
        <v>1.8491575117174478E-2</v>
      </c>
      <c r="W51" s="2"/>
      <c r="X51" s="7">
        <f t="shared" si="18"/>
        <v>-724.46250581076993</v>
      </c>
      <c r="Y51" s="2"/>
      <c r="Z51" s="6">
        <f t="shared" si="19"/>
        <v>-0.30891124109894424</v>
      </c>
    </row>
    <row r="52" spans="1:26" s="24" customFormat="1" hidden="1" outlineLevel="2" x14ac:dyDescent="0.25">
      <c r="A52" s="29"/>
      <c r="B52" s="11" t="str">
        <f>CONCATENATE("          ", "6112", " - ", "COMPENSATION INSURANCE")</f>
        <v xml:space="preserve">          6112 - COMPENSATION INSURANCE</v>
      </c>
      <c r="C52" s="11"/>
      <c r="D52" s="7">
        <v>85.11</v>
      </c>
      <c r="E52" s="2"/>
      <c r="F52" s="6">
        <f t="shared" si="12"/>
        <v>9.2377123555895146E-4</v>
      </c>
      <c r="G52" s="2"/>
      <c r="H52" s="7">
        <v>647.491789384615</v>
      </c>
      <c r="I52" s="2"/>
      <c r="J52" s="6">
        <f t="shared" si="13"/>
        <v>5.1053552850725808E-3</v>
      </c>
      <c r="K52" s="2"/>
      <c r="L52" s="7">
        <f t="shared" si="14"/>
        <v>-562.38178938461499</v>
      </c>
      <c r="M52" s="2"/>
      <c r="N52" s="6">
        <f t="shared" si="15"/>
        <v>-0.86855431776070902</v>
      </c>
      <c r="O52" s="11"/>
      <c r="P52" s="7">
        <v>85.11</v>
      </c>
      <c r="Q52" s="2"/>
      <c r="R52" s="6">
        <f t="shared" si="16"/>
        <v>9.2377123555895146E-4</v>
      </c>
      <c r="S52" s="2"/>
      <c r="T52" s="7">
        <v>647.491789384615</v>
      </c>
      <c r="U52" s="2"/>
      <c r="V52" s="6">
        <f t="shared" si="17"/>
        <v>5.1053552850725808E-3</v>
      </c>
      <c r="W52" s="2"/>
      <c r="X52" s="7">
        <f t="shared" si="18"/>
        <v>-562.38178938461499</v>
      </c>
      <c r="Y52" s="2"/>
      <c r="Z52" s="6">
        <f t="shared" si="19"/>
        <v>-0.86855431776070902</v>
      </c>
    </row>
    <row r="53" spans="1:26" s="24" customFormat="1" hidden="1" outlineLevel="2" x14ac:dyDescent="0.25">
      <c r="A53" s="29"/>
      <c r="B53" s="11" t="str">
        <f>CONCATENATE("          ", "6113", " - ", "GROUP INSURANCE")</f>
        <v xml:space="preserve">          6113 - GROUP INSURANCE</v>
      </c>
      <c r="C53" s="11"/>
      <c r="D53" s="7">
        <v>4168.57</v>
      </c>
      <c r="E53" s="2"/>
      <c r="F53" s="6">
        <f t="shared" si="12"/>
        <v>4.5245036534061547E-2</v>
      </c>
      <c r="G53" s="2"/>
      <c r="H53" s="7">
        <v>5783.4615384615399</v>
      </c>
      <c r="I53" s="2"/>
      <c r="J53" s="6">
        <f t="shared" si="13"/>
        <v>4.5601544939220195E-2</v>
      </c>
      <c r="K53" s="2"/>
      <c r="L53" s="7">
        <f t="shared" si="14"/>
        <v>-1614.8915384615402</v>
      </c>
      <c r="M53" s="2"/>
      <c r="N53" s="6">
        <f t="shared" si="15"/>
        <v>-0.27922577641816876</v>
      </c>
      <c r="O53" s="11"/>
      <c r="P53" s="7">
        <v>4168.57</v>
      </c>
      <c r="Q53" s="2"/>
      <c r="R53" s="6">
        <f t="shared" si="16"/>
        <v>4.5245036534061547E-2</v>
      </c>
      <c r="S53" s="2"/>
      <c r="T53" s="7">
        <v>5783.4615384615399</v>
      </c>
      <c r="U53" s="2"/>
      <c r="V53" s="6">
        <f t="shared" si="17"/>
        <v>4.5601544939220195E-2</v>
      </c>
      <c r="W53" s="2"/>
      <c r="X53" s="7">
        <f t="shared" si="18"/>
        <v>-1614.8915384615402</v>
      </c>
      <c r="Y53" s="2"/>
      <c r="Z53" s="6">
        <f t="shared" si="19"/>
        <v>-0.27922577641816876</v>
      </c>
    </row>
    <row r="54" spans="1:26" s="24" customFormat="1" hidden="1" outlineLevel="2" x14ac:dyDescent="0.25">
      <c r="A54" s="29"/>
      <c r="B54" s="11" t="str">
        <f>CONCATENATE("          ", "6114", " - ", "STATE UNEMPLOYMENT INSURANCE")</f>
        <v xml:space="preserve">          6114 - STATE UNEMPLOYMENT INSURANCE</v>
      </c>
      <c r="C54" s="11"/>
      <c r="D54" s="7">
        <v>55.09</v>
      </c>
      <c r="E54" s="2"/>
      <c r="F54" s="6">
        <f t="shared" si="12"/>
        <v>5.9793863666951757E-4</v>
      </c>
      <c r="G54" s="2"/>
      <c r="H54" s="7">
        <v>88.604139599999996</v>
      </c>
      <c r="I54" s="2"/>
      <c r="J54" s="6">
        <f t="shared" si="13"/>
        <v>6.9862756532572195E-4</v>
      </c>
      <c r="K54" s="2"/>
      <c r="L54" s="7">
        <f t="shared" si="14"/>
        <v>-33.514139599999993</v>
      </c>
      <c r="M54" s="2"/>
      <c r="N54" s="6">
        <f t="shared" si="15"/>
        <v>-0.37824575410695588</v>
      </c>
      <c r="O54" s="11"/>
      <c r="P54" s="7">
        <v>55.09</v>
      </c>
      <c r="Q54" s="2"/>
      <c r="R54" s="6">
        <f t="shared" si="16"/>
        <v>5.9793863666951757E-4</v>
      </c>
      <c r="S54" s="2"/>
      <c r="T54" s="7">
        <v>88.604139599999996</v>
      </c>
      <c r="U54" s="2"/>
      <c r="V54" s="6">
        <f t="shared" si="17"/>
        <v>6.9862756532572195E-4</v>
      </c>
      <c r="W54" s="2"/>
      <c r="X54" s="7">
        <f t="shared" si="18"/>
        <v>-33.514139599999993</v>
      </c>
      <c r="Y54" s="2"/>
      <c r="Z54" s="6">
        <f t="shared" si="19"/>
        <v>-0.37824575410695588</v>
      </c>
    </row>
    <row r="55" spans="1:26" s="24" customFormat="1" hidden="1" outlineLevel="2" x14ac:dyDescent="0.25">
      <c r="A55" s="29"/>
      <c r="B55" s="11" t="str">
        <f>CONCATENATE("          ", "6115", " - ", "P.E.R.S.")</f>
        <v xml:space="preserve">          6115 - P.E.R.S.</v>
      </c>
      <c r="C55" s="11"/>
      <c r="D55" s="7">
        <v>1325.86</v>
      </c>
      <c r="E55" s="2"/>
      <c r="F55" s="6">
        <f t="shared" si="12"/>
        <v>1.4390686527766318E-2</v>
      </c>
      <c r="G55" s="2"/>
      <c r="H55" s="7">
        <v>1544.9483098461499</v>
      </c>
      <c r="I55" s="2"/>
      <c r="J55" s="6">
        <f t="shared" si="13"/>
        <v>1.2181637123666678E-2</v>
      </c>
      <c r="K55" s="2"/>
      <c r="L55" s="7">
        <f t="shared" si="14"/>
        <v>-219.08830984614997</v>
      </c>
      <c r="M55" s="2"/>
      <c r="N55" s="6">
        <f t="shared" si="15"/>
        <v>-0.14180947572800501</v>
      </c>
      <c r="O55" s="11"/>
      <c r="P55" s="7">
        <v>1325.86</v>
      </c>
      <c r="Q55" s="2"/>
      <c r="R55" s="6">
        <f t="shared" si="16"/>
        <v>1.4390686527766318E-2</v>
      </c>
      <c r="S55" s="2"/>
      <c r="T55" s="7">
        <v>1544.9483098461499</v>
      </c>
      <c r="U55" s="2"/>
      <c r="V55" s="6">
        <f t="shared" si="17"/>
        <v>1.2181637123666678E-2</v>
      </c>
      <c r="W55" s="2"/>
      <c r="X55" s="7">
        <f t="shared" si="18"/>
        <v>-219.08830984614997</v>
      </c>
      <c r="Y55" s="2"/>
      <c r="Z55" s="6">
        <f t="shared" si="19"/>
        <v>-0.14180947572800501</v>
      </c>
    </row>
    <row r="56" spans="1:26" s="24" customFormat="1" hidden="1" outlineLevel="2" x14ac:dyDescent="0.25">
      <c r="A56" s="29"/>
      <c r="B56" s="11" t="str">
        <f>CONCATENATE("          ", "6116", " - ", "EDUCATIONAL BENEFITS")</f>
        <v xml:space="preserve">          6116 - EDUCATIONAL BENEFITS</v>
      </c>
      <c r="C56" s="11"/>
      <c r="D56" s="7"/>
      <c r="E56" s="2"/>
      <c r="F56" s="6">
        <f t="shared" si="12"/>
        <v>0</v>
      </c>
      <c r="G56" s="2"/>
      <c r="H56" s="7">
        <v>0</v>
      </c>
      <c r="I56" s="2"/>
      <c r="J56" s="6">
        <f t="shared" si="13"/>
        <v>0</v>
      </c>
      <c r="K56" s="2"/>
      <c r="L56" s="7">
        <f t="shared" si="14"/>
        <v>0</v>
      </c>
      <c r="M56" s="2"/>
      <c r="N56" s="6">
        <f t="shared" si="15"/>
        <v>0</v>
      </c>
      <c r="O56" s="11"/>
      <c r="P56" s="7"/>
      <c r="Q56" s="2"/>
      <c r="R56" s="6">
        <f t="shared" si="16"/>
        <v>0</v>
      </c>
      <c r="S56" s="2"/>
      <c r="T56" s="7">
        <v>0</v>
      </c>
      <c r="U56" s="2"/>
      <c r="V56" s="6">
        <f t="shared" si="17"/>
        <v>0</v>
      </c>
      <c r="W56" s="2"/>
      <c r="X56" s="7">
        <f t="shared" si="18"/>
        <v>0</v>
      </c>
      <c r="Y56" s="2"/>
      <c r="Z56" s="6">
        <f t="shared" si="19"/>
        <v>0</v>
      </c>
    </row>
    <row r="57" spans="1:26" s="24" customFormat="1" hidden="1" outlineLevel="2" x14ac:dyDescent="0.25">
      <c r="A57" s="29"/>
      <c r="B57" s="11" t="str">
        <f>CONCATENATE("          ", "6117", " - ", "RETIREMENT STAFF HOURLY")</f>
        <v xml:space="preserve">          6117 - RETIREMENT STAFF HOURLY</v>
      </c>
      <c r="C57" s="11"/>
      <c r="D57" s="7">
        <v>220.69</v>
      </c>
      <c r="E57" s="2"/>
      <c r="F57" s="6">
        <f t="shared" si="12"/>
        <v>2.3953363174186934E-3</v>
      </c>
      <c r="G57" s="2"/>
      <c r="H57" s="7"/>
      <c r="I57" s="2"/>
      <c r="J57" s="6">
        <f t="shared" si="13"/>
        <v>0</v>
      </c>
      <c r="K57" s="2"/>
      <c r="L57" s="7">
        <f t="shared" si="14"/>
        <v>220.69</v>
      </c>
      <c r="M57" s="2"/>
      <c r="N57" s="6">
        <f t="shared" si="15"/>
        <v>0</v>
      </c>
      <c r="O57" s="11"/>
      <c r="P57" s="7">
        <v>220.69</v>
      </c>
      <c r="Q57" s="2"/>
      <c r="R57" s="6">
        <f t="shared" si="16"/>
        <v>2.3953363174186934E-3</v>
      </c>
      <c r="S57" s="2"/>
      <c r="T57" s="7"/>
      <c r="U57" s="2"/>
      <c r="V57" s="6">
        <f t="shared" si="17"/>
        <v>0</v>
      </c>
      <c r="W57" s="2"/>
      <c r="X57" s="7">
        <f t="shared" si="18"/>
        <v>220.69</v>
      </c>
      <c r="Y57" s="2"/>
      <c r="Z57" s="6">
        <f t="shared" si="19"/>
        <v>0</v>
      </c>
    </row>
    <row r="58" spans="1:26" s="24" customFormat="1" hidden="1" outlineLevel="2" x14ac:dyDescent="0.25">
      <c r="A58" s="29"/>
      <c r="B58" s="11" t="str">
        <f>CONCATENATE("          ", "6118", " - ", "VACATION")</f>
        <v xml:space="preserve">          6118 - VACATION</v>
      </c>
      <c r="C58" s="11"/>
      <c r="D58" s="7">
        <v>1479.92</v>
      </c>
      <c r="E58" s="2"/>
      <c r="F58" s="6">
        <f t="shared" si="12"/>
        <v>1.6062830771100971E-2</v>
      </c>
      <c r="G58" s="2"/>
      <c r="H58" s="7">
        <v>1784.9504480000001</v>
      </c>
      <c r="I58" s="2"/>
      <c r="J58" s="6">
        <f t="shared" si="13"/>
        <v>1.4074010439499789E-2</v>
      </c>
      <c r="K58" s="2"/>
      <c r="L58" s="7">
        <f t="shared" si="14"/>
        <v>-305.03044799999998</v>
      </c>
      <c r="M58" s="2"/>
      <c r="N58" s="6">
        <f t="shared" si="15"/>
        <v>-0.17089014899084748</v>
      </c>
      <c r="O58" s="11"/>
      <c r="P58" s="7">
        <v>1479.92</v>
      </c>
      <c r="Q58" s="2"/>
      <c r="R58" s="6">
        <f t="shared" si="16"/>
        <v>1.6062830771100971E-2</v>
      </c>
      <c r="S58" s="2"/>
      <c r="T58" s="7">
        <v>1784.9504480000001</v>
      </c>
      <c r="U58" s="2"/>
      <c r="V58" s="6">
        <f t="shared" si="17"/>
        <v>1.4074010439499789E-2</v>
      </c>
      <c r="W58" s="2"/>
      <c r="X58" s="7">
        <f t="shared" si="18"/>
        <v>-305.03044799999998</v>
      </c>
      <c r="Y58" s="2"/>
      <c r="Z58" s="6">
        <f t="shared" si="19"/>
        <v>-0.17089014899084748</v>
      </c>
    </row>
    <row r="59" spans="1:26" s="24" customFormat="1" hidden="1" outlineLevel="2" x14ac:dyDescent="0.25">
      <c r="A59" s="29"/>
      <c r="B59" s="11" t="str">
        <f>CONCATENATE("          ", "6119", " - ", "SICK LEAVE")</f>
        <v xml:space="preserve">          6119 - SICK LEAVE</v>
      </c>
      <c r="C59" s="11"/>
      <c r="D59" s="7">
        <v>1710.54</v>
      </c>
      <c r="E59" s="2"/>
      <c r="F59" s="6">
        <f t="shared" si="12"/>
        <v>1.8565945826260238E-2</v>
      </c>
      <c r="G59" s="2"/>
      <c r="H59" s="7">
        <v>1283.3319406153801</v>
      </c>
      <c r="I59" s="2"/>
      <c r="J59" s="6">
        <f t="shared" si="13"/>
        <v>1.0118839517254981E-2</v>
      </c>
      <c r="K59" s="2"/>
      <c r="L59" s="7">
        <f t="shared" si="14"/>
        <v>427.2080593846199</v>
      </c>
      <c r="M59" s="2"/>
      <c r="N59" s="6">
        <f t="shared" si="15"/>
        <v>0.3328897581866202</v>
      </c>
      <c r="O59" s="11"/>
      <c r="P59" s="7">
        <v>1710.54</v>
      </c>
      <c r="Q59" s="2"/>
      <c r="R59" s="6">
        <f t="shared" si="16"/>
        <v>1.8565945826260238E-2</v>
      </c>
      <c r="S59" s="2"/>
      <c r="T59" s="7">
        <v>1283.3319406153801</v>
      </c>
      <c r="U59" s="2"/>
      <c r="V59" s="6">
        <f t="shared" si="17"/>
        <v>1.0118839517254981E-2</v>
      </c>
      <c r="W59" s="2"/>
      <c r="X59" s="7">
        <f t="shared" si="18"/>
        <v>427.2080593846199</v>
      </c>
      <c r="Y59" s="2"/>
      <c r="Z59" s="6">
        <f t="shared" si="19"/>
        <v>0.3328897581866202</v>
      </c>
    </row>
    <row r="60" spans="1:26" s="24" customFormat="1" hidden="1" outlineLevel="2" x14ac:dyDescent="0.25">
      <c r="A60" s="29"/>
      <c r="B60" s="11" t="str">
        <f>CONCATENATE("          ", "6156", " - ", "EMPLOYEE MEALS")</f>
        <v xml:space="preserve">          6156 - EMPLOYEE MEALS</v>
      </c>
      <c r="C60" s="11"/>
      <c r="D60" s="7">
        <v>560.08000000000004</v>
      </c>
      <c r="E60" s="2"/>
      <c r="F60" s="6">
        <f t="shared" si="12"/>
        <v>6.0790247163888802E-3</v>
      </c>
      <c r="G60" s="2"/>
      <c r="H60" s="7">
        <v>750</v>
      </c>
      <c r="I60" s="2"/>
      <c r="J60" s="6">
        <f t="shared" si="13"/>
        <v>5.9136139277435234E-3</v>
      </c>
      <c r="K60" s="2"/>
      <c r="L60" s="7">
        <f t="shared" si="14"/>
        <v>-189.91999999999996</v>
      </c>
      <c r="M60" s="2"/>
      <c r="N60" s="6">
        <f t="shared" si="15"/>
        <v>-0.2532266666666666</v>
      </c>
      <c r="O60" s="11"/>
      <c r="P60" s="7">
        <v>560.08000000000004</v>
      </c>
      <c r="Q60" s="2"/>
      <c r="R60" s="6">
        <f t="shared" si="16"/>
        <v>6.0790247163888802E-3</v>
      </c>
      <c r="S60" s="2"/>
      <c r="T60" s="7">
        <v>750</v>
      </c>
      <c r="U60" s="2"/>
      <c r="V60" s="6">
        <f t="shared" si="17"/>
        <v>5.9136139277435234E-3</v>
      </c>
      <c r="W60" s="2"/>
      <c r="X60" s="7">
        <f t="shared" si="18"/>
        <v>-189.91999999999996</v>
      </c>
      <c r="Y60" s="2"/>
      <c r="Z60" s="6">
        <f t="shared" si="19"/>
        <v>-0.2532266666666666</v>
      </c>
    </row>
    <row r="61" spans="1:26" s="27" customFormat="1" outlineLevel="1" collapsed="1" x14ac:dyDescent="0.25">
      <c r="A61" s="28"/>
      <c r="B61" s="14" t="str">
        <f>CONCATENATE("     ","*Payroll                                          ")</f>
        <v xml:space="preserve">     *Payroll                                          </v>
      </c>
      <c r="C61" s="14"/>
      <c r="D61" s="1">
        <f>SUM(OSRRefD22_1x_0)</f>
        <v>26073.31</v>
      </c>
      <c r="E61" s="1"/>
      <c r="F61" s="5">
        <f t="shared" ref="F61:F71" si="20">IF(D$12=0,0,D61/D$12)</f>
        <v>0.28299581475515884</v>
      </c>
      <c r="G61" s="1"/>
      <c r="H61" s="1">
        <f>SUM(OSRRefH22_1x_0)</f>
        <v>31185.344019653799</v>
      </c>
      <c r="I61" s="1"/>
      <c r="J61" s="5">
        <f t="shared" ref="J61:J71" si="21">IF(H$12=0,0,H61/H$12)</f>
        <v>0.24589077964813053</v>
      </c>
      <c r="K61" s="1"/>
      <c r="L61" s="1">
        <f t="shared" ref="L61:L71" si="22">+D61-H61</f>
        <v>-5112.0340196537982</v>
      </c>
      <c r="M61" s="1"/>
      <c r="N61" s="5">
        <f t="shared" ref="N61:N71" si="23">IF(H61=0,0,L61/H61)</f>
        <v>-0.16392424648040002</v>
      </c>
      <c r="O61" s="14"/>
      <c r="P61" s="1">
        <f>SUM(OSRRefP22_1x_0)</f>
        <v>26073.31</v>
      </c>
      <c r="Q61" s="1"/>
      <c r="R61" s="5">
        <f t="shared" ref="R61:R71" si="24">IF(P$12=0,0,P61/P$12)</f>
        <v>0.28299581475515884</v>
      </c>
      <c r="S61" s="1"/>
      <c r="T61" s="1">
        <f>SUM(OSRRefT22_1x_0)</f>
        <v>31185.344019653799</v>
      </c>
      <c r="U61" s="1"/>
      <c r="V61" s="5">
        <f t="shared" ref="V61:V71" si="25">IF(T$12=0,0,T61/T$12)</f>
        <v>0.24589077964813053</v>
      </c>
      <c r="W61" s="1"/>
      <c r="X61" s="1">
        <f t="shared" ref="X61:X71" si="26">+P61-T61</f>
        <v>-5112.0340196537982</v>
      </c>
      <c r="Y61" s="1"/>
      <c r="Z61" s="5">
        <f t="shared" ref="Z61:Z71" si="27">IF(T61=0,0,X61/T61)</f>
        <v>-0.16392424648040002</v>
      </c>
    </row>
    <row r="62" spans="1:26" s="24" customFormat="1" hidden="1" outlineLevel="2" x14ac:dyDescent="0.25">
      <c r="A62" s="29"/>
      <c r="B62" s="11" t="str">
        <f>CONCATENATE("          ", "6001", " - ", "ADMINISTRATIVE SALARIES")</f>
        <v xml:space="preserve">          6001 - ADMINISTRATIVE SALARIES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25">
      <c r="A63" s="29"/>
      <c r="B63" s="11" t="str">
        <f>CONCATENATE("          ", "6002", " - ", "STAFF SALARIES")</f>
        <v xml:space="preserve">          6002 - STAFF SALARIES</v>
      </c>
      <c r="C63" s="11"/>
      <c r="D63" s="7">
        <v>17629.36</v>
      </c>
      <c r="E63" s="2"/>
      <c r="F63" s="6">
        <f t="shared" si="20"/>
        <v>0.19134644189065395</v>
      </c>
      <c r="G63" s="2"/>
      <c r="H63" s="7">
        <v>15956.265429653798</v>
      </c>
      <c r="I63" s="2"/>
      <c r="J63" s="6">
        <f t="shared" si="21"/>
        <v>0.12581225797276427</v>
      </c>
      <c r="K63" s="2"/>
      <c r="L63" s="7">
        <f t="shared" si="22"/>
        <v>1673.0945703462021</v>
      </c>
      <c r="M63" s="2"/>
      <c r="N63" s="6">
        <f t="shared" si="23"/>
        <v>0.10485502248144182</v>
      </c>
      <c r="O63" s="11"/>
      <c r="P63" s="7">
        <v>17629.36</v>
      </c>
      <c r="Q63" s="2"/>
      <c r="R63" s="6">
        <f t="shared" si="24"/>
        <v>0.19134644189065395</v>
      </c>
      <c r="S63" s="2"/>
      <c r="T63" s="7">
        <v>15956.265429653798</v>
      </c>
      <c r="U63" s="2"/>
      <c r="V63" s="6">
        <f t="shared" si="25"/>
        <v>0.12581225797276427</v>
      </c>
      <c r="W63" s="2"/>
      <c r="X63" s="7">
        <f t="shared" si="26"/>
        <v>1673.0945703462021</v>
      </c>
      <c r="Y63" s="2"/>
      <c r="Z63" s="6">
        <f t="shared" si="27"/>
        <v>0.10485502248144182</v>
      </c>
    </row>
    <row r="64" spans="1:26" s="24" customFormat="1" hidden="1" outlineLevel="2" x14ac:dyDescent="0.25">
      <c r="A64" s="29"/>
      <c r="B64" s="11" t="str">
        <f>CONCATENATE("          ", "6003", " - ", "STAFF HOURLY-9 MONTH")</f>
        <v xml:space="preserve">          6003 - STAFF HOURLY-9 MONTH</v>
      </c>
      <c r="C64" s="11"/>
      <c r="D64" s="7"/>
      <c r="E64" s="2"/>
      <c r="F64" s="6">
        <f t="shared" si="20"/>
        <v>0</v>
      </c>
      <c r="G64" s="2"/>
      <c r="H64" s="7">
        <v>0</v>
      </c>
      <c r="I64" s="2"/>
      <c r="J64" s="6">
        <f t="shared" si="21"/>
        <v>0</v>
      </c>
      <c r="K64" s="2"/>
      <c r="L64" s="7">
        <f t="shared" si="22"/>
        <v>0</v>
      </c>
      <c r="M64" s="2"/>
      <c r="N64" s="6">
        <f t="shared" si="23"/>
        <v>0</v>
      </c>
      <c r="O64" s="11"/>
      <c r="P64" s="7"/>
      <c r="Q64" s="2"/>
      <c r="R64" s="6">
        <f t="shared" si="24"/>
        <v>0</v>
      </c>
      <c r="S64" s="2"/>
      <c r="T64" s="7">
        <v>0</v>
      </c>
      <c r="U64" s="2"/>
      <c r="V64" s="6">
        <f t="shared" si="25"/>
        <v>0</v>
      </c>
      <c r="W64" s="2"/>
      <c r="X64" s="7">
        <f t="shared" si="26"/>
        <v>0</v>
      </c>
      <c r="Y64" s="2"/>
      <c r="Z64" s="6">
        <f t="shared" si="27"/>
        <v>0</v>
      </c>
    </row>
    <row r="65" spans="1:26" s="24" customFormat="1" hidden="1" outlineLevel="2" x14ac:dyDescent="0.25">
      <c r="A65" s="29"/>
      <c r="B65" s="11" t="str">
        <f>CONCATENATE("          ", "6004", " - ", "STAFF HOURLY")</f>
        <v xml:space="preserve">          6004 - STAFF HOURLY</v>
      </c>
      <c r="C65" s="11"/>
      <c r="D65" s="7">
        <v>2005.93</v>
      </c>
      <c r="E65" s="2"/>
      <c r="F65" s="6">
        <f t="shared" si="20"/>
        <v>2.1772064793147312E-2</v>
      </c>
      <c r="G65" s="2"/>
      <c r="H65" s="7">
        <v>7332.4185900000002</v>
      </c>
      <c r="I65" s="2"/>
      <c r="J65" s="6">
        <f t="shared" si="21"/>
        <v>5.7814790263826035E-2</v>
      </c>
      <c r="K65" s="2"/>
      <c r="L65" s="7">
        <f t="shared" si="22"/>
        <v>-5326.4885899999999</v>
      </c>
      <c r="M65" s="2"/>
      <c r="N65" s="6">
        <f t="shared" si="23"/>
        <v>-0.72642996640485025</v>
      </c>
      <c r="O65" s="11"/>
      <c r="P65" s="7">
        <v>2005.93</v>
      </c>
      <c r="Q65" s="2"/>
      <c r="R65" s="6">
        <f t="shared" si="24"/>
        <v>2.1772064793147312E-2</v>
      </c>
      <c r="S65" s="2"/>
      <c r="T65" s="7">
        <v>7332.4185900000002</v>
      </c>
      <c r="U65" s="2"/>
      <c r="V65" s="6">
        <f t="shared" si="25"/>
        <v>5.7814790263826035E-2</v>
      </c>
      <c r="W65" s="2"/>
      <c r="X65" s="7">
        <f t="shared" si="26"/>
        <v>-5326.4885899999999</v>
      </c>
      <c r="Y65" s="2"/>
      <c r="Z65" s="6">
        <f t="shared" si="27"/>
        <v>-0.72642996640485025</v>
      </c>
    </row>
    <row r="66" spans="1:26" s="24" customFormat="1" hidden="1" outlineLevel="2" x14ac:dyDescent="0.25">
      <c r="A66" s="29"/>
      <c r="B66" s="11" t="str">
        <f>CONCATENATE("          ", "6005", " - ", "TEMPORARY WAGES-HOURLY")</f>
        <v xml:space="preserve">          6005 - TEMPORARY WAGES-HOURLY</v>
      </c>
      <c r="C66" s="11"/>
      <c r="D66" s="7">
        <v>1192.4000000000001</v>
      </c>
      <c r="E66" s="2"/>
      <c r="F66" s="6">
        <f t="shared" si="20"/>
        <v>1.2942131609452401E-2</v>
      </c>
      <c r="G66" s="2"/>
      <c r="H66" s="7">
        <v>3434.16</v>
      </c>
      <c r="I66" s="2"/>
      <c r="J66" s="6">
        <f t="shared" si="21"/>
        <v>2.7077728541466263E-2</v>
      </c>
      <c r="K66" s="2"/>
      <c r="L66" s="7">
        <f t="shared" si="22"/>
        <v>-2241.7599999999998</v>
      </c>
      <c r="M66" s="2"/>
      <c r="N66" s="6">
        <f t="shared" si="23"/>
        <v>-0.65278263097817224</v>
      </c>
      <c r="O66" s="11"/>
      <c r="P66" s="7">
        <v>1192.4000000000001</v>
      </c>
      <c r="Q66" s="2"/>
      <c r="R66" s="6">
        <f t="shared" si="24"/>
        <v>1.2942131609452401E-2</v>
      </c>
      <c r="S66" s="2"/>
      <c r="T66" s="7">
        <v>3434.16</v>
      </c>
      <c r="U66" s="2"/>
      <c r="V66" s="6">
        <f t="shared" si="25"/>
        <v>2.7077728541466263E-2</v>
      </c>
      <c r="W66" s="2"/>
      <c r="X66" s="7">
        <f t="shared" si="26"/>
        <v>-2241.7599999999998</v>
      </c>
      <c r="Y66" s="2"/>
      <c r="Z66" s="6">
        <f t="shared" si="27"/>
        <v>-0.65278263097817224</v>
      </c>
    </row>
    <row r="67" spans="1:26" s="24" customFormat="1" hidden="1" outlineLevel="2" x14ac:dyDescent="0.25">
      <c r="A67" s="29"/>
      <c r="B67" s="11" t="str">
        <f>CONCATENATE("          ", "6006", " - ", "TEMPORARY PART TIME")</f>
        <v xml:space="preserve">          6006 - TEMPORARY PART TIME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/>
      <c r="Q67" s="2"/>
      <c r="R67" s="6">
        <f t="shared" si="24"/>
        <v>0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0</v>
      </c>
      <c r="Y67" s="2"/>
      <c r="Z67" s="6">
        <f t="shared" si="27"/>
        <v>0</v>
      </c>
    </row>
    <row r="68" spans="1:26" s="24" customFormat="1" hidden="1" outlineLevel="2" x14ac:dyDescent="0.25">
      <c r="A68" s="29"/>
      <c r="B68" s="11" t="str">
        <f>CONCATENATE("          ", "6007", " - ", "STUDENT HOURLY")</f>
        <v xml:space="preserve">          6007 - STUDENT HOURLY</v>
      </c>
      <c r="C68" s="11"/>
      <c r="D68" s="7">
        <v>5245.62</v>
      </c>
      <c r="E68" s="2"/>
      <c r="F68" s="6">
        <f t="shared" si="20"/>
        <v>5.6935176461905143E-2</v>
      </c>
      <c r="G68" s="2"/>
      <c r="H68" s="7">
        <v>4462.5</v>
      </c>
      <c r="I68" s="2"/>
      <c r="J68" s="6">
        <f t="shared" si="21"/>
        <v>3.5186002870073965E-2</v>
      </c>
      <c r="K68" s="2"/>
      <c r="L68" s="7">
        <f t="shared" si="22"/>
        <v>783.11999999999989</v>
      </c>
      <c r="M68" s="2"/>
      <c r="N68" s="6">
        <f t="shared" si="23"/>
        <v>0.17548907563025207</v>
      </c>
      <c r="O68" s="11"/>
      <c r="P68" s="7">
        <v>5245.62</v>
      </c>
      <c r="Q68" s="2"/>
      <c r="R68" s="6">
        <f t="shared" si="24"/>
        <v>5.6935176461905143E-2</v>
      </c>
      <c r="S68" s="2"/>
      <c r="T68" s="7">
        <v>4462.5</v>
      </c>
      <c r="U68" s="2"/>
      <c r="V68" s="6">
        <f t="shared" si="25"/>
        <v>3.5186002870073965E-2</v>
      </c>
      <c r="W68" s="2"/>
      <c r="X68" s="7">
        <f t="shared" si="26"/>
        <v>783.11999999999989</v>
      </c>
      <c r="Y68" s="2"/>
      <c r="Z68" s="6">
        <f t="shared" si="27"/>
        <v>0.17548907563025207</v>
      </c>
    </row>
    <row r="69" spans="1:26" s="24" customFormat="1" hidden="1" outlineLevel="2" x14ac:dyDescent="0.25">
      <c r="A69" s="29"/>
      <c r="B69" s="11" t="str">
        <f>CONCATENATE("          ", "6008", " - ", "STUDENT HOURLY-FICA EXEMPT")</f>
        <v xml:space="preserve">          6008 - STUDENT HOURLY-FICA EXEMPT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25">
      <c r="A70" s="29"/>
      <c r="B70" s="11" t="str">
        <f>CONCATENATE("          ", "6009", " - ", "TEMPORARY-SEASONAL")</f>
        <v xml:space="preserve">          6009 - TEMPORARY-SEASONAL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4" customFormat="1" hidden="1" outlineLevel="2" x14ac:dyDescent="0.25">
      <c r="A71" s="29"/>
      <c r="B71" s="11" t="str">
        <f>CONCATENATE("          ", "6010", " - ", "GRATUITY")</f>
        <v xml:space="preserve">          6010 - GRATUITY</v>
      </c>
      <c r="C71" s="11"/>
      <c r="D71" s="7"/>
      <c r="E71" s="2"/>
      <c r="F71" s="6">
        <f t="shared" si="20"/>
        <v>0</v>
      </c>
      <c r="G71" s="2"/>
      <c r="H71" s="7">
        <v>0</v>
      </c>
      <c r="I71" s="2"/>
      <c r="J71" s="6">
        <f t="shared" si="21"/>
        <v>0</v>
      </c>
      <c r="K71" s="2"/>
      <c r="L71" s="7">
        <f t="shared" si="22"/>
        <v>0</v>
      </c>
      <c r="M71" s="2"/>
      <c r="N71" s="6">
        <f t="shared" si="23"/>
        <v>0</v>
      </c>
      <c r="O71" s="11"/>
      <c r="P71" s="7"/>
      <c r="Q71" s="2"/>
      <c r="R71" s="6">
        <f t="shared" si="24"/>
        <v>0</v>
      </c>
      <c r="S71" s="2"/>
      <c r="T71" s="7">
        <v>0</v>
      </c>
      <c r="U71" s="2"/>
      <c r="V71" s="6">
        <f t="shared" si="25"/>
        <v>0</v>
      </c>
      <c r="W71" s="2"/>
      <c r="X71" s="7">
        <f t="shared" si="26"/>
        <v>0</v>
      </c>
      <c r="Y71" s="2"/>
      <c r="Z71" s="6">
        <f t="shared" si="27"/>
        <v>0</v>
      </c>
    </row>
    <row r="72" spans="1:26" s="27" customFormat="1" outlineLevel="1" collapsed="1" x14ac:dyDescent="0.25">
      <c r="A72" s="28"/>
      <c r="B72" s="14" t="str">
        <f>CONCATENATE("     ","Advertising/Promo                                 ")</f>
        <v xml:space="preserve">     Advertising/Promo                                 </v>
      </c>
      <c r="C72" s="14"/>
      <c r="D72" s="1">
        <f>SUM(OSRRefD22_2x_0)</f>
        <v>91</v>
      </c>
      <c r="E72" s="1"/>
      <c r="F72" s="5">
        <f t="shared" ref="F72:F88" si="28">IF(D$12=0,0,D72/D$12)</f>
        <v>9.8770041635371387E-4</v>
      </c>
      <c r="G72" s="1"/>
      <c r="H72" s="1">
        <f>SUM(OSRRefH22_2x_0)</f>
        <v>300</v>
      </c>
      <c r="I72" s="1"/>
      <c r="J72" s="5">
        <f t="shared" ref="J72:J88" si="29">IF(H$12=0,0,H72/H$12)</f>
        <v>2.3654455710974093E-3</v>
      </c>
      <c r="K72" s="1"/>
      <c r="L72" s="1">
        <f t="shared" ref="L72:L88" si="30">+D72-H72</f>
        <v>-209</v>
      </c>
      <c r="M72" s="1"/>
      <c r="N72" s="5">
        <f t="shared" ref="N72:N88" si="31">IF(H72=0,0,L72/H72)</f>
        <v>-0.69666666666666666</v>
      </c>
      <c r="O72" s="14"/>
      <c r="P72" s="1">
        <f>SUM(OSRRefP22_2x_0)</f>
        <v>91</v>
      </c>
      <c r="Q72" s="1"/>
      <c r="R72" s="5">
        <f t="shared" ref="R72:R88" si="32">IF(P$12=0,0,P72/P$12)</f>
        <v>9.8770041635371387E-4</v>
      </c>
      <c r="S72" s="1"/>
      <c r="T72" s="1">
        <f>SUM(OSRRefT22_2x_0)</f>
        <v>300</v>
      </c>
      <c r="U72" s="1"/>
      <c r="V72" s="5">
        <f t="shared" ref="V72:V88" si="33">IF(T$12=0,0,T72/T$12)</f>
        <v>2.3654455710974093E-3</v>
      </c>
      <c r="W72" s="1"/>
      <c r="X72" s="1">
        <f t="shared" ref="X72:X88" si="34">+P72-T72</f>
        <v>-209</v>
      </c>
      <c r="Y72" s="1"/>
      <c r="Z72" s="5">
        <f t="shared" ref="Z72:Z88" si="35">IF(T72=0,0,X72/T72)</f>
        <v>-0.69666666666666666</v>
      </c>
    </row>
    <row r="73" spans="1:26" s="24" customFormat="1" hidden="1" outlineLevel="2" x14ac:dyDescent="0.25">
      <c r="A73" s="29"/>
      <c r="B73" s="11" t="str">
        <f>CONCATENATE("          ", "6362", " - ", "ADVERTISING EXPENSE")</f>
        <v xml:space="preserve">          6362 - ADVERTISING EXPENSE</v>
      </c>
      <c r="C73" s="11"/>
      <c r="D73" s="7">
        <v>91</v>
      </c>
      <c r="E73" s="2"/>
      <c r="F73" s="6">
        <f t="shared" si="28"/>
        <v>9.8770041635371387E-4</v>
      </c>
      <c r="G73" s="2"/>
      <c r="H73" s="7">
        <v>300</v>
      </c>
      <c r="I73" s="2"/>
      <c r="J73" s="6">
        <f t="shared" si="29"/>
        <v>2.3654455710974093E-3</v>
      </c>
      <c r="K73" s="2"/>
      <c r="L73" s="7">
        <f t="shared" si="30"/>
        <v>-209</v>
      </c>
      <c r="M73" s="2"/>
      <c r="N73" s="6">
        <f t="shared" si="31"/>
        <v>-0.69666666666666666</v>
      </c>
      <c r="O73" s="11"/>
      <c r="P73" s="7">
        <v>91</v>
      </c>
      <c r="Q73" s="2"/>
      <c r="R73" s="6">
        <f t="shared" si="32"/>
        <v>9.8770041635371387E-4</v>
      </c>
      <c r="S73" s="2"/>
      <c r="T73" s="7">
        <v>300</v>
      </c>
      <c r="U73" s="2"/>
      <c r="V73" s="6">
        <f t="shared" si="33"/>
        <v>2.3654455710974093E-3</v>
      </c>
      <c r="W73" s="2"/>
      <c r="X73" s="7">
        <f t="shared" si="34"/>
        <v>-209</v>
      </c>
      <c r="Y73" s="2"/>
      <c r="Z73" s="6">
        <f t="shared" si="35"/>
        <v>-0.69666666666666666</v>
      </c>
    </row>
    <row r="74" spans="1:26" s="27" customFormat="1" outlineLevel="1" collapsed="1" x14ac:dyDescent="0.25">
      <c r="A74" s="28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SUM(OSRRefD22_3x_0)</f>
        <v>2508.91</v>
      </c>
      <c r="E74" s="1"/>
      <c r="F74" s="5">
        <f t="shared" si="28"/>
        <v>2.7231334632901057E-2</v>
      </c>
      <c r="G74" s="1"/>
      <c r="H74" s="1">
        <f>SUM(OSRRefH22_3x_0)</f>
        <v>1425</v>
      </c>
      <c r="I74" s="1"/>
      <c r="J74" s="5">
        <f t="shared" si="29"/>
        <v>1.1235866462712693E-2</v>
      </c>
      <c r="K74" s="1"/>
      <c r="L74" s="1">
        <f t="shared" si="30"/>
        <v>1083.9099999999999</v>
      </c>
      <c r="M74" s="1"/>
      <c r="N74" s="5">
        <f t="shared" si="31"/>
        <v>0.760638596491228</v>
      </c>
      <c r="O74" s="14"/>
      <c r="P74" s="1">
        <f>SUM(OSRRefP22_3x_0)</f>
        <v>2508.91</v>
      </c>
      <c r="Q74" s="1"/>
      <c r="R74" s="5">
        <f t="shared" si="32"/>
        <v>2.7231334632901057E-2</v>
      </c>
      <c r="S74" s="1"/>
      <c r="T74" s="1">
        <f>SUM(OSRRefT22_3x_0)</f>
        <v>1425</v>
      </c>
      <c r="U74" s="1"/>
      <c r="V74" s="5">
        <f t="shared" si="33"/>
        <v>1.1235866462712693E-2</v>
      </c>
      <c r="W74" s="1"/>
      <c r="X74" s="1">
        <f t="shared" si="34"/>
        <v>1083.9099999999999</v>
      </c>
      <c r="Y74" s="1"/>
      <c r="Z74" s="5">
        <f t="shared" si="35"/>
        <v>0.760638596491228</v>
      </c>
    </row>
    <row r="75" spans="1:26" s="24" customFormat="1" hidden="1" outlineLevel="2" x14ac:dyDescent="0.25">
      <c r="A75" s="29"/>
      <c r="B75" s="11" t="str">
        <f>CONCATENATE("          ", "6382", " - ", "DISCOUNTS/MARK DOWNS")</f>
        <v xml:space="preserve">          6382 - DISCOUNTS/MARK DOWNS</v>
      </c>
      <c r="C75" s="11"/>
      <c r="D75" s="7">
        <v>2508.91</v>
      </c>
      <c r="E75" s="2"/>
      <c r="F75" s="6">
        <f t="shared" si="28"/>
        <v>2.7231334632901057E-2</v>
      </c>
      <c r="G75" s="2"/>
      <c r="H75" s="7">
        <v>1425</v>
      </c>
      <c r="I75" s="2"/>
      <c r="J75" s="6">
        <f t="shared" si="29"/>
        <v>1.1235866462712693E-2</v>
      </c>
      <c r="K75" s="2"/>
      <c r="L75" s="7">
        <f t="shared" si="30"/>
        <v>1083.9099999999999</v>
      </c>
      <c r="M75" s="2"/>
      <c r="N75" s="6">
        <f t="shared" si="31"/>
        <v>0.760638596491228</v>
      </c>
      <c r="O75" s="11"/>
      <c r="P75" s="7">
        <v>2508.91</v>
      </c>
      <c r="Q75" s="2"/>
      <c r="R75" s="6">
        <f t="shared" si="32"/>
        <v>2.7231334632901057E-2</v>
      </c>
      <c r="S75" s="2"/>
      <c r="T75" s="7">
        <v>1425</v>
      </c>
      <c r="U75" s="2"/>
      <c r="V75" s="6">
        <f t="shared" si="33"/>
        <v>1.1235866462712693E-2</v>
      </c>
      <c r="W75" s="2"/>
      <c r="X75" s="7">
        <f t="shared" si="34"/>
        <v>1083.9099999999999</v>
      </c>
      <c r="Y75" s="2"/>
      <c r="Z75" s="6">
        <f t="shared" si="35"/>
        <v>0.760638596491228</v>
      </c>
    </row>
    <row r="76" spans="1:26" s="27" customFormat="1" outlineLevel="1" collapsed="1" x14ac:dyDescent="0.25">
      <c r="A76" s="28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SUM(OSRRefD22_4x_0)</f>
        <v>0</v>
      </c>
      <c r="E76" s="1"/>
      <c r="F76" s="5">
        <f t="shared" si="28"/>
        <v>0</v>
      </c>
      <c r="G76" s="1"/>
      <c r="H76" s="1">
        <f>SUM(OSRRefH22_4x_0)</f>
        <v>100</v>
      </c>
      <c r="I76" s="1"/>
      <c r="J76" s="5">
        <f t="shared" si="29"/>
        <v>7.8848185703246979E-4</v>
      </c>
      <c r="K76" s="1"/>
      <c r="L76" s="1">
        <f t="shared" si="30"/>
        <v>-100</v>
      </c>
      <c r="M76" s="1"/>
      <c r="N76" s="5">
        <f t="shared" si="31"/>
        <v>-1</v>
      </c>
      <c r="O76" s="14"/>
      <c r="P76" s="1">
        <f>SUM(OSRRefP22_4x_0)</f>
        <v>0</v>
      </c>
      <c r="Q76" s="1"/>
      <c r="R76" s="5">
        <f t="shared" si="32"/>
        <v>0</v>
      </c>
      <c r="S76" s="1"/>
      <c r="T76" s="1">
        <f>SUM(OSRRefT22_4x_0)</f>
        <v>100</v>
      </c>
      <c r="U76" s="1"/>
      <c r="V76" s="5">
        <f t="shared" si="33"/>
        <v>7.8848185703246979E-4</v>
      </c>
      <c r="W76" s="1"/>
      <c r="X76" s="1">
        <f t="shared" si="34"/>
        <v>-100</v>
      </c>
      <c r="Y76" s="1"/>
      <c r="Z76" s="5">
        <f t="shared" si="35"/>
        <v>-1</v>
      </c>
    </row>
    <row r="77" spans="1:26" s="24" customFormat="1" hidden="1" outlineLevel="2" x14ac:dyDescent="0.25">
      <c r="A77" s="29"/>
      <c r="B77" s="11" t="str">
        <f>CONCATENATE("          ", "6277", " - ", "EMPLOYEE APPRECIATION")</f>
        <v xml:space="preserve">          6277 - EMPLOYEE APPRECIATION</v>
      </c>
      <c r="C77" s="11"/>
      <c r="D77" s="7"/>
      <c r="E77" s="2"/>
      <c r="F77" s="6">
        <f t="shared" si="28"/>
        <v>0</v>
      </c>
      <c r="G77" s="2"/>
      <c r="H77" s="7">
        <v>100</v>
      </c>
      <c r="I77" s="2"/>
      <c r="J77" s="6">
        <f t="shared" si="29"/>
        <v>7.8848185703246979E-4</v>
      </c>
      <c r="K77" s="2"/>
      <c r="L77" s="7">
        <f t="shared" si="30"/>
        <v>-100</v>
      </c>
      <c r="M77" s="2"/>
      <c r="N77" s="6">
        <f t="shared" si="31"/>
        <v>-1</v>
      </c>
      <c r="O77" s="11"/>
      <c r="P77" s="7"/>
      <c r="Q77" s="2"/>
      <c r="R77" s="6">
        <f t="shared" si="32"/>
        <v>0</v>
      </c>
      <c r="S77" s="2"/>
      <c r="T77" s="7">
        <v>100</v>
      </c>
      <c r="U77" s="2"/>
      <c r="V77" s="6">
        <f t="shared" si="33"/>
        <v>7.8848185703246979E-4</v>
      </c>
      <c r="W77" s="2"/>
      <c r="X77" s="7">
        <f t="shared" si="34"/>
        <v>-100</v>
      </c>
      <c r="Y77" s="2"/>
      <c r="Z77" s="6">
        <f t="shared" si="35"/>
        <v>-1</v>
      </c>
    </row>
    <row r="78" spans="1:26" s="27" customFormat="1" outlineLevel="1" collapsed="1" x14ac:dyDescent="0.25">
      <c r="A78" s="28"/>
      <c r="B78" s="14" t="str">
        <f>CONCATENATE("     ","Equipment Rental                                  ")</f>
        <v xml:space="preserve">     Equipment Rental                                  </v>
      </c>
      <c r="C78" s="14"/>
      <c r="D78" s="1">
        <f>SUM(OSRRefD22_5x_0)</f>
        <v>91.26</v>
      </c>
      <c r="E78" s="1"/>
      <c r="F78" s="5">
        <f t="shared" si="28"/>
        <v>9.9052241754329592E-4</v>
      </c>
      <c r="G78" s="1"/>
      <c r="H78" s="1">
        <f>SUM(OSRRefH22_5x_0)</f>
        <v>100</v>
      </c>
      <c r="I78" s="1"/>
      <c r="J78" s="5">
        <f t="shared" si="29"/>
        <v>7.8848185703246979E-4</v>
      </c>
      <c r="K78" s="1"/>
      <c r="L78" s="1">
        <f t="shared" si="30"/>
        <v>-8.7399999999999949</v>
      </c>
      <c r="M78" s="1"/>
      <c r="N78" s="5">
        <f t="shared" si="31"/>
        <v>-8.739999999999995E-2</v>
      </c>
      <c r="O78" s="14"/>
      <c r="P78" s="1">
        <f>SUM(OSRRefP22_5x_0)</f>
        <v>91.26</v>
      </c>
      <c r="Q78" s="1"/>
      <c r="R78" s="5">
        <f t="shared" si="32"/>
        <v>9.9052241754329592E-4</v>
      </c>
      <c r="S78" s="1"/>
      <c r="T78" s="1">
        <f>SUM(OSRRefT22_5x_0)</f>
        <v>100</v>
      </c>
      <c r="U78" s="1"/>
      <c r="V78" s="5">
        <f t="shared" si="33"/>
        <v>7.8848185703246979E-4</v>
      </c>
      <c r="W78" s="1"/>
      <c r="X78" s="1">
        <f t="shared" si="34"/>
        <v>-8.7399999999999949</v>
      </c>
      <c r="Y78" s="1"/>
      <c r="Z78" s="5">
        <f t="shared" si="35"/>
        <v>-8.739999999999995E-2</v>
      </c>
    </row>
    <row r="79" spans="1:26" s="24" customFormat="1" hidden="1" outlineLevel="2" x14ac:dyDescent="0.25">
      <c r="A79" s="29"/>
      <c r="B79" s="11" t="str">
        <f>CONCATENATE("          ", "6351", " - ", "EQUIPMENT RENTAL")</f>
        <v xml:space="preserve">          6351 - EQUIPMENT RENTAL</v>
      </c>
      <c r="C79" s="11"/>
      <c r="D79" s="7">
        <v>91.26</v>
      </c>
      <c r="E79" s="2"/>
      <c r="F79" s="6">
        <f t="shared" si="28"/>
        <v>9.9052241754329592E-4</v>
      </c>
      <c r="G79" s="2"/>
      <c r="H79" s="7">
        <v>100</v>
      </c>
      <c r="I79" s="2"/>
      <c r="J79" s="6">
        <f t="shared" si="29"/>
        <v>7.8848185703246979E-4</v>
      </c>
      <c r="K79" s="2"/>
      <c r="L79" s="7">
        <f t="shared" si="30"/>
        <v>-8.7399999999999949</v>
      </c>
      <c r="M79" s="2"/>
      <c r="N79" s="6">
        <f t="shared" si="31"/>
        <v>-8.739999999999995E-2</v>
      </c>
      <c r="O79" s="11"/>
      <c r="P79" s="7">
        <v>91.26</v>
      </c>
      <c r="Q79" s="2"/>
      <c r="R79" s="6">
        <f t="shared" si="32"/>
        <v>9.9052241754329592E-4</v>
      </c>
      <c r="S79" s="2"/>
      <c r="T79" s="7">
        <v>100</v>
      </c>
      <c r="U79" s="2"/>
      <c r="V79" s="6">
        <f t="shared" si="33"/>
        <v>7.8848185703246979E-4</v>
      </c>
      <c r="W79" s="2"/>
      <c r="X79" s="7">
        <f t="shared" si="34"/>
        <v>-8.7399999999999949</v>
      </c>
      <c r="Y79" s="2"/>
      <c r="Z79" s="6">
        <f t="shared" si="35"/>
        <v>-8.739999999999995E-2</v>
      </c>
    </row>
    <row r="80" spans="1:26" s="27" customFormat="1" outlineLevel="1" collapsed="1" x14ac:dyDescent="0.25">
      <c r="A80" s="28"/>
      <c r="B80" s="14" t="str">
        <f>CONCATENATE("     ","Freight out/Postage                               ")</f>
        <v xml:space="preserve">     Freight out/Postage                               </v>
      </c>
      <c r="C80" s="14"/>
      <c r="D80" s="1">
        <f>SUM(OSRRefD22_6x_0)</f>
        <v>364.59</v>
      </c>
      <c r="E80" s="1"/>
      <c r="F80" s="5">
        <f t="shared" si="28"/>
        <v>3.9572054373450604E-3</v>
      </c>
      <c r="G80" s="1"/>
      <c r="H80" s="1">
        <f>SUM(OSRRefH22_6x_0)</f>
        <v>500</v>
      </c>
      <c r="I80" s="1"/>
      <c r="J80" s="5">
        <f t="shared" si="29"/>
        <v>3.9424092851623486E-3</v>
      </c>
      <c r="K80" s="1"/>
      <c r="L80" s="1">
        <f t="shared" si="30"/>
        <v>-135.41000000000003</v>
      </c>
      <c r="M80" s="1"/>
      <c r="N80" s="5">
        <f t="shared" si="31"/>
        <v>-0.27082000000000006</v>
      </c>
      <c r="O80" s="14"/>
      <c r="P80" s="1">
        <f>SUM(OSRRefP22_6x_0)</f>
        <v>364.59</v>
      </c>
      <c r="Q80" s="1"/>
      <c r="R80" s="5">
        <f t="shared" si="32"/>
        <v>3.9572054373450604E-3</v>
      </c>
      <c r="S80" s="1"/>
      <c r="T80" s="1">
        <f>SUM(OSRRefT22_6x_0)</f>
        <v>500</v>
      </c>
      <c r="U80" s="1"/>
      <c r="V80" s="5">
        <f t="shared" si="33"/>
        <v>3.9424092851623486E-3</v>
      </c>
      <c r="W80" s="1"/>
      <c r="X80" s="1">
        <f t="shared" si="34"/>
        <v>-135.41000000000003</v>
      </c>
      <c r="Y80" s="1"/>
      <c r="Z80" s="5">
        <f t="shared" si="35"/>
        <v>-0.27082000000000006</v>
      </c>
    </row>
    <row r="81" spans="1:26" s="24" customFormat="1" hidden="1" outlineLevel="2" x14ac:dyDescent="0.25">
      <c r="A81" s="29"/>
      <c r="B81" s="11" t="str">
        <f>CONCATENATE("          ", "6305", " - ", "FREIGHT OUT")</f>
        <v xml:space="preserve">          6305 - FREIGHT OUT</v>
      </c>
      <c r="C81" s="11"/>
      <c r="D81" s="7">
        <v>364.59</v>
      </c>
      <c r="E81" s="2"/>
      <c r="F81" s="6">
        <f t="shared" si="28"/>
        <v>3.9572054373450604E-3</v>
      </c>
      <c r="G81" s="2"/>
      <c r="H81" s="7">
        <v>500</v>
      </c>
      <c r="I81" s="2"/>
      <c r="J81" s="6">
        <f t="shared" si="29"/>
        <v>3.9424092851623486E-3</v>
      </c>
      <c r="K81" s="2"/>
      <c r="L81" s="7">
        <f t="shared" si="30"/>
        <v>-135.41000000000003</v>
      </c>
      <c r="M81" s="2"/>
      <c r="N81" s="6">
        <f t="shared" si="31"/>
        <v>-0.27082000000000006</v>
      </c>
      <c r="O81" s="11"/>
      <c r="P81" s="7">
        <v>364.59</v>
      </c>
      <c r="Q81" s="2"/>
      <c r="R81" s="6">
        <f t="shared" si="32"/>
        <v>3.9572054373450604E-3</v>
      </c>
      <c r="S81" s="2"/>
      <c r="T81" s="7">
        <v>500</v>
      </c>
      <c r="U81" s="2"/>
      <c r="V81" s="6">
        <f t="shared" si="33"/>
        <v>3.9424092851623486E-3</v>
      </c>
      <c r="W81" s="2"/>
      <c r="X81" s="7">
        <f t="shared" si="34"/>
        <v>-135.41000000000003</v>
      </c>
      <c r="Y81" s="2"/>
      <c r="Z81" s="6">
        <f t="shared" si="35"/>
        <v>-0.27082000000000006</v>
      </c>
    </row>
    <row r="82" spans="1:26" s="27" customFormat="1" outlineLevel="1" collapsed="1" x14ac:dyDescent="0.25">
      <c r="A82" s="28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SUM(OSRRefD22_7x_0)</f>
        <v>7.84</v>
      </c>
      <c r="E82" s="1"/>
      <c r="F82" s="5">
        <f t="shared" si="28"/>
        <v>8.5094189716627657E-5</v>
      </c>
      <c r="G82" s="1"/>
      <c r="H82" s="1">
        <f>SUM(OSRRefH22_7x_0)</f>
        <v>0</v>
      </c>
      <c r="I82" s="1"/>
      <c r="J82" s="5">
        <f t="shared" si="29"/>
        <v>0</v>
      </c>
      <c r="K82" s="1"/>
      <c r="L82" s="1">
        <f t="shared" si="30"/>
        <v>7.84</v>
      </c>
      <c r="M82" s="1"/>
      <c r="N82" s="5">
        <f t="shared" si="31"/>
        <v>0</v>
      </c>
      <c r="O82" s="14"/>
      <c r="P82" s="1">
        <f>SUM(OSRRefP22_7x_0)</f>
        <v>7.84</v>
      </c>
      <c r="Q82" s="1"/>
      <c r="R82" s="5">
        <f t="shared" si="32"/>
        <v>8.5094189716627657E-5</v>
      </c>
      <c r="S82" s="1"/>
      <c r="T82" s="1">
        <f>SUM(OSRRefT22_7x_0)</f>
        <v>0</v>
      </c>
      <c r="U82" s="1"/>
      <c r="V82" s="5">
        <f t="shared" si="33"/>
        <v>0</v>
      </c>
      <c r="W82" s="1"/>
      <c r="X82" s="1">
        <f t="shared" si="34"/>
        <v>7.84</v>
      </c>
      <c r="Y82" s="1"/>
      <c r="Z82" s="5">
        <f t="shared" si="35"/>
        <v>0</v>
      </c>
    </row>
    <row r="83" spans="1:26" s="24" customFormat="1" hidden="1" outlineLevel="2" x14ac:dyDescent="0.25">
      <c r="A83" s="29"/>
      <c r="B83" s="11" t="str">
        <f>CONCATENATE("          ", "6279", " - ", "GENERAL EXPENSE")</f>
        <v xml:space="preserve">          6279 - GENERAL EXPENSE</v>
      </c>
      <c r="C83" s="11"/>
      <c r="D83" s="7">
        <v>7.84</v>
      </c>
      <c r="E83" s="2"/>
      <c r="F83" s="6">
        <f t="shared" si="28"/>
        <v>8.5094189716627657E-5</v>
      </c>
      <c r="G83" s="2"/>
      <c r="H83" s="7"/>
      <c r="I83" s="2"/>
      <c r="J83" s="6">
        <f t="shared" si="29"/>
        <v>0</v>
      </c>
      <c r="K83" s="2"/>
      <c r="L83" s="7">
        <f t="shared" si="30"/>
        <v>7.84</v>
      </c>
      <c r="M83" s="2"/>
      <c r="N83" s="6">
        <f t="shared" si="31"/>
        <v>0</v>
      </c>
      <c r="O83" s="11"/>
      <c r="P83" s="7">
        <v>7.84</v>
      </c>
      <c r="Q83" s="2"/>
      <c r="R83" s="6">
        <f t="shared" si="32"/>
        <v>8.5094189716627657E-5</v>
      </c>
      <c r="S83" s="2"/>
      <c r="T83" s="7"/>
      <c r="U83" s="2"/>
      <c r="V83" s="6">
        <f t="shared" si="33"/>
        <v>0</v>
      </c>
      <c r="W83" s="2"/>
      <c r="X83" s="7">
        <f t="shared" si="34"/>
        <v>7.84</v>
      </c>
      <c r="Y83" s="2"/>
      <c r="Z83" s="6">
        <f t="shared" si="35"/>
        <v>0</v>
      </c>
    </row>
    <row r="84" spans="1:26" s="27" customFormat="1" outlineLevel="1" collapsed="1" x14ac:dyDescent="0.25">
      <c r="A84" s="28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SUM(OSRRefD22_8x_0)</f>
        <v>1000</v>
      </c>
      <c r="E84" s="1"/>
      <c r="F84" s="5">
        <f t="shared" si="28"/>
        <v>1.0853850729161691E-2</v>
      </c>
      <c r="G84" s="1"/>
      <c r="H84" s="1">
        <f>SUM(OSRRefH22_8x_0)</f>
        <v>1000</v>
      </c>
      <c r="I84" s="1"/>
      <c r="J84" s="5">
        <f t="shared" si="29"/>
        <v>7.8848185703246972E-3</v>
      </c>
      <c r="K84" s="1"/>
      <c r="L84" s="1">
        <f t="shared" si="30"/>
        <v>0</v>
      </c>
      <c r="M84" s="1"/>
      <c r="N84" s="5">
        <f t="shared" si="31"/>
        <v>0</v>
      </c>
      <c r="O84" s="14"/>
      <c r="P84" s="1">
        <f>SUM(OSRRefP22_8x_0)</f>
        <v>1000</v>
      </c>
      <c r="Q84" s="1"/>
      <c r="R84" s="5">
        <f t="shared" si="32"/>
        <v>1.0853850729161691E-2</v>
      </c>
      <c r="S84" s="1"/>
      <c r="T84" s="1">
        <f>SUM(OSRRefT22_8x_0)</f>
        <v>1000</v>
      </c>
      <c r="U84" s="1"/>
      <c r="V84" s="5">
        <f t="shared" si="33"/>
        <v>7.8848185703246972E-3</v>
      </c>
      <c r="W84" s="1"/>
      <c r="X84" s="1">
        <f t="shared" si="34"/>
        <v>0</v>
      </c>
      <c r="Y84" s="1"/>
      <c r="Z84" s="5">
        <f t="shared" si="35"/>
        <v>0</v>
      </c>
    </row>
    <row r="85" spans="1:26" s="24" customFormat="1" hidden="1" outlineLevel="2" x14ac:dyDescent="0.25">
      <c r="A85" s="29"/>
      <c r="B85" s="11" t="str">
        <f>CONCATENATE("          ", "6408", " - ", "INVENTORY ADJUSTMENT")</f>
        <v xml:space="preserve">          6408 - INVENTORY ADJUSTMENT</v>
      </c>
      <c r="C85" s="11"/>
      <c r="D85" s="7">
        <v>1000</v>
      </c>
      <c r="E85" s="2"/>
      <c r="F85" s="6">
        <f t="shared" si="28"/>
        <v>1.0853850729161691E-2</v>
      </c>
      <c r="G85" s="2"/>
      <c r="H85" s="7">
        <v>1000</v>
      </c>
      <c r="I85" s="2"/>
      <c r="J85" s="6">
        <f t="shared" si="29"/>
        <v>7.8848185703246972E-3</v>
      </c>
      <c r="K85" s="2"/>
      <c r="L85" s="7">
        <f t="shared" si="30"/>
        <v>0</v>
      </c>
      <c r="M85" s="2"/>
      <c r="N85" s="6">
        <f t="shared" si="31"/>
        <v>0</v>
      </c>
      <c r="O85" s="11"/>
      <c r="P85" s="7">
        <v>1000</v>
      </c>
      <c r="Q85" s="2"/>
      <c r="R85" s="6">
        <f t="shared" si="32"/>
        <v>1.0853850729161691E-2</v>
      </c>
      <c r="S85" s="2"/>
      <c r="T85" s="7">
        <v>1000</v>
      </c>
      <c r="U85" s="2"/>
      <c r="V85" s="6">
        <f t="shared" si="33"/>
        <v>7.8848185703246972E-3</v>
      </c>
      <c r="W85" s="2"/>
      <c r="X85" s="7">
        <f t="shared" si="34"/>
        <v>0</v>
      </c>
      <c r="Y85" s="2"/>
      <c r="Z85" s="6">
        <f t="shared" si="35"/>
        <v>0</v>
      </c>
    </row>
    <row r="86" spans="1:26" s="27" customFormat="1" outlineLevel="1" collapsed="1" x14ac:dyDescent="0.25">
      <c r="A86" s="28"/>
      <c r="B86" s="14" t="str">
        <f>CONCATENATE("     ","Repair and Maintenance                            ")</f>
        <v xml:space="preserve">     Repair and Maintenance                            </v>
      </c>
      <c r="C86" s="14"/>
      <c r="D86" s="1">
        <f>SUM(OSRRefD22_9x_0)</f>
        <v>20.46</v>
      </c>
      <c r="E86" s="1"/>
      <c r="F86" s="5">
        <f t="shared" si="28"/>
        <v>2.220697859186482E-4</v>
      </c>
      <c r="G86" s="1"/>
      <c r="H86" s="1">
        <f>SUM(OSRRefH22_9x_0)</f>
        <v>140</v>
      </c>
      <c r="I86" s="1"/>
      <c r="J86" s="5">
        <f t="shared" si="29"/>
        <v>1.1038745998454577E-3</v>
      </c>
      <c r="K86" s="1"/>
      <c r="L86" s="1">
        <f t="shared" si="30"/>
        <v>-119.53999999999999</v>
      </c>
      <c r="M86" s="1"/>
      <c r="N86" s="5">
        <f t="shared" si="31"/>
        <v>-0.85385714285714276</v>
      </c>
      <c r="O86" s="14"/>
      <c r="P86" s="1">
        <f>SUM(OSRRefP22_9x_0)</f>
        <v>20.46</v>
      </c>
      <c r="Q86" s="1"/>
      <c r="R86" s="5">
        <f t="shared" si="32"/>
        <v>2.220697859186482E-4</v>
      </c>
      <c r="S86" s="1"/>
      <c r="T86" s="1">
        <f>SUM(OSRRefT22_9x_0)</f>
        <v>140</v>
      </c>
      <c r="U86" s="1"/>
      <c r="V86" s="5">
        <f t="shared" si="33"/>
        <v>1.1038745998454577E-3</v>
      </c>
      <c r="W86" s="1"/>
      <c r="X86" s="1">
        <f t="shared" si="34"/>
        <v>-119.53999999999999</v>
      </c>
      <c r="Y86" s="1"/>
      <c r="Z86" s="5">
        <f t="shared" si="35"/>
        <v>-0.85385714285714276</v>
      </c>
    </row>
    <row r="87" spans="1:26" s="24" customFormat="1" hidden="1" outlineLevel="2" x14ac:dyDescent="0.25">
      <c r="A87" s="29"/>
      <c r="B87" s="11" t="str">
        <f>CONCATENATE("          ", "6373", " - ", "MAINTENANCE CONTRACTS")</f>
        <v xml:space="preserve">          6373 - MAINTENANCE CONTRACTS</v>
      </c>
      <c r="C87" s="11"/>
      <c r="D87" s="7">
        <v>20.46</v>
      </c>
      <c r="E87" s="2"/>
      <c r="F87" s="6">
        <f t="shared" si="28"/>
        <v>2.220697859186482E-4</v>
      </c>
      <c r="G87" s="2"/>
      <c r="H87" s="7">
        <v>40</v>
      </c>
      <c r="I87" s="2"/>
      <c r="J87" s="6">
        <f t="shared" si="29"/>
        <v>3.1539274281298788E-4</v>
      </c>
      <c r="K87" s="2"/>
      <c r="L87" s="7">
        <f t="shared" si="30"/>
        <v>-19.54</v>
      </c>
      <c r="M87" s="2"/>
      <c r="N87" s="6">
        <f t="shared" si="31"/>
        <v>-0.48849999999999999</v>
      </c>
      <c r="O87" s="11"/>
      <c r="P87" s="7">
        <v>20.46</v>
      </c>
      <c r="Q87" s="2"/>
      <c r="R87" s="6">
        <f t="shared" si="32"/>
        <v>2.220697859186482E-4</v>
      </c>
      <c r="S87" s="2"/>
      <c r="T87" s="7">
        <v>40</v>
      </c>
      <c r="U87" s="2"/>
      <c r="V87" s="6">
        <f t="shared" si="33"/>
        <v>3.1539274281298788E-4</v>
      </c>
      <c r="W87" s="2"/>
      <c r="X87" s="7">
        <f t="shared" si="34"/>
        <v>-19.54</v>
      </c>
      <c r="Y87" s="2"/>
      <c r="Z87" s="6">
        <f t="shared" si="35"/>
        <v>-0.48849999999999999</v>
      </c>
    </row>
    <row r="88" spans="1:26" s="24" customFormat="1" hidden="1" outlineLevel="2" x14ac:dyDescent="0.25">
      <c r="A88" s="29"/>
      <c r="B88" s="11" t="str">
        <f>CONCATENATE("          ", "6375", " - ", "OUTSIDE REPAIRS &amp; MAINTENANCE")</f>
        <v xml:space="preserve">          6375 - OUTSIDE REPAIRS &amp; MAINTENANCE</v>
      </c>
      <c r="C88" s="11"/>
      <c r="D88" s="7"/>
      <c r="E88" s="2"/>
      <c r="F88" s="6">
        <f t="shared" si="28"/>
        <v>0</v>
      </c>
      <c r="G88" s="2"/>
      <c r="H88" s="7">
        <v>100</v>
      </c>
      <c r="I88" s="2"/>
      <c r="J88" s="6">
        <f t="shared" si="29"/>
        <v>7.8848185703246979E-4</v>
      </c>
      <c r="K88" s="2"/>
      <c r="L88" s="7">
        <f t="shared" si="30"/>
        <v>-100</v>
      </c>
      <c r="M88" s="2"/>
      <c r="N88" s="6">
        <f t="shared" si="31"/>
        <v>-1</v>
      </c>
      <c r="O88" s="11"/>
      <c r="P88" s="7"/>
      <c r="Q88" s="2"/>
      <c r="R88" s="6">
        <f t="shared" si="32"/>
        <v>0</v>
      </c>
      <c r="S88" s="2"/>
      <c r="T88" s="7">
        <v>100</v>
      </c>
      <c r="U88" s="2"/>
      <c r="V88" s="6">
        <f t="shared" si="33"/>
        <v>7.8848185703246979E-4</v>
      </c>
      <c r="W88" s="2"/>
      <c r="X88" s="7">
        <f t="shared" si="34"/>
        <v>-100</v>
      </c>
      <c r="Y88" s="2"/>
      <c r="Z88" s="6">
        <f t="shared" si="35"/>
        <v>-1</v>
      </c>
    </row>
    <row r="89" spans="1:26" s="27" customFormat="1" outlineLevel="1" collapsed="1" x14ac:dyDescent="0.25">
      <c r="A89" s="28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1">
        <f>SUM(OSRRefD22_10x_0)</f>
        <v>288.85000000000002</v>
      </c>
      <c r="E89" s="1"/>
      <c r="F89" s="5">
        <f t="shared" ref="F89:F94" si="36">IF(D$12=0,0,D89/D$12)</f>
        <v>3.1351347831183544E-3</v>
      </c>
      <c r="G89" s="1"/>
      <c r="H89" s="1">
        <f>SUM(OSRRefH22_10x_0)</f>
        <v>300</v>
      </c>
      <c r="I89" s="1"/>
      <c r="J89" s="5">
        <f t="shared" ref="J89:J94" si="37">IF(H$12=0,0,H89/H$12)</f>
        <v>2.3654455710974093E-3</v>
      </c>
      <c r="K89" s="1"/>
      <c r="L89" s="1">
        <f t="shared" ref="L89:L94" si="38">+D89-H89</f>
        <v>-11.149999999999977</v>
      </c>
      <c r="M89" s="1"/>
      <c r="N89" s="5">
        <f t="shared" ref="N89:N94" si="39">IF(H89=0,0,L89/H89)</f>
        <v>-3.7166666666666591E-2</v>
      </c>
      <c r="O89" s="14"/>
      <c r="P89" s="1">
        <f>SUM(OSRRefP22_10x_0)</f>
        <v>288.85000000000002</v>
      </c>
      <c r="Q89" s="1"/>
      <c r="R89" s="5">
        <f t="shared" ref="R89:R94" si="40">IF(P$12=0,0,P89/P$12)</f>
        <v>3.1351347831183544E-3</v>
      </c>
      <c r="S89" s="1"/>
      <c r="T89" s="1">
        <f>SUM(OSRRefT22_10x_0)</f>
        <v>300</v>
      </c>
      <c r="U89" s="1"/>
      <c r="V89" s="5">
        <f t="shared" ref="V89:V94" si="41">IF(T$12=0,0,T89/T$12)</f>
        <v>2.3654455710974093E-3</v>
      </c>
      <c r="W89" s="1"/>
      <c r="X89" s="1">
        <f t="shared" ref="X89:X94" si="42">+P89-T89</f>
        <v>-11.149999999999977</v>
      </c>
      <c r="Y89" s="1"/>
      <c r="Z89" s="5">
        <f t="shared" ref="Z89:Z94" si="43">IF(T89=0,0,X89/T89)</f>
        <v>-3.7166666666666591E-2</v>
      </c>
    </row>
    <row r="90" spans="1:26" s="24" customFormat="1" hidden="1" outlineLevel="2" x14ac:dyDescent="0.25">
      <c r="A90" s="29"/>
      <c r="B90" s="11" t="str">
        <f>CONCATENATE("          ", "6258", " - ", "MEMBERSHIP DUES")</f>
        <v xml:space="preserve">          6258 - MEMBERSHIP DUES</v>
      </c>
      <c r="C90" s="11"/>
      <c r="D90" s="7">
        <v>288.85000000000002</v>
      </c>
      <c r="E90" s="2"/>
      <c r="F90" s="6">
        <f t="shared" si="36"/>
        <v>3.1351347831183544E-3</v>
      </c>
      <c r="G90" s="2"/>
      <c r="H90" s="7">
        <v>300</v>
      </c>
      <c r="I90" s="2"/>
      <c r="J90" s="6">
        <f t="shared" si="37"/>
        <v>2.3654455710974093E-3</v>
      </c>
      <c r="K90" s="2"/>
      <c r="L90" s="7">
        <f t="shared" si="38"/>
        <v>-11.149999999999977</v>
      </c>
      <c r="M90" s="2"/>
      <c r="N90" s="6">
        <f t="shared" si="39"/>
        <v>-3.7166666666666591E-2</v>
      </c>
      <c r="O90" s="11"/>
      <c r="P90" s="7">
        <v>288.85000000000002</v>
      </c>
      <c r="Q90" s="2"/>
      <c r="R90" s="6">
        <f t="shared" si="40"/>
        <v>3.1351347831183544E-3</v>
      </c>
      <c r="S90" s="2"/>
      <c r="T90" s="7">
        <v>300</v>
      </c>
      <c r="U90" s="2"/>
      <c r="V90" s="6">
        <f t="shared" si="41"/>
        <v>2.3654455710974093E-3</v>
      </c>
      <c r="W90" s="2"/>
      <c r="X90" s="7">
        <f t="shared" si="42"/>
        <v>-11.149999999999977</v>
      </c>
      <c r="Y90" s="2"/>
      <c r="Z90" s="6">
        <f t="shared" si="43"/>
        <v>-3.7166666666666591E-2</v>
      </c>
    </row>
    <row r="91" spans="1:26" s="27" customFormat="1" outlineLevel="1" collapsed="1" x14ac:dyDescent="0.25">
      <c r="A91" s="28"/>
      <c r="B91" s="14" t="str">
        <f>CONCATENATE("     ","Supplies                                          ")</f>
        <v xml:space="preserve">     Supplies                                          </v>
      </c>
      <c r="C91" s="14"/>
      <c r="D91" s="1">
        <f>SUM(OSRRefD22_11x_0)</f>
        <v>277.56</v>
      </c>
      <c r="E91" s="1"/>
      <c r="F91" s="5">
        <f t="shared" si="36"/>
        <v>3.0125948083861188E-3</v>
      </c>
      <c r="G91" s="1"/>
      <c r="H91" s="1">
        <f>SUM(OSRRefH22_11x_0)</f>
        <v>1600</v>
      </c>
      <c r="I91" s="1"/>
      <c r="J91" s="5">
        <f t="shared" si="37"/>
        <v>1.2615709712519517E-2</v>
      </c>
      <c r="K91" s="1"/>
      <c r="L91" s="1">
        <f t="shared" si="38"/>
        <v>-1322.44</v>
      </c>
      <c r="M91" s="1"/>
      <c r="N91" s="5">
        <f t="shared" si="39"/>
        <v>-0.82652500000000007</v>
      </c>
      <c r="O91" s="14"/>
      <c r="P91" s="1">
        <f>SUM(OSRRefP22_11x_0)</f>
        <v>277.56</v>
      </c>
      <c r="Q91" s="1"/>
      <c r="R91" s="5">
        <f t="shared" si="40"/>
        <v>3.0125948083861188E-3</v>
      </c>
      <c r="S91" s="1"/>
      <c r="T91" s="1">
        <f>SUM(OSRRefT22_11x_0)</f>
        <v>1600</v>
      </c>
      <c r="U91" s="1"/>
      <c r="V91" s="5">
        <f t="shared" si="41"/>
        <v>1.2615709712519517E-2</v>
      </c>
      <c r="W91" s="1"/>
      <c r="X91" s="1">
        <f t="shared" si="42"/>
        <v>-1322.44</v>
      </c>
      <c r="Y91" s="1"/>
      <c r="Z91" s="5">
        <f t="shared" si="43"/>
        <v>-0.82652500000000007</v>
      </c>
    </row>
    <row r="92" spans="1:26" s="24" customFormat="1" hidden="1" outlineLevel="2" x14ac:dyDescent="0.25">
      <c r="A92" s="29"/>
      <c r="B92" s="11" t="str">
        <f>CONCATENATE("          ", "6241", " - ", "OFFICE EXPENSE")</f>
        <v xml:space="preserve">          6241 - OFFICE EXPENSE</v>
      </c>
      <c r="C92" s="11"/>
      <c r="D92" s="7">
        <v>261.17</v>
      </c>
      <c r="E92" s="2"/>
      <c r="F92" s="6">
        <f t="shared" si="36"/>
        <v>2.8347001949351591E-3</v>
      </c>
      <c r="G92" s="2"/>
      <c r="H92" s="7">
        <v>300</v>
      </c>
      <c r="I92" s="2"/>
      <c r="J92" s="6">
        <f t="shared" si="37"/>
        <v>2.3654455710974093E-3</v>
      </c>
      <c r="K92" s="2"/>
      <c r="L92" s="7">
        <f t="shared" si="38"/>
        <v>-38.829999999999984</v>
      </c>
      <c r="M92" s="2"/>
      <c r="N92" s="6">
        <f t="shared" si="39"/>
        <v>-0.12943333333333329</v>
      </c>
      <c r="O92" s="11"/>
      <c r="P92" s="7">
        <v>261.17</v>
      </c>
      <c r="Q92" s="2"/>
      <c r="R92" s="6">
        <f t="shared" si="40"/>
        <v>2.8347001949351591E-3</v>
      </c>
      <c r="S92" s="2"/>
      <c r="T92" s="7">
        <v>300</v>
      </c>
      <c r="U92" s="2"/>
      <c r="V92" s="6">
        <f t="shared" si="41"/>
        <v>2.3654455710974093E-3</v>
      </c>
      <c r="W92" s="2"/>
      <c r="X92" s="7">
        <f t="shared" si="42"/>
        <v>-38.829999999999984</v>
      </c>
      <c r="Y92" s="2"/>
      <c r="Z92" s="6">
        <f t="shared" si="43"/>
        <v>-0.12943333333333329</v>
      </c>
    </row>
    <row r="93" spans="1:26" s="24" customFormat="1" hidden="1" outlineLevel="2" x14ac:dyDescent="0.25">
      <c r="A93" s="29"/>
      <c r="B93" s="11" t="str">
        <f>CONCATENATE("          ", "6245", " - ", "PRINTING")</f>
        <v xml:space="preserve">          6245 - PRINTING</v>
      </c>
      <c r="C93" s="11"/>
      <c r="D93" s="7"/>
      <c r="E93" s="2"/>
      <c r="F93" s="6">
        <f t="shared" si="36"/>
        <v>0</v>
      </c>
      <c r="G93" s="2"/>
      <c r="H93" s="7">
        <v>100</v>
      </c>
      <c r="I93" s="2"/>
      <c r="J93" s="6">
        <f t="shared" si="37"/>
        <v>7.8848185703246979E-4</v>
      </c>
      <c r="K93" s="2"/>
      <c r="L93" s="7">
        <f t="shared" si="38"/>
        <v>-100</v>
      </c>
      <c r="M93" s="2"/>
      <c r="N93" s="6">
        <f t="shared" si="39"/>
        <v>-1</v>
      </c>
      <c r="O93" s="11"/>
      <c r="P93" s="7"/>
      <c r="Q93" s="2"/>
      <c r="R93" s="6">
        <f t="shared" si="40"/>
        <v>0</v>
      </c>
      <c r="S93" s="2"/>
      <c r="T93" s="7">
        <v>100</v>
      </c>
      <c r="U93" s="2"/>
      <c r="V93" s="6">
        <f t="shared" si="41"/>
        <v>7.8848185703246979E-4</v>
      </c>
      <c r="W93" s="2"/>
      <c r="X93" s="7">
        <f t="shared" si="42"/>
        <v>-100</v>
      </c>
      <c r="Y93" s="2"/>
      <c r="Z93" s="6">
        <f t="shared" si="43"/>
        <v>-1</v>
      </c>
    </row>
    <row r="94" spans="1:26" s="24" customFormat="1" hidden="1" outlineLevel="2" x14ac:dyDescent="0.25">
      <c r="A94" s="29"/>
      <c r="B94" s="11" t="str">
        <f>CONCATENATE("          ", "6247", " - ", "STORE SUPPLIES")</f>
        <v xml:space="preserve">          6247 - STORE SUPPLIES</v>
      </c>
      <c r="C94" s="11"/>
      <c r="D94" s="7">
        <v>16.39</v>
      </c>
      <c r="E94" s="2"/>
      <c r="F94" s="6">
        <f t="shared" si="36"/>
        <v>1.7789461345096012E-4</v>
      </c>
      <c r="G94" s="2"/>
      <c r="H94" s="7">
        <v>1200</v>
      </c>
      <c r="I94" s="2"/>
      <c r="J94" s="6">
        <f t="shared" si="37"/>
        <v>9.461782284389637E-3</v>
      </c>
      <c r="K94" s="2"/>
      <c r="L94" s="7">
        <f t="shared" si="38"/>
        <v>-1183.6099999999999</v>
      </c>
      <c r="M94" s="2"/>
      <c r="N94" s="6">
        <f t="shared" si="39"/>
        <v>-0.98634166666666656</v>
      </c>
      <c r="O94" s="11"/>
      <c r="P94" s="7">
        <v>16.39</v>
      </c>
      <c r="Q94" s="2"/>
      <c r="R94" s="6">
        <f t="shared" si="40"/>
        <v>1.7789461345096012E-4</v>
      </c>
      <c r="S94" s="2"/>
      <c r="T94" s="7">
        <v>1200</v>
      </c>
      <c r="U94" s="2"/>
      <c r="V94" s="6">
        <f t="shared" si="41"/>
        <v>9.461782284389637E-3</v>
      </c>
      <c r="W94" s="2"/>
      <c r="X94" s="7">
        <f t="shared" si="42"/>
        <v>-1183.6099999999999</v>
      </c>
      <c r="Y94" s="2"/>
      <c r="Z94" s="6">
        <f t="shared" si="43"/>
        <v>-0.98634166666666656</v>
      </c>
    </row>
    <row r="95" spans="1:26" s="27" customFormat="1" outlineLevel="1" collapsed="1" x14ac:dyDescent="0.25">
      <c r="A95" s="28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SUM(OSRRefD22_12x_0)</f>
        <v>524.35</v>
      </c>
      <c r="E95" s="1"/>
      <c r="F95" s="5">
        <f t="shared" ref="F95:F97" si="44">IF(D$12=0,0,D95/D$12)</f>
        <v>5.6912166298359324E-3</v>
      </c>
      <c r="G95" s="1"/>
      <c r="H95" s="1">
        <f>SUM(OSRRefH22_12x_0)</f>
        <v>600</v>
      </c>
      <c r="I95" s="1"/>
      <c r="J95" s="5">
        <f t="shared" ref="J95:J97" si="45">IF(H$12=0,0,H95/H$12)</f>
        <v>4.7308911421948185E-3</v>
      </c>
      <c r="K95" s="1"/>
      <c r="L95" s="1">
        <f t="shared" ref="L95:L97" si="46">+D95-H95</f>
        <v>-75.649999999999977</v>
      </c>
      <c r="M95" s="1"/>
      <c r="N95" s="5">
        <f t="shared" ref="N95:N97" si="47">IF(H95=0,0,L95/H95)</f>
        <v>-0.1260833333333333</v>
      </c>
      <c r="O95" s="14"/>
      <c r="P95" s="1">
        <f>SUM(OSRRefP22_12x_0)</f>
        <v>524.35</v>
      </c>
      <c r="Q95" s="1"/>
      <c r="R95" s="5">
        <f t="shared" ref="R95:R97" si="48">IF(P$12=0,0,P95/P$12)</f>
        <v>5.6912166298359324E-3</v>
      </c>
      <c r="S95" s="1"/>
      <c r="T95" s="1">
        <f>SUM(OSRRefT22_12x_0)</f>
        <v>600</v>
      </c>
      <c r="U95" s="1"/>
      <c r="V95" s="5">
        <f t="shared" ref="V95:V97" si="49">IF(T$12=0,0,T95/T$12)</f>
        <v>4.7308911421948185E-3</v>
      </c>
      <c r="W95" s="1"/>
      <c r="X95" s="1">
        <f t="shared" ref="X95:X97" si="50">+P95-T95</f>
        <v>-75.649999999999977</v>
      </c>
      <c r="Y95" s="1"/>
      <c r="Z95" s="5">
        <f t="shared" ref="Z95:Z97" si="51">IF(T95=0,0,X95/T95)</f>
        <v>-0.1260833333333333</v>
      </c>
    </row>
    <row r="96" spans="1:26" s="24" customFormat="1" hidden="1" outlineLevel="2" x14ac:dyDescent="0.25">
      <c r="A96" s="29"/>
      <c r="B96" s="11" t="str">
        <f>CONCATENATE("          ", "6303", " - ", "DATA PHONE LINES")</f>
        <v xml:space="preserve">          6303 - DATA PHONE LINES</v>
      </c>
      <c r="C96" s="11"/>
      <c r="D96" s="7">
        <v>295</v>
      </c>
      <c r="E96" s="2"/>
      <c r="F96" s="6">
        <f t="shared" si="44"/>
        <v>3.2018859651026989E-3</v>
      </c>
      <c r="G96" s="2"/>
      <c r="H96" s="7">
        <v>300</v>
      </c>
      <c r="I96" s="2"/>
      <c r="J96" s="6">
        <f t="shared" si="45"/>
        <v>2.3654455710974093E-3</v>
      </c>
      <c r="K96" s="2"/>
      <c r="L96" s="7">
        <f t="shared" si="46"/>
        <v>-5</v>
      </c>
      <c r="M96" s="2"/>
      <c r="N96" s="6">
        <f t="shared" si="47"/>
        <v>-1.6666666666666666E-2</v>
      </c>
      <c r="O96" s="11"/>
      <c r="P96" s="7">
        <v>295</v>
      </c>
      <c r="Q96" s="2"/>
      <c r="R96" s="6">
        <f t="shared" si="48"/>
        <v>3.2018859651026989E-3</v>
      </c>
      <c r="S96" s="2"/>
      <c r="T96" s="7">
        <v>300</v>
      </c>
      <c r="U96" s="2"/>
      <c r="V96" s="6">
        <f t="shared" si="49"/>
        <v>2.3654455710974093E-3</v>
      </c>
      <c r="W96" s="2"/>
      <c r="X96" s="7">
        <f t="shared" si="50"/>
        <v>-5</v>
      </c>
      <c r="Y96" s="2"/>
      <c r="Z96" s="6">
        <f t="shared" si="51"/>
        <v>-1.6666666666666666E-2</v>
      </c>
    </row>
    <row r="97" spans="1:26" s="24" customFormat="1" hidden="1" outlineLevel="2" x14ac:dyDescent="0.25">
      <c r="A97" s="29"/>
      <c r="B97" s="11" t="str">
        <f>CONCATENATE("          ", "6309", " - ", "TELEPHONE")</f>
        <v xml:space="preserve">          6309 - TELEPHONE</v>
      </c>
      <c r="C97" s="11"/>
      <c r="D97" s="7">
        <v>229.35</v>
      </c>
      <c r="E97" s="2"/>
      <c r="F97" s="6">
        <f t="shared" si="44"/>
        <v>2.4893306647332338E-3</v>
      </c>
      <c r="G97" s="2"/>
      <c r="H97" s="7">
        <v>300</v>
      </c>
      <c r="I97" s="2"/>
      <c r="J97" s="6">
        <f t="shared" si="45"/>
        <v>2.3654455710974093E-3</v>
      </c>
      <c r="K97" s="2"/>
      <c r="L97" s="7">
        <f t="shared" si="46"/>
        <v>-70.650000000000006</v>
      </c>
      <c r="M97" s="2"/>
      <c r="N97" s="6">
        <f t="shared" si="47"/>
        <v>-0.23550000000000001</v>
      </c>
      <c r="O97" s="11"/>
      <c r="P97" s="7">
        <v>229.35</v>
      </c>
      <c r="Q97" s="2"/>
      <c r="R97" s="6">
        <f t="shared" si="48"/>
        <v>2.4893306647332338E-3</v>
      </c>
      <c r="S97" s="2"/>
      <c r="T97" s="7">
        <v>300</v>
      </c>
      <c r="U97" s="2"/>
      <c r="V97" s="6">
        <f t="shared" si="49"/>
        <v>2.3654455710974093E-3</v>
      </c>
      <c r="W97" s="2"/>
      <c r="X97" s="7">
        <f t="shared" si="50"/>
        <v>-70.650000000000006</v>
      </c>
      <c r="Y97" s="2"/>
      <c r="Z97" s="6">
        <f t="shared" si="51"/>
        <v>-0.23550000000000001</v>
      </c>
    </row>
    <row r="98" spans="1:26" s="27" customFormat="1" outlineLevel="1" collapsed="1" x14ac:dyDescent="0.25">
      <c r="A98" s="28"/>
      <c r="B98" s="14" t="str">
        <f>CONCATENATE("     ","Training                                          ")</f>
        <v xml:space="preserve">     Training                                          </v>
      </c>
      <c r="C98" s="14"/>
      <c r="D98" s="1">
        <f>SUM(OSRRefD22_13x_0)</f>
        <v>516.61</v>
      </c>
      <c r="E98" s="1"/>
      <c r="F98" s="5">
        <f t="shared" ref="F98:F101" si="52">IF(D$12=0,0,D98/D$12)</f>
        <v>5.6072078251922213E-3</v>
      </c>
      <c r="G98" s="1"/>
      <c r="H98" s="1">
        <f>SUM(OSRRefH22_13x_0)</f>
        <v>300</v>
      </c>
      <c r="I98" s="1"/>
      <c r="J98" s="5">
        <f t="shared" ref="J98:J101" si="53">IF(H$12=0,0,H98/H$12)</f>
        <v>2.3654455710974093E-3</v>
      </c>
      <c r="K98" s="1"/>
      <c r="L98" s="1">
        <f t="shared" ref="L98:L101" si="54">+D98-H98</f>
        <v>216.61</v>
      </c>
      <c r="M98" s="1"/>
      <c r="N98" s="5">
        <f t="shared" ref="N98:N101" si="55">IF(H98=0,0,L98/H98)</f>
        <v>0.72203333333333342</v>
      </c>
      <c r="O98" s="14"/>
      <c r="P98" s="1">
        <f>SUM(OSRRefP22_13x_0)</f>
        <v>516.61</v>
      </c>
      <c r="Q98" s="1"/>
      <c r="R98" s="5">
        <f t="shared" ref="R98:R101" si="56">IF(P$12=0,0,P98/P$12)</f>
        <v>5.6072078251922213E-3</v>
      </c>
      <c r="S98" s="1"/>
      <c r="T98" s="1">
        <f>SUM(OSRRefT22_13x_0)</f>
        <v>300</v>
      </c>
      <c r="U98" s="1"/>
      <c r="V98" s="5">
        <f t="shared" ref="V98:V101" si="57">IF(T$12=0,0,T98/T$12)</f>
        <v>2.3654455710974093E-3</v>
      </c>
      <c r="W98" s="1"/>
      <c r="X98" s="1">
        <f t="shared" ref="X98:X101" si="58">+P98-T98</f>
        <v>216.61</v>
      </c>
      <c r="Y98" s="1"/>
      <c r="Z98" s="5">
        <f t="shared" ref="Z98:Z101" si="59">IF(T98=0,0,X98/T98)</f>
        <v>0.72203333333333342</v>
      </c>
    </row>
    <row r="99" spans="1:26" s="24" customFormat="1" hidden="1" outlineLevel="2" x14ac:dyDescent="0.25">
      <c r="A99" s="29"/>
      <c r="B99" s="11" t="str">
        <f>CONCATENATE("          ", "6376", " - ", "TRAINING")</f>
        <v xml:space="preserve">          6376 - TRAINING</v>
      </c>
      <c r="C99" s="11"/>
      <c r="D99" s="7">
        <v>516.61</v>
      </c>
      <c r="E99" s="2"/>
      <c r="F99" s="6">
        <f t="shared" si="52"/>
        <v>5.6072078251922213E-3</v>
      </c>
      <c r="G99" s="2"/>
      <c r="H99" s="7">
        <v>300</v>
      </c>
      <c r="I99" s="2"/>
      <c r="J99" s="6">
        <f t="shared" si="53"/>
        <v>2.3654455710974093E-3</v>
      </c>
      <c r="K99" s="2"/>
      <c r="L99" s="7">
        <f t="shared" si="54"/>
        <v>216.61</v>
      </c>
      <c r="M99" s="2"/>
      <c r="N99" s="6">
        <f t="shared" si="55"/>
        <v>0.72203333333333342</v>
      </c>
      <c r="O99" s="11"/>
      <c r="P99" s="7">
        <v>516.61</v>
      </c>
      <c r="Q99" s="2"/>
      <c r="R99" s="6">
        <f t="shared" si="56"/>
        <v>5.6072078251922213E-3</v>
      </c>
      <c r="S99" s="2"/>
      <c r="T99" s="7">
        <v>300</v>
      </c>
      <c r="U99" s="2"/>
      <c r="V99" s="6">
        <f t="shared" si="57"/>
        <v>2.3654455710974093E-3</v>
      </c>
      <c r="W99" s="2"/>
      <c r="X99" s="7">
        <f t="shared" si="58"/>
        <v>216.61</v>
      </c>
      <c r="Y99" s="2"/>
      <c r="Z99" s="6">
        <f t="shared" si="59"/>
        <v>0.72203333333333342</v>
      </c>
    </row>
    <row r="100" spans="1:26" s="27" customFormat="1" outlineLevel="1" collapsed="1" x14ac:dyDescent="0.25">
      <c r="A100" s="28"/>
      <c r="B100" s="14" t="str">
        <f>CONCATENATE("     ","Travel                                            ")</f>
        <v xml:space="preserve">     Travel                                            </v>
      </c>
      <c r="C100" s="14"/>
      <c r="D100" s="1">
        <f>SUM(OSRRefD22_14x_0)</f>
        <v>0</v>
      </c>
      <c r="E100" s="1"/>
      <c r="F100" s="5">
        <f t="shared" si="52"/>
        <v>0</v>
      </c>
      <c r="G100" s="1"/>
      <c r="H100" s="1">
        <f>SUM(OSRRefH22_14x_0)</f>
        <v>450</v>
      </c>
      <c r="I100" s="1"/>
      <c r="J100" s="5">
        <f t="shared" si="53"/>
        <v>3.5481683566461141E-3</v>
      </c>
      <c r="K100" s="1"/>
      <c r="L100" s="1">
        <f t="shared" si="54"/>
        <v>-450</v>
      </c>
      <c r="M100" s="1"/>
      <c r="N100" s="5">
        <f t="shared" si="55"/>
        <v>-1</v>
      </c>
      <c r="O100" s="14"/>
      <c r="P100" s="1">
        <f>SUM(OSRRefP22_14x_0)</f>
        <v>0</v>
      </c>
      <c r="Q100" s="1"/>
      <c r="R100" s="5">
        <f t="shared" si="56"/>
        <v>0</v>
      </c>
      <c r="S100" s="1"/>
      <c r="T100" s="1">
        <f>SUM(OSRRefT22_14x_0)</f>
        <v>450</v>
      </c>
      <c r="U100" s="1"/>
      <c r="V100" s="5">
        <f t="shared" si="57"/>
        <v>3.5481683566461141E-3</v>
      </c>
      <c r="W100" s="1"/>
      <c r="X100" s="1">
        <f t="shared" si="58"/>
        <v>-450</v>
      </c>
      <c r="Y100" s="1"/>
      <c r="Z100" s="5">
        <f t="shared" si="59"/>
        <v>-1</v>
      </c>
    </row>
    <row r="101" spans="1:26" s="24" customFormat="1" hidden="1" outlineLevel="2" x14ac:dyDescent="0.25">
      <c r="A101" s="29"/>
      <c r="B101" s="11" t="str">
        <f>CONCATENATE("          ", "6298", " - ", "VEHICLE MILEAGE")</f>
        <v xml:space="preserve">          6298 - VEHICLE MILEAGE</v>
      </c>
      <c r="C101" s="11"/>
      <c r="D101" s="7"/>
      <c r="E101" s="2"/>
      <c r="F101" s="6">
        <f t="shared" si="52"/>
        <v>0</v>
      </c>
      <c r="G101" s="2"/>
      <c r="H101" s="7">
        <v>450</v>
      </c>
      <c r="I101" s="2"/>
      <c r="J101" s="6">
        <f t="shared" si="53"/>
        <v>3.5481683566461141E-3</v>
      </c>
      <c r="K101" s="2"/>
      <c r="L101" s="7">
        <f t="shared" si="54"/>
        <v>-450</v>
      </c>
      <c r="M101" s="2"/>
      <c r="N101" s="6">
        <f t="shared" si="55"/>
        <v>-1</v>
      </c>
      <c r="O101" s="11"/>
      <c r="P101" s="7"/>
      <c r="Q101" s="2"/>
      <c r="R101" s="6">
        <f t="shared" si="56"/>
        <v>0</v>
      </c>
      <c r="S101" s="2"/>
      <c r="T101" s="7">
        <v>450</v>
      </c>
      <c r="U101" s="2"/>
      <c r="V101" s="6">
        <f t="shared" si="57"/>
        <v>3.5481683566461141E-3</v>
      </c>
      <c r="W101" s="2"/>
      <c r="X101" s="7">
        <f t="shared" si="58"/>
        <v>-450</v>
      </c>
      <c r="Y101" s="2"/>
      <c r="Z101" s="6">
        <f t="shared" si="59"/>
        <v>-1</v>
      </c>
    </row>
    <row r="102" spans="1:26" s="57" customFormat="1" x14ac:dyDescent="0.25">
      <c r="A102" s="36"/>
      <c r="B102" s="36"/>
      <c r="C102" s="36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6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collapsed="1" x14ac:dyDescent="0.25">
      <c r="A103" s="10"/>
      <c r="B103" s="25" t="s">
        <v>0</v>
      </c>
      <c r="C103" s="10"/>
      <c r="D103" s="4">
        <f>SUM(OSRRefD25x_0)</f>
        <v>426.76</v>
      </c>
      <c r="E103" s="4"/>
      <c r="F103" s="12">
        <f t="shared" ref="F103:F105" si="60">IF(D$12=0,0,D103/D$12)</f>
        <v>4.6319893371770428E-3</v>
      </c>
      <c r="G103" s="4"/>
      <c r="H103" s="4">
        <f>SUM(OSRRefH25x_0)</f>
        <v>1300</v>
      </c>
      <c r="I103" s="4"/>
      <c r="J103" s="12">
        <f t="shared" ref="J103:J105" si="61">IF(H$12=0,0,H103/H$12)</f>
        <v>1.0250264141422107E-2</v>
      </c>
      <c r="K103" s="4"/>
      <c r="L103" s="4">
        <f t="shared" ref="L103:L105" si="62">+D103-H103</f>
        <v>-873.24</v>
      </c>
      <c r="M103" s="4"/>
      <c r="N103" s="12">
        <f t="shared" ref="N103:N105" si="63">IF(H103=0,0,L103/H103)</f>
        <v>-0.67172307692307698</v>
      </c>
      <c r="O103" s="10"/>
      <c r="P103" s="4">
        <f>SUM(OSRRefP25x_0)</f>
        <v>426.76</v>
      </c>
      <c r="Q103" s="4"/>
      <c r="R103" s="12">
        <f t="shared" ref="R103:R105" si="64">IF(P$12=0,0,P103/P$12)</f>
        <v>4.6319893371770428E-3</v>
      </c>
      <c r="S103" s="4"/>
      <c r="T103" s="4">
        <f>SUM(OSRRefT25x_0)</f>
        <v>1300</v>
      </c>
      <c r="U103" s="4"/>
      <c r="V103" s="12">
        <f t="shared" ref="V103:V105" si="65">IF(T$12=0,0,T103/T$12)</f>
        <v>1.0250264141422107E-2</v>
      </c>
      <c r="W103" s="4"/>
      <c r="X103" s="4">
        <f t="shared" ref="X103:X105" si="66">+P103-T103</f>
        <v>-873.24</v>
      </c>
      <c r="Y103" s="4"/>
      <c r="Z103" s="12">
        <f t="shared" ref="Z103:Z105" si="67">IF(T103=0,0,X103/T103)</f>
        <v>-0.67172307692307698</v>
      </c>
    </row>
    <row r="104" spans="1:26" s="24" customFormat="1" hidden="1" outlineLevel="1" x14ac:dyDescent="0.25">
      <c r="A104" s="51"/>
      <c r="B104" s="11" t="str">
        <f>CONCATENATE("          ", "9150", " - ", "MISC. INCOME")</f>
        <v xml:space="preserve">          9150 - MISC. INCOME</v>
      </c>
      <c r="C104" s="11"/>
      <c r="D104" s="2">
        <f>--426.76</f>
        <v>426.76</v>
      </c>
      <c r="E104" s="2"/>
      <c r="F104" s="22">
        <f t="shared" si="60"/>
        <v>4.6319893371770428E-3</v>
      </c>
      <c r="G104" s="2"/>
      <c r="H104" s="2"/>
      <c r="I104" s="2"/>
      <c r="J104" s="22">
        <f t="shared" si="61"/>
        <v>0</v>
      </c>
      <c r="K104" s="2"/>
      <c r="L104" s="2">
        <f t="shared" si="62"/>
        <v>426.76</v>
      </c>
      <c r="M104" s="2"/>
      <c r="N104" s="22">
        <f t="shared" si="63"/>
        <v>0</v>
      </c>
      <c r="O104" s="11"/>
      <c r="P104" s="2">
        <f>--426.76</f>
        <v>426.76</v>
      </c>
      <c r="Q104" s="2"/>
      <c r="R104" s="22">
        <f t="shared" si="64"/>
        <v>4.6319893371770428E-3</v>
      </c>
      <c r="S104" s="2"/>
      <c r="T104" s="2"/>
      <c r="U104" s="2"/>
      <c r="V104" s="22">
        <f t="shared" si="65"/>
        <v>0</v>
      </c>
      <c r="W104" s="2"/>
      <c r="X104" s="2">
        <f t="shared" si="66"/>
        <v>426.76</v>
      </c>
      <c r="Y104" s="2"/>
      <c r="Z104" s="22">
        <f t="shared" si="67"/>
        <v>0</v>
      </c>
    </row>
    <row r="105" spans="1:26" s="24" customFormat="1" hidden="1" outlineLevel="1" x14ac:dyDescent="0.25">
      <c r="A105" s="51"/>
      <c r="B105" s="11" t="str">
        <f>CONCATENATE("          ", "9160", " - ", "MISC. INCOME")</f>
        <v xml:space="preserve">          9160 - MISC. INCOME</v>
      </c>
      <c r="C105" s="11"/>
      <c r="D105" s="2">
        <f>0</f>
        <v>0</v>
      </c>
      <c r="E105" s="2"/>
      <c r="F105" s="22">
        <f t="shared" si="60"/>
        <v>0</v>
      </c>
      <c r="G105" s="2"/>
      <c r="H105" s="2">
        <v>1300</v>
      </c>
      <c r="I105" s="2"/>
      <c r="J105" s="22">
        <f t="shared" si="61"/>
        <v>1.0250264141422107E-2</v>
      </c>
      <c r="K105" s="2"/>
      <c r="L105" s="2">
        <f t="shared" si="62"/>
        <v>-1300</v>
      </c>
      <c r="M105" s="2"/>
      <c r="N105" s="22">
        <f t="shared" si="63"/>
        <v>-1</v>
      </c>
      <c r="O105" s="11"/>
      <c r="P105" s="2">
        <f>0</f>
        <v>0</v>
      </c>
      <c r="Q105" s="2"/>
      <c r="R105" s="22">
        <f t="shared" si="64"/>
        <v>0</v>
      </c>
      <c r="S105" s="2"/>
      <c r="T105" s="2">
        <v>1300</v>
      </c>
      <c r="U105" s="2"/>
      <c r="V105" s="22">
        <f t="shared" si="65"/>
        <v>1.0250264141422107E-2</v>
      </c>
      <c r="W105" s="2"/>
      <c r="X105" s="2">
        <f t="shared" si="66"/>
        <v>-1300</v>
      </c>
      <c r="Y105" s="2"/>
      <c r="Z105" s="22">
        <f t="shared" si="67"/>
        <v>-1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6" t="s">
        <v>3</v>
      </c>
      <c r="C107" s="26"/>
      <c r="D107" s="21">
        <f>+D47-D49+D103</f>
        <v>-26422.449999999979</v>
      </c>
      <c r="E107" s="13"/>
      <c r="F107" s="19">
        <f>IF(D$12=0,0,D107/D$12)</f>
        <v>-0.28678532819873809</v>
      </c>
      <c r="G107" s="13"/>
      <c r="H107" s="21">
        <f>+H47-H49+H103</f>
        <v>-15721.694691372279</v>
      </c>
      <c r="I107" s="13"/>
      <c r="J107" s="19">
        <f>IF(H$12=0,0,H107/H$12)</f>
        <v>-0.12396271025950736</v>
      </c>
      <c r="K107" s="15"/>
      <c r="L107" s="21">
        <f>+D107-H107</f>
        <v>-10700.7553086277</v>
      </c>
      <c r="M107" s="15"/>
      <c r="N107" s="19">
        <f>IF(H107=0,0,L107/H107)</f>
        <v>0.6806362493796575</v>
      </c>
      <c r="O107" s="25"/>
      <c r="P107" s="21">
        <f>+P47-P49+P103</f>
        <v>-26422.449999999979</v>
      </c>
      <c r="Q107" s="13"/>
      <c r="R107" s="19">
        <f>IF(P$12=0,0,P107/P$12)</f>
        <v>-0.28678532819873809</v>
      </c>
      <c r="S107" s="13"/>
      <c r="T107" s="21">
        <f>+T47-T49+T103</f>
        <v>-15721.694691372279</v>
      </c>
      <c r="U107" s="13"/>
      <c r="V107" s="19">
        <f>IF(T$12=0,0,T107/T$12)</f>
        <v>-0.12396271025950736</v>
      </c>
      <c r="W107" s="15"/>
      <c r="X107" s="21">
        <f>+P107-T107</f>
        <v>-10700.7553086277</v>
      </c>
      <c r="Y107" s="15"/>
      <c r="Z107" s="19">
        <f>IF(T107=0,0,X107/T107)</f>
        <v>0.6806362493796575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2"/>
      <c r="B109" s="10" t="s">
        <v>14</v>
      </c>
      <c r="C109" s="10"/>
      <c r="D109" s="4">
        <v>19157.21</v>
      </c>
      <c r="E109" s="4"/>
      <c r="F109" s="12">
        <f>IF(D$12=0,0,D109/D$12)</f>
        <v>0.20792949772720362</v>
      </c>
      <c r="G109" s="4"/>
      <c r="H109" s="4">
        <v>30908</v>
      </c>
      <c r="I109" s="4"/>
      <c r="J109" s="12">
        <f>IF(H$12=0,0,H109/H$12)</f>
        <v>0.24370397237159575</v>
      </c>
      <c r="K109" s="4"/>
      <c r="L109" s="4">
        <f>+D109-H109</f>
        <v>-11750.79</v>
      </c>
      <c r="M109" s="4"/>
      <c r="N109" s="12">
        <f>IF(H109=0,0,L109/H109)</f>
        <v>-0.38018603597774042</v>
      </c>
      <c r="O109" s="10"/>
      <c r="P109" s="4">
        <v>19157.21</v>
      </c>
      <c r="Q109" s="4"/>
      <c r="R109" s="12">
        <f>IF(P$12=0,0,P109/P$12)</f>
        <v>0.20792949772720362</v>
      </c>
      <c r="S109" s="4"/>
      <c r="T109" s="4">
        <v>30908</v>
      </c>
      <c r="U109" s="4"/>
      <c r="V109" s="12">
        <f>IF(T$12=0,0,T109/T$12)</f>
        <v>0.24370397237159575</v>
      </c>
      <c r="W109" s="4"/>
      <c r="X109" s="4">
        <f>+P109-T109</f>
        <v>-11750.79</v>
      </c>
      <c r="Y109" s="4"/>
      <c r="Z109" s="12">
        <f>IF(T109=0,0,X109/T109)</f>
        <v>-0.38018603597774042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6" t="s">
        <v>4</v>
      </c>
      <c r="C111" s="26"/>
      <c r="D111" s="32">
        <f>+D107-D109</f>
        <v>-45579.659999999974</v>
      </c>
      <c r="E111" s="13"/>
      <c r="F111" s="31">
        <f>IF(D$12=0,0,D111/D$12)</f>
        <v>-0.49471482592594168</v>
      </c>
      <c r="G111" s="13"/>
      <c r="H111" s="32">
        <f>+H107-H109</f>
        <v>-46629.694691372279</v>
      </c>
      <c r="I111" s="13"/>
      <c r="J111" s="31">
        <f>IF(H$12=0,0,H111/H$12)</f>
        <v>-0.36766668263110314</v>
      </c>
      <c r="K111" s="15"/>
      <c r="L111" s="32">
        <f>D111-H111</f>
        <v>1050.0346913723042</v>
      </c>
      <c r="M111" s="15"/>
      <c r="N111" s="31">
        <f>IF(H111=0,0,L111/H111)</f>
        <v>-2.2518583883556677E-2</v>
      </c>
      <c r="O111" s="25"/>
      <c r="P111" s="32">
        <f>+P107-P109</f>
        <v>-45579.659999999974</v>
      </c>
      <c r="Q111" s="13"/>
      <c r="R111" s="31">
        <f>IF(P$12=0,0,P111/P$12)</f>
        <v>-0.49471482592594168</v>
      </c>
      <c r="S111" s="13"/>
      <c r="T111" s="32">
        <f>+T107-T109</f>
        <v>-46629.694691372279</v>
      </c>
      <c r="U111" s="13"/>
      <c r="V111" s="31">
        <f>IF(T$12=0,0,T111/T$12)</f>
        <v>-0.36766668263110314</v>
      </c>
      <c r="W111" s="15"/>
      <c r="X111" s="32">
        <f>P111-T111</f>
        <v>1050.0346913723042</v>
      </c>
      <c r="Y111" s="15"/>
      <c r="Z111" s="31">
        <f>IF(T111=0,0,X111/T111)</f>
        <v>-2.2518583883556677E-2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5</v>
      </c>
      <c r="C114" s="26"/>
      <c r="D114" s="33">
        <f>SUM(D111:D113)</f>
        <v>-45579.659999999974</v>
      </c>
      <c r="E114" s="13"/>
      <c r="F114" s="34">
        <f>IF(D$12=0,0,D114/D$12)</f>
        <v>-0.49471482592594168</v>
      </c>
      <c r="G114" s="13"/>
      <c r="H114" s="33">
        <f>SUM(H111:H113)</f>
        <v>-46629.694691372279</v>
      </c>
      <c r="I114" s="13"/>
      <c r="J114" s="34">
        <f>IF(H$12=0,0,H114/H$12)</f>
        <v>-0.36766668263110314</v>
      </c>
      <c r="K114" s="15"/>
      <c r="L114" s="33">
        <f>+D114-H114</f>
        <v>1050.0346913723042</v>
      </c>
      <c r="M114" s="15"/>
      <c r="N114" s="34">
        <f>IF(H114=0,0,L114/H114)</f>
        <v>-2.2518583883556677E-2</v>
      </c>
      <c r="O114" s="25"/>
      <c r="P114" s="33">
        <f>SUM(P111:P113)</f>
        <v>-45579.659999999974</v>
      </c>
      <c r="Q114" s="13"/>
      <c r="R114" s="34">
        <f>IF(P$12=0,0,P114/P$12)</f>
        <v>-0.49471482592594168</v>
      </c>
      <c r="S114" s="13"/>
      <c r="T114" s="33">
        <f>SUM(T111:T113)</f>
        <v>-46629.694691372279</v>
      </c>
      <c r="U114" s="13"/>
      <c r="V114" s="34">
        <f>IF(T$12=0,0,T114/T$12)</f>
        <v>-0.36766668263110314</v>
      </c>
      <c r="W114" s="15"/>
      <c r="X114" s="33">
        <f>+P114-T114</f>
        <v>1050.0346913723042</v>
      </c>
      <c r="Y114" s="15"/>
      <c r="Z114" s="34">
        <f>IF(T114=0,0,X114/T114)</f>
        <v>-2.2518583883556677E-2</v>
      </c>
    </row>
    <row r="115" spans="1:26" ht="15.75" thickTop="1" x14ac:dyDescent="0.25">
      <c r="A115" s="9"/>
      <c r="C115" s="9"/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25">
      <c r="A116" s="9"/>
      <c r="B116" s="61">
        <v>43726.67822361111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56" t="s">
        <v>314</v>
      </c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A118" s="9"/>
      <c r="B118" s="53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","311", " - ", "Textbooks")</f>
        <v>Department 311 - Textbooks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77536.040000000023</v>
      </c>
      <c r="E12" s="4"/>
      <c r="F12" s="12"/>
      <c r="G12" s="4"/>
      <c r="H12" s="4">
        <f>SUM(OSRRefH13x_0)</f>
        <v>100326</v>
      </c>
      <c r="I12" s="4"/>
      <c r="J12" s="12"/>
      <c r="K12" s="4"/>
      <c r="L12" s="4">
        <f t="shared" ref="L12:L30" si="0">+D12-H12</f>
        <v>-22789.959999999977</v>
      </c>
      <c r="M12" s="4"/>
      <c r="N12" s="12">
        <f t="shared" ref="N12:N30" si="1">IF(H12=0,0,L12/H12)</f>
        <v>-0.22715906145964135</v>
      </c>
      <c r="O12" s="10"/>
      <c r="P12" s="4">
        <f>SUM(OSRRefP13x_0)</f>
        <v>77536.040000000023</v>
      </c>
      <c r="Q12" s="4"/>
      <c r="R12" s="12"/>
      <c r="S12" s="4"/>
      <c r="T12" s="4">
        <f>SUM(OSRRefT13x_0)</f>
        <v>100326</v>
      </c>
      <c r="U12" s="4"/>
      <c r="V12" s="12"/>
      <c r="W12" s="4"/>
      <c r="X12" s="4">
        <f t="shared" ref="X12:X30" si="2">+P12-T12</f>
        <v>-22789.959999999977</v>
      </c>
      <c r="Y12" s="4"/>
      <c r="Z12" s="12">
        <f t="shared" ref="Z12:Z30" si="3">IF(T12=0,0,X12/T12)</f>
        <v>-0.22715906145964135</v>
      </c>
    </row>
    <row r="13" spans="1:26" s="24" customFormat="1" hidden="1" outlineLevel="1" x14ac:dyDescent="0.25">
      <c r="A13" s="51"/>
      <c r="B13" s="11" t="str">
        <f>CONCATENATE("          ", "4001", " - ", "TAXABLE SALES-NEW TEXT")</f>
        <v xml:space="preserve">          4001 - TAXABLE SALES-NEW TEXT</v>
      </c>
      <c r="C13" s="11"/>
      <c r="D13" s="2">
        <f>--33938.15</f>
        <v>33938.15</v>
      </c>
      <c r="E13" s="2"/>
      <c r="F13" s="22"/>
      <c r="G13" s="2"/>
      <c r="H13" s="2"/>
      <c r="I13" s="2"/>
      <c r="J13" s="22"/>
      <c r="K13" s="2"/>
      <c r="L13" s="2">
        <f t="shared" si="0"/>
        <v>33938.15</v>
      </c>
      <c r="M13" s="2"/>
      <c r="N13" s="22">
        <f t="shared" si="1"/>
        <v>0</v>
      </c>
      <c r="O13" s="11"/>
      <c r="P13" s="2">
        <f>--33938.15</f>
        <v>33938.15</v>
      </c>
      <c r="Q13" s="2"/>
      <c r="R13" s="22"/>
      <c r="S13" s="2"/>
      <c r="T13" s="2"/>
      <c r="U13" s="2"/>
      <c r="V13" s="22"/>
      <c r="W13" s="2"/>
      <c r="X13" s="2">
        <f t="shared" si="2"/>
        <v>33938.15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"4002", " - ", "TAXABLE SALES-USED TEXT")</f>
        <v xml:space="preserve">          4002 - TAXABLE SALES-USED TEXT</v>
      </c>
      <c r="C14" s="11"/>
      <c r="D14" s="2">
        <f>--13833.95</f>
        <v>13833.95</v>
      </c>
      <c r="E14" s="2"/>
      <c r="F14" s="22"/>
      <c r="G14" s="2"/>
      <c r="H14" s="2"/>
      <c r="I14" s="2"/>
      <c r="J14" s="22"/>
      <c r="K14" s="2"/>
      <c r="L14" s="2">
        <f t="shared" si="0"/>
        <v>13833.95</v>
      </c>
      <c r="M14" s="2"/>
      <c r="N14" s="22">
        <f t="shared" si="1"/>
        <v>0</v>
      </c>
      <c r="O14" s="11"/>
      <c r="P14" s="2">
        <f>--13833.95</f>
        <v>13833.95</v>
      </c>
      <c r="Q14" s="2"/>
      <c r="R14" s="22"/>
      <c r="S14" s="2"/>
      <c r="T14" s="2"/>
      <c r="U14" s="2"/>
      <c r="V14" s="22"/>
      <c r="W14" s="2"/>
      <c r="X14" s="2">
        <f t="shared" si="2"/>
        <v>13833.95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"4003", " - ", "TAXABLE SALES-RENTAL TEXT")</f>
        <v xml:space="preserve">          4003 - TAXABLE SALES-RENTAL TEXT</v>
      </c>
      <c r="C15" s="11"/>
      <c r="D15" s="2">
        <f>--433.98</f>
        <v>433.98</v>
      </c>
      <c r="E15" s="2"/>
      <c r="F15" s="22"/>
      <c r="G15" s="2"/>
      <c r="H15" s="2"/>
      <c r="I15" s="2"/>
      <c r="J15" s="22"/>
      <c r="K15" s="2"/>
      <c r="L15" s="2">
        <f t="shared" si="0"/>
        <v>433.98</v>
      </c>
      <c r="M15" s="2"/>
      <c r="N15" s="22">
        <f t="shared" si="1"/>
        <v>0</v>
      </c>
      <c r="O15" s="11"/>
      <c r="P15" s="2">
        <f>--433.98</f>
        <v>433.98</v>
      </c>
      <c r="Q15" s="2"/>
      <c r="R15" s="22"/>
      <c r="S15" s="2"/>
      <c r="T15" s="2"/>
      <c r="U15" s="2"/>
      <c r="V15" s="22"/>
      <c r="W15" s="2"/>
      <c r="X15" s="2">
        <f t="shared" si="2"/>
        <v>433.98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"4004", " - ", "TAXABLE SALES-DIGITAL TEXT")</f>
        <v xml:space="preserve">          4004 - TAXABLE SALES-DIGITAL TEXT</v>
      </c>
      <c r="C16" s="11"/>
      <c r="D16" s="2">
        <f>--133.35</f>
        <v>133.35</v>
      </c>
      <c r="E16" s="2"/>
      <c r="F16" s="22"/>
      <c r="G16" s="2"/>
      <c r="H16" s="2"/>
      <c r="I16" s="2"/>
      <c r="J16" s="22"/>
      <c r="K16" s="2"/>
      <c r="L16" s="2">
        <f t="shared" si="0"/>
        <v>133.35</v>
      </c>
      <c r="M16" s="2"/>
      <c r="N16" s="22">
        <f t="shared" si="1"/>
        <v>0</v>
      </c>
      <c r="O16" s="11"/>
      <c r="P16" s="2">
        <f>--133.35</f>
        <v>133.35</v>
      </c>
      <c r="Q16" s="2"/>
      <c r="R16" s="22"/>
      <c r="S16" s="2"/>
      <c r="T16" s="2"/>
      <c r="U16" s="2"/>
      <c r="V16" s="22"/>
      <c r="W16" s="2"/>
      <c r="X16" s="2">
        <f t="shared" si="2"/>
        <v>133.35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"4013", " - ", "TAXABLE SALES-TRADE BOOKS")</f>
        <v xml:space="preserve">          4013 - TAXABLE SALES-TRADE BOOKS</v>
      </c>
      <c r="C17" s="11"/>
      <c r="D17" s="2">
        <f>--39.95</f>
        <v>39.950000000000003</v>
      </c>
      <c r="E17" s="2"/>
      <c r="F17" s="22"/>
      <c r="G17" s="2"/>
      <c r="H17" s="2"/>
      <c r="I17" s="2"/>
      <c r="J17" s="22"/>
      <c r="K17" s="2"/>
      <c r="L17" s="2">
        <f t="shared" si="0"/>
        <v>39.950000000000003</v>
      </c>
      <c r="M17" s="2"/>
      <c r="N17" s="22">
        <f t="shared" si="1"/>
        <v>0</v>
      </c>
      <c r="O17" s="11"/>
      <c r="P17" s="2">
        <f>--39.95</f>
        <v>39.950000000000003</v>
      </c>
      <c r="Q17" s="2"/>
      <c r="R17" s="22"/>
      <c r="S17" s="2"/>
      <c r="T17" s="2"/>
      <c r="U17" s="2"/>
      <c r="V17" s="22"/>
      <c r="W17" s="2"/>
      <c r="X17" s="2">
        <f t="shared" si="2"/>
        <v>39.950000000000003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"4014", " - ", "TAXABLE SALES-REMAINDERS")</f>
        <v xml:space="preserve">          4014 - TAXABLE SALES-REMAINDERS</v>
      </c>
      <c r="C18" s="11"/>
      <c r="D18" s="2">
        <f>--250.65</f>
        <v>250.65</v>
      </c>
      <c r="E18" s="2"/>
      <c r="F18" s="22"/>
      <c r="G18" s="2"/>
      <c r="H18" s="2"/>
      <c r="I18" s="2"/>
      <c r="J18" s="22"/>
      <c r="K18" s="2"/>
      <c r="L18" s="2">
        <f t="shared" si="0"/>
        <v>250.65</v>
      </c>
      <c r="M18" s="2"/>
      <c r="N18" s="22">
        <f t="shared" si="1"/>
        <v>0</v>
      </c>
      <c r="O18" s="11"/>
      <c r="P18" s="2">
        <f>--250.65</f>
        <v>250.65</v>
      </c>
      <c r="Q18" s="2"/>
      <c r="R18" s="22"/>
      <c r="S18" s="2"/>
      <c r="T18" s="2"/>
      <c r="U18" s="2"/>
      <c r="V18" s="22"/>
      <c r="W18" s="2"/>
      <c r="X18" s="2">
        <f t="shared" si="2"/>
        <v>250.65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"4018", " - ", "TAXABLE SALES-STUDY GUIDES")</f>
        <v xml:space="preserve">          4018 - TAXABLE SALES-STUDY GUIDES</v>
      </c>
      <c r="C19" s="11"/>
      <c r="D19" s="2">
        <f>--179.29</f>
        <v>179.29</v>
      </c>
      <c r="E19" s="2"/>
      <c r="F19" s="22"/>
      <c r="G19" s="2"/>
      <c r="H19" s="2"/>
      <c r="I19" s="2"/>
      <c r="J19" s="22"/>
      <c r="K19" s="2"/>
      <c r="L19" s="2">
        <f t="shared" si="0"/>
        <v>179.29</v>
      </c>
      <c r="M19" s="2"/>
      <c r="N19" s="22">
        <f t="shared" si="1"/>
        <v>0</v>
      </c>
      <c r="O19" s="11"/>
      <c r="P19" s="2">
        <f>--179.29</f>
        <v>179.29</v>
      </c>
      <c r="Q19" s="2"/>
      <c r="R19" s="22"/>
      <c r="S19" s="2"/>
      <c r="T19" s="2"/>
      <c r="U19" s="2"/>
      <c r="V19" s="22"/>
      <c r="W19" s="2"/>
      <c r="X19" s="2">
        <f t="shared" si="2"/>
        <v>179.29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>0</f>
        <v>0</v>
      </c>
      <c r="E20" s="2"/>
      <c r="F20" s="22"/>
      <c r="G20" s="2"/>
      <c r="H20" s="2">
        <v>100326</v>
      </c>
      <c r="I20" s="2"/>
      <c r="J20" s="22"/>
      <c r="K20" s="2"/>
      <c r="L20" s="2">
        <f t="shared" si="0"/>
        <v>-100326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100326</v>
      </c>
      <c r="U20" s="2"/>
      <c r="V20" s="22"/>
      <c r="W20" s="2"/>
      <c r="X20" s="2">
        <f t="shared" si="2"/>
        <v>-100326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"4101", " - ", "NON-TAXABLE SALES-NEW TEXT")</f>
        <v xml:space="preserve">          4101 - NON-TAXABLE SALES-NEW TEXT</v>
      </c>
      <c r="C21" s="11"/>
      <c r="D21" s="2">
        <f>--7736.58</f>
        <v>7736.58</v>
      </c>
      <c r="E21" s="2"/>
      <c r="F21" s="22"/>
      <c r="G21" s="2"/>
      <c r="H21" s="2"/>
      <c r="I21" s="2"/>
      <c r="J21" s="22"/>
      <c r="K21" s="2"/>
      <c r="L21" s="2">
        <f t="shared" si="0"/>
        <v>7736.58</v>
      </c>
      <c r="M21" s="2"/>
      <c r="N21" s="22">
        <f t="shared" si="1"/>
        <v>0</v>
      </c>
      <c r="O21" s="11"/>
      <c r="P21" s="2">
        <f>--7736.58</f>
        <v>7736.58</v>
      </c>
      <c r="Q21" s="2"/>
      <c r="R21" s="22"/>
      <c r="S21" s="2"/>
      <c r="T21" s="2"/>
      <c r="U21" s="2"/>
      <c r="V21" s="22"/>
      <c r="W21" s="2"/>
      <c r="X21" s="2">
        <f t="shared" si="2"/>
        <v>7736.58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"4102", " - ", "NON-TAXABLE SALES-USED TEXT")</f>
        <v xml:space="preserve">          4102 - NON-TAXABLE SALES-USED TEXT</v>
      </c>
      <c r="C22" s="11"/>
      <c r="D22" s="2">
        <f>--5359.24</f>
        <v>5359.24</v>
      </c>
      <c r="E22" s="2"/>
      <c r="F22" s="22"/>
      <c r="G22" s="2"/>
      <c r="H22" s="2"/>
      <c r="I22" s="2"/>
      <c r="J22" s="22"/>
      <c r="K22" s="2"/>
      <c r="L22" s="2">
        <f t="shared" si="0"/>
        <v>5359.24</v>
      </c>
      <c r="M22" s="2"/>
      <c r="N22" s="22">
        <f t="shared" si="1"/>
        <v>0</v>
      </c>
      <c r="O22" s="11"/>
      <c r="P22" s="2">
        <f>--5359.24</f>
        <v>5359.24</v>
      </c>
      <c r="Q22" s="2"/>
      <c r="R22" s="22"/>
      <c r="S22" s="2"/>
      <c r="T22" s="2"/>
      <c r="U22" s="2"/>
      <c r="V22" s="22"/>
      <c r="W22" s="2"/>
      <c r="X22" s="2">
        <f t="shared" si="2"/>
        <v>5359.24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"4104", " - ", "NON-TAXABLE SALES-DIGITAL TEXT")</f>
        <v xml:space="preserve">          4104 - NON-TAXABLE SALES-DIGITAL TEXT</v>
      </c>
      <c r="C23" s="11"/>
      <c r="D23" s="2">
        <f>--13424.17</f>
        <v>13424.17</v>
      </c>
      <c r="E23" s="2"/>
      <c r="F23" s="22"/>
      <c r="G23" s="2"/>
      <c r="H23" s="2"/>
      <c r="I23" s="2"/>
      <c r="J23" s="22"/>
      <c r="K23" s="2"/>
      <c r="L23" s="2">
        <f t="shared" si="0"/>
        <v>13424.17</v>
      </c>
      <c r="M23" s="2"/>
      <c r="N23" s="22">
        <f t="shared" si="1"/>
        <v>0</v>
      </c>
      <c r="O23" s="11"/>
      <c r="P23" s="2">
        <f>--13424.17</f>
        <v>13424.17</v>
      </c>
      <c r="Q23" s="2"/>
      <c r="R23" s="22"/>
      <c r="S23" s="2"/>
      <c r="T23" s="2"/>
      <c r="U23" s="2"/>
      <c r="V23" s="22"/>
      <c r="W23" s="2"/>
      <c r="X23" s="2">
        <f t="shared" si="2"/>
        <v>13424.17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"4111", " - ", "NON-TAXABLE SALES-NO VALUE TEX")</f>
        <v xml:space="preserve">          4111 - NON-TAXABLE SALES-NO VALUE TEX</v>
      </c>
      <c r="C24" s="11"/>
      <c r="D24" s="2">
        <f>--2680.95</f>
        <v>2680.95</v>
      </c>
      <c r="E24" s="2"/>
      <c r="F24" s="22"/>
      <c r="G24" s="2"/>
      <c r="H24" s="2"/>
      <c r="I24" s="2"/>
      <c r="J24" s="22"/>
      <c r="K24" s="2"/>
      <c r="L24" s="2">
        <f t="shared" si="0"/>
        <v>2680.95</v>
      </c>
      <c r="M24" s="2"/>
      <c r="N24" s="22">
        <f t="shared" si="1"/>
        <v>0</v>
      </c>
      <c r="O24" s="11"/>
      <c r="P24" s="2">
        <f>--2680.95</f>
        <v>2680.95</v>
      </c>
      <c r="Q24" s="2"/>
      <c r="R24" s="22"/>
      <c r="S24" s="2"/>
      <c r="T24" s="2"/>
      <c r="U24" s="2"/>
      <c r="V24" s="22"/>
      <c r="W24" s="2"/>
      <c r="X24" s="2">
        <f t="shared" si="2"/>
        <v>2680.95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--1134</f>
        <v>1134</v>
      </c>
      <c r="E25" s="2"/>
      <c r="F25" s="22"/>
      <c r="G25" s="2"/>
      <c r="H25" s="2"/>
      <c r="I25" s="2"/>
      <c r="J25" s="22"/>
      <c r="K25" s="2"/>
      <c r="L25" s="2">
        <f t="shared" si="0"/>
        <v>1134</v>
      </c>
      <c r="M25" s="2"/>
      <c r="N25" s="22">
        <f t="shared" si="1"/>
        <v>0</v>
      </c>
      <c r="O25" s="11"/>
      <c r="P25" s="2">
        <f>--1134</f>
        <v>1134</v>
      </c>
      <c r="Q25" s="2"/>
      <c r="R25" s="22"/>
      <c r="S25" s="2"/>
      <c r="T25" s="2"/>
      <c r="U25" s="2"/>
      <c r="V25" s="22"/>
      <c r="W25" s="2"/>
      <c r="X25" s="2">
        <f t="shared" si="2"/>
        <v>1134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--6.95</f>
        <v>6.95</v>
      </c>
      <c r="E26" s="2"/>
      <c r="F26" s="22"/>
      <c r="G26" s="2"/>
      <c r="H26" s="2"/>
      <c r="I26" s="2"/>
      <c r="J26" s="22"/>
      <c r="K26" s="2"/>
      <c r="L26" s="2">
        <f t="shared" si="0"/>
        <v>6.95</v>
      </c>
      <c r="M26" s="2"/>
      <c r="N26" s="22">
        <f t="shared" si="1"/>
        <v>0</v>
      </c>
      <c r="O26" s="11"/>
      <c r="P26" s="2">
        <f>--6.95</f>
        <v>6.95</v>
      </c>
      <c r="Q26" s="2"/>
      <c r="R26" s="22"/>
      <c r="S26" s="2"/>
      <c r="T26" s="2"/>
      <c r="U26" s="2"/>
      <c r="V26" s="22"/>
      <c r="W26" s="2"/>
      <c r="X26" s="2">
        <f t="shared" si="2"/>
        <v>6.95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-607.15</f>
        <v>-607.15</v>
      </c>
      <c r="E27" s="2"/>
      <c r="F27" s="22"/>
      <c r="G27" s="2"/>
      <c r="H27" s="2"/>
      <c r="I27" s="2"/>
      <c r="J27" s="22"/>
      <c r="K27" s="2"/>
      <c r="L27" s="2">
        <f t="shared" si="0"/>
        <v>-607.15</v>
      </c>
      <c r="M27" s="2"/>
      <c r="N27" s="22">
        <f t="shared" si="1"/>
        <v>0</v>
      </c>
      <c r="O27" s="11"/>
      <c r="P27" s="2">
        <f>-607.15</f>
        <v>-607.15</v>
      </c>
      <c r="Q27" s="2"/>
      <c r="R27" s="22"/>
      <c r="S27" s="2"/>
      <c r="T27" s="2"/>
      <c r="U27" s="2"/>
      <c r="V27" s="22"/>
      <c r="W27" s="2"/>
      <c r="X27" s="2">
        <f t="shared" si="2"/>
        <v>-607.15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-721.45</f>
        <v>-721.45</v>
      </c>
      <c r="E28" s="2"/>
      <c r="F28" s="22"/>
      <c r="G28" s="2"/>
      <c r="H28" s="2"/>
      <c r="I28" s="2"/>
      <c r="J28" s="22"/>
      <c r="K28" s="2"/>
      <c r="L28" s="2">
        <f t="shared" si="0"/>
        <v>-721.45</v>
      </c>
      <c r="M28" s="2"/>
      <c r="N28" s="22">
        <f t="shared" si="1"/>
        <v>0</v>
      </c>
      <c r="O28" s="11"/>
      <c r="P28" s="2">
        <f>-721.45</f>
        <v>-721.45</v>
      </c>
      <c r="Q28" s="2"/>
      <c r="R28" s="22"/>
      <c r="S28" s="2"/>
      <c r="T28" s="2"/>
      <c r="U28" s="2"/>
      <c r="V28" s="22"/>
      <c r="W28" s="2"/>
      <c r="X28" s="2">
        <f t="shared" si="2"/>
        <v>-721.45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"4301", " - ", "SALES RETURN NON TAXABLE-NEW T")</f>
        <v xml:space="preserve">          4301 - SALES RETURN NON TAXABLE-NEW T</v>
      </c>
      <c r="C29" s="11"/>
      <c r="D29" s="2">
        <f>-254.59</f>
        <v>-254.59</v>
      </c>
      <c r="E29" s="2"/>
      <c r="F29" s="22"/>
      <c r="G29" s="2"/>
      <c r="H29" s="2"/>
      <c r="I29" s="2"/>
      <c r="J29" s="22"/>
      <c r="K29" s="2"/>
      <c r="L29" s="2">
        <f t="shared" si="0"/>
        <v>-254.59</v>
      </c>
      <c r="M29" s="2"/>
      <c r="N29" s="22">
        <f t="shared" si="1"/>
        <v>0</v>
      </c>
      <c r="O29" s="11"/>
      <c r="P29" s="2">
        <f>-254.59</f>
        <v>-254.59</v>
      </c>
      <c r="Q29" s="2"/>
      <c r="R29" s="22"/>
      <c r="S29" s="2"/>
      <c r="T29" s="2"/>
      <c r="U29" s="2"/>
      <c r="V29" s="22"/>
      <c r="W29" s="2"/>
      <c r="X29" s="2">
        <f t="shared" si="2"/>
        <v>-254.59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"4311", " - ", "SALES RETURN NON TAXABLE-NO VA")</f>
        <v xml:space="preserve">          4311 - SALES RETURN NON TAXABLE-NO VA</v>
      </c>
      <c r="C30" s="11"/>
      <c r="D30" s="2">
        <f>-31.98</f>
        <v>-31.98</v>
      </c>
      <c r="E30" s="2"/>
      <c r="F30" s="22"/>
      <c r="G30" s="2"/>
      <c r="H30" s="2"/>
      <c r="I30" s="2"/>
      <c r="J30" s="22"/>
      <c r="K30" s="2"/>
      <c r="L30" s="2">
        <f t="shared" si="0"/>
        <v>-31.98</v>
      </c>
      <c r="M30" s="2"/>
      <c r="N30" s="22">
        <f t="shared" si="1"/>
        <v>0</v>
      </c>
      <c r="O30" s="11"/>
      <c r="P30" s="2">
        <f>-31.98</f>
        <v>-31.98</v>
      </c>
      <c r="Q30" s="2"/>
      <c r="R30" s="22"/>
      <c r="S30" s="2"/>
      <c r="T30" s="2"/>
      <c r="U30" s="2"/>
      <c r="V30" s="22"/>
      <c r="W30" s="2"/>
      <c r="X30" s="2">
        <f t="shared" si="2"/>
        <v>-31.98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5" t="s">
        <v>8</v>
      </c>
      <c r="C32" s="10"/>
      <c r="D32" s="4">
        <f>SUM(OSRRefD16x_0)</f>
        <v>63287.460000000014</v>
      </c>
      <c r="E32" s="4"/>
      <c r="F32" s="12">
        <f t="shared" ref="F32:F45" si="4">IF(D$12=0,0,D32/D$12)</f>
        <v>0.81623281250886681</v>
      </c>
      <c r="G32" s="4"/>
      <c r="H32" s="4">
        <f>SUM(OSRRefH16x_0)</f>
        <v>72365</v>
      </c>
      <c r="I32" s="4"/>
      <c r="J32" s="12">
        <f t="shared" ref="J32:J45" si="5">IF(H$12=0,0,H32/H$12)</f>
        <v>0.72129856667264713</v>
      </c>
      <c r="K32" s="4"/>
      <c r="L32" s="4">
        <f t="shared" ref="L32:L45" si="6">+D32-H32</f>
        <v>-9077.5399999999863</v>
      </c>
      <c r="M32" s="4"/>
      <c r="N32" s="12">
        <f t="shared" ref="N32:N45" si="7">IF(H32=0,0,L32/H32)</f>
        <v>-0.12544102812132918</v>
      </c>
      <c r="O32" s="10"/>
      <c r="P32" s="4">
        <f>SUM(OSRRefP16x_0)</f>
        <v>63287.460000000014</v>
      </c>
      <c r="Q32" s="4"/>
      <c r="R32" s="12">
        <f t="shared" ref="R32:R45" si="8">IF(P$12=0,0,P32/P$12)</f>
        <v>0.81623281250886681</v>
      </c>
      <c r="S32" s="4"/>
      <c r="T32" s="4">
        <f>SUM(OSRRefT16x_0)</f>
        <v>72365</v>
      </c>
      <c r="U32" s="4"/>
      <c r="V32" s="12">
        <f t="shared" ref="V32:V45" si="9">IF(T$12=0,0,T32/T$12)</f>
        <v>0.72129856667264713</v>
      </c>
      <c r="W32" s="4"/>
      <c r="X32" s="4">
        <f t="shared" ref="X32:X45" si="10">+P32-T32</f>
        <v>-9077.5399999999863</v>
      </c>
      <c r="Y32" s="4"/>
      <c r="Z32" s="12">
        <f t="shared" ref="Z32:Z45" si="11">IF(T32=0,0,X32/T32)</f>
        <v>-0.12544102812132918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72365</v>
      </c>
      <c r="I33" s="2"/>
      <c r="J33" s="22">
        <f t="shared" si="5"/>
        <v>0.72129856667264713</v>
      </c>
      <c r="K33" s="2"/>
      <c r="L33" s="2">
        <f t="shared" si="6"/>
        <v>-72365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72365</v>
      </c>
      <c r="U33" s="2"/>
      <c r="V33" s="22">
        <f t="shared" si="9"/>
        <v>0.72129856667264713</v>
      </c>
      <c r="W33" s="2"/>
      <c r="X33" s="2">
        <f t="shared" si="10"/>
        <v>-72365</v>
      </c>
      <c r="Y33" s="2"/>
      <c r="Z33" s="22">
        <f t="shared" si="11"/>
        <v>-1</v>
      </c>
    </row>
    <row r="34" spans="1:26" s="24" customFormat="1" hidden="1" outlineLevel="1" x14ac:dyDescent="0.25">
      <c r="A34" s="51"/>
      <c r="B34" s="11" t="str">
        <f>CONCATENATE("          ", "5001", " - ", "PURCHASES @ COST-NEW TEXT")</f>
        <v xml:space="preserve">          5001 - PURCHASES @ COST-NEW TEXT</v>
      </c>
      <c r="C34" s="11"/>
      <c r="D34" s="2">
        <v>341200.05</v>
      </c>
      <c r="E34" s="2"/>
      <c r="F34" s="22">
        <f t="shared" si="4"/>
        <v>4.4005348996415075</v>
      </c>
      <c r="G34" s="2"/>
      <c r="H34" s="2"/>
      <c r="I34" s="2"/>
      <c r="J34" s="22">
        <f t="shared" si="5"/>
        <v>0</v>
      </c>
      <c r="K34" s="2"/>
      <c r="L34" s="2">
        <f t="shared" si="6"/>
        <v>341200.05</v>
      </c>
      <c r="M34" s="2"/>
      <c r="N34" s="22">
        <f t="shared" si="7"/>
        <v>0</v>
      </c>
      <c r="O34" s="11"/>
      <c r="P34" s="2">
        <v>341200.05</v>
      </c>
      <c r="Q34" s="2"/>
      <c r="R34" s="22">
        <f t="shared" si="8"/>
        <v>4.4005348996415075</v>
      </c>
      <c r="S34" s="2"/>
      <c r="T34" s="2"/>
      <c r="U34" s="2"/>
      <c r="V34" s="22">
        <f t="shared" si="9"/>
        <v>0</v>
      </c>
      <c r="W34" s="2"/>
      <c r="X34" s="2">
        <f t="shared" si="10"/>
        <v>341200.05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"5002", " - ", "PURCHASES @ COST-USED TEXT")</f>
        <v xml:space="preserve">          5002 - PURCHASES @ COST-USED TEXT</v>
      </c>
      <c r="C35" s="11"/>
      <c r="D35" s="2">
        <v>100384.16</v>
      </c>
      <c r="E35" s="2"/>
      <c r="F35" s="22">
        <f t="shared" si="4"/>
        <v>1.2946774171082245</v>
      </c>
      <c r="G35" s="2"/>
      <c r="H35" s="2"/>
      <c r="I35" s="2"/>
      <c r="J35" s="22">
        <f t="shared" si="5"/>
        <v>0</v>
      </c>
      <c r="K35" s="2"/>
      <c r="L35" s="2">
        <f t="shared" si="6"/>
        <v>100384.16</v>
      </c>
      <c r="M35" s="2"/>
      <c r="N35" s="22">
        <f t="shared" si="7"/>
        <v>0</v>
      </c>
      <c r="O35" s="11"/>
      <c r="P35" s="2">
        <v>100384.16</v>
      </c>
      <c r="Q35" s="2"/>
      <c r="R35" s="22">
        <f t="shared" si="8"/>
        <v>1.2946774171082245</v>
      </c>
      <c r="S35" s="2"/>
      <c r="T35" s="2"/>
      <c r="U35" s="2"/>
      <c r="V35" s="22">
        <f t="shared" si="9"/>
        <v>0</v>
      </c>
      <c r="W35" s="2"/>
      <c r="X35" s="2">
        <f t="shared" si="10"/>
        <v>100384.16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"5003", " - ", "PURCHASES @ COST-RENTAL TEXT")</f>
        <v xml:space="preserve">          5003 - PURCHASES @ COST-RENTAL TEXT</v>
      </c>
      <c r="C36" s="11"/>
      <c r="D36" s="2">
        <v>38295.800000000003</v>
      </c>
      <c r="E36" s="2"/>
      <c r="F36" s="22">
        <f t="shared" si="4"/>
        <v>0.49390967090916676</v>
      </c>
      <c r="G36" s="2"/>
      <c r="H36" s="2"/>
      <c r="I36" s="2"/>
      <c r="J36" s="22">
        <f t="shared" si="5"/>
        <v>0</v>
      </c>
      <c r="K36" s="2"/>
      <c r="L36" s="2">
        <f t="shared" si="6"/>
        <v>38295.800000000003</v>
      </c>
      <c r="M36" s="2"/>
      <c r="N36" s="22">
        <f t="shared" si="7"/>
        <v>0</v>
      </c>
      <c r="O36" s="11"/>
      <c r="P36" s="2">
        <v>38295.800000000003</v>
      </c>
      <c r="Q36" s="2"/>
      <c r="R36" s="22">
        <f t="shared" si="8"/>
        <v>0.49390967090916676</v>
      </c>
      <c r="S36" s="2"/>
      <c r="T36" s="2"/>
      <c r="U36" s="2"/>
      <c r="V36" s="22">
        <f t="shared" si="9"/>
        <v>0</v>
      </c>
      <c r="W36" s="2"/>
      <c r="X36" s="2">
        <f t="shared" si="10"/>
        <v>38295.800000000003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"5004", " - ", "PURCHASES @ COST-DIGITAL TEXT")</f>
        <v xml:space="preserve">          5004 - PURCHASES @ COST-DIGITAL TEXT</v>
      </c>
      <c r="C37" s="11"/>
      <c r="D37" s="2">
        <v>133958.57</v>
      </c>
      <c r="E37" s="2"/>
      <c r="F37" s="22">
        <f t="shared" si="4"/>
        <v>1.7276942438638854</v>
      </c>
      <c r="G37" s="2"/>
      <c r="H37" s="2"/>
      <c r="I37" s="2"/>
      <c r="J37" s="22">
        <f t="shared" si="5"/>
        <v>0</v>
      </c>
      <c r="K37" s="2"/>
      <c r="L37" s="2">
        <f t="shared" si="6"/>
        <v>133958.57</v>
      </c>
      <c r="M37" s="2"/>
      <c r="N37" s="22">
        <f t="shared" si="7"/>
        <v>0</v>
      </c>
      <c r="O37" s="11"/>
      <c r="P37" s="2">
        <v>133958.57</v>
      </c>
      <c r="Q37" s="2"/>
      <c r="R37" s="22">
        <f t="shared" si="8"/>
        <v>1.7276942438638854</v>
      </c>
      <c r="S37" s="2"/>
      <c r="T37" s="2"/>
      <c r="U37" s="2"/>
      <c r="V37" s="22">
        <f t="shared" si="9"/>
        <v>0</v>
      </c>
      <c r="W37" s="2"/>
      <c r="X37" s="2">
        <f t="shared" si="10"/>
        <v>133958.57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"5011", " - ", "PURCHASES @ COST-NO VALUE TEXT")</f>
        <v xml:space="preserve">          5011 - PURCHASES @ COST-NO VALUE TEXT</v>
      </c>
      <c r="C38" s="11"/>
      <c r="D38" s="2">
        <v>288</v>
      </c>
      <c r="E38" s="2"/>
      <c r="F38" s="22">
        <f t="shared" si="4"/>
        <v>3.7144017156408803E-3</v>
      </c>
      <c r="G38" s="2"/>
      <c r="H38" s="2"/>
      <c r="I38" s="2"/>
      <c r="J38" s="22">
        <f t="shared" si="5"/>
        <v>0</v>
      </c>
      <c r="K38" s="2"/>
      <c r="L38" s="2">
        <f t="shared" si="6"/>
        <v>288</v>
      </c>
      <c r="M38" s="2"/>
      <c r="N38" s="22">
        <f t="shared" si="7"/>
        <v>0</v>
      </c>
      <c r="O38" s="11"/>
      <c r="P38" s="2">
        <v>288</v>
      </c>
      <c r="Q38" s="2"/>
      <c r="R38" s="22">
        <f t="shared" si="8"/>
        <v>3.7144017156408803E-3</v>
      </c>
      <c r="S38" s="2"/>
      <c r="T38" s="2"/>
      <c r="U38" s="2"/>
      <c r="V38" s="22">
        <f t="shared" si="9"/>
        <v>0</v>
      </c>
      <c r="W38" s="2"/>
      <c r="X38" s="2">
        <f t="shared" si="10"/>
        <v>288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"5013", " - ", "PURCHASES @ COST-TRADE BOOKS")</f>
        <v xml:space="preserve">          5013 - PURCHASES @ COST-TRADE BOOKS</v>
      </c>
      <c r="C39" s="11"/>
      <c r="D39" s="2">
        <v>204.9</v>
      </c>
      <c r="E39" s="2"/>
      <c r="F39" s="22">
        <f t="shared" si="4"/>
        <v>2.6426420539403346E-3</v>
      </c>
      <c r="G39" s="2"/>
      <c r="H39" s="2"/>
      <c r="I39" s="2"/>
      <c r="J39" s="22">
        <f t="shared" si="5"/>
        <v>0</v>
      </c>
      <c r="K39" s="2"/>
      <c r="L39" s="2">
        <f t="shared" si="6"/>
        <v>204.9</v>
      </c>
      <c r="M39" s="2"/>
      <c r="N39" s="22">
        <f t="shared" si="7"/>
        <v>0</v>
      </c>
      <c r="O39" s="11"/>
      <c r="P39" s="2">
        <v>204.9</v>
      </c>
      <c r="Q39" s="2"/>
      <c r="R39" s="22">
        <f t="shared" si="8"/>
        <v>2.6426420539403346E-3</v>
      </c>
      <c r="S39" s="2"/>
      <c r="T39" s="2"/>
      <c r="U39" s="2"/>
      <c r="V39" s="22">
        <f t="shared" si="9"/>
        <v>0</v>
      </c>
      <c r="W39" s="2"/>
      <c r="X39" s="2">
        <f t="shared" si="10"/>
        <v>204.9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"5014", " - ", "PURCHASES @ COST-REMAINDERS")</f>
        <v xml:space="preserve">          5014 - PURCHASES @ COST-REMAINDERS</v>
      </c>
      <c r="C40" s="11"/>
      <c r="D40" s="2">
        <v>100.48</v>
      </c>
      <c r="E40" s="2"/>
      <c r="F40" s="22">
        <f t="shared" si="4"/>
        <v>1.2959134874569293E-3</v>
      </c>
      <c r="G40" s="2"/>
      <c r="H40" s="2"/>
      <c r="I40" s="2"/>
      <c r="J40" s="22">
        <f t="shared" si="5"/>
        <v>0</v>
      </c>
      <c r="K40" s="2"/>
      <c r="L40" s="2">
        <f t="shared" si="6"/>
        <v>100.48</v>
      </c>
      <c r="M40" s="2"/>
      <c r="N40" s="22">
        <f t="shared" si="7"/>
        <v>0</v>
      </c>
      <c r="O40" s="11"/>
      <c r="P40" s="2">
        <v>100.48</v>
      </c>
      <c r="Q40" s="2"/>
      <c r="R40" s="22">
        <f t="shared" si="8"/>
        <v>1.2959134874569293E-3</v>
      </c>
      <c r="S40" s="2"/>
      <c r="T40" s="2"/>
      <c r="U40" s="2"/>
      <c r="V40" s="22">
        <f t="shared" si="9"/>
        <v>0</v>
      </c>
      <c r="W40" s="2"/>
      <c r="X40" s="2">
        <f t="shared" si="10"/>
        <v>100.48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"5018", " - ", "PURCHASES @ COST-STUDY GUIDES")</f>
        <v xml:space="preserve">          5018 - PURCHASES @ COST-STUDY GUIDES</v>
      </c>
      <c r="C41" s="11"/>
      <c r="D41" s="2">
        <v>503.93</v>
      </c>
      <c r="E41" s="2"/>
      <c r="F41" s="22">
        <f t="shared" si="4"/>
        <v>6.4993001963989886E-3</v>
      </c>
      <c r="G41" s="2"/>
      <c r="H41" s="2"/>
      <c r="I41" s="2"/>
      <c r="J41" s="22">
        <f t="shared" si="5"/>
        <v>0</v>
      </c>
      <c r="K41" s="2"/>
      <c r="L41" s="2">
        <f t="shared" si="6"/>
        <v>503.93</v>
      </c>
      <c r="M41" s="2"/>
      <c r="N41" s="22">
        <f t="shared" si="7"/>
        <v>0</v>
      </c>
      <c r="O41" s="11"/>
      <c r="P41" s="2">
        <v>503.93</v>
      </c>
      <c r="Q41" s="2"/>
      <c r="R41" s="22">
        <f t="shared" si="8"/>
        <v>6.4993001963989886E-3</v>
      </c>
      <c r="S41" s="2"/>
      <c r="T41" s="2"/>
      <c r="U41" s="2"/>
      <c r="V41" s="22">
        <f t="shared" si="9"/>
        <v>0</v>
      </c>
      <c r="W41" s="2"/>
      <c r="X41" s="2">
        <f t="shared" si="10"/>
        <v>503.93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"5200", " - ", "PURCHASES OFFSET")</f>
        <v xml:space="preserve">          5200 - PURCHASES OFFSET</v>
      </c>
      <c r="C42" s="11"/>
      <c r="D42" s="2">
        <v>-616930</v>
      </c>
      <c r="E42" s="2"/>
      <c r="F42" s="22">
        <f t="shared" si="4"/>
        <v>-7.9566869806608622</v>
      </c>
      <c r="G42" s="2"/>
      <c r="H42" s="2"/>
      <c r="I42" s="2"/>
      <c r="J42" s="22">
        <f t="shared" si="5"/>
        <v>0</v>
      </c>
      <c r="K42" s="2"/>
      <c r="L42" s="2">
        <f t="shared" si="6"/>
        <v>-616930</v>
      </c>
      <c r="M42" s="2"/>
      <c r="N42" s="22">
        <f t="shared" si="7"/>
        <v>0</v>
      </c>
      <c r="O42" s="11"/>
      <c r="P42" s="2">
        <v>-616930</v>
      </c>
      <c r="Q42" s="2"/>
      <c r="R42" s="22">
        <f t="shared" si="8"/>
        <v>-7.9566869806608622</v>
      </c>
      <c r="S42" s="2"/>
      <c r="T42" s="2"/>
      <c r="U42" s="2"/>
      <c r="V42" s="22">
        <f t="shared" si="9"/>
        <v>0</v>
      </c>
      <c r="W42" s="2"/>
      <c r="X42" s="2">
        <f t="shared" si="10"/>
        <v>-616930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"5300", " - ", "COG$ OFFSET")</f>
        <v xml:space="preserve">          5300 - COG$ OFFSET</v>
      </c>
      <c r="C43" s="11"/>
      <c r="D43" s="2">
        <v>63288</v>
      </c>
      <c r="E43" s="2"/>
      <c r="F43" s="22">
        <f t="shared" si="4"/>
        <v>0.81623977701208339</v>
      </c>
      <c r="G43" s="2"/>
      <c r="H43" s="2"/>
      <c r="I43" s="2"/>
      <c r="J43" s="22">
        <f t="shared" si="5"/>
        <v>0</v>
      </c>
      <c r="K43" s="2"/>
      <c r="L43" s="2">
        <f t="shared" si="6"/>
        <v>63288</v>
      </c>
      <c r="M43" s="2"/>
      <c r="N43" s="22">
        <f t="shared" si="7"/>
        <v>0</v>
      </c>
      <c r="O43" s="11"/>
      <c r="P43" s="2">
        <v>63288</v>
      </c>
      <c r="Q43" s="2"/>
      <c r="R43" s="22">
        <f t="shared" si="8"/>
        <v>0.81623977701208339</v>
      </c>
      <c r="S43" s="2"/>
      <c r="T43" s="2"/>
      <c r="U43" s="2"/>
      <c r="V43" s="22">
        <f t="shared" si="9"/>
        <v>0</v>
      </c>
      <c r="W43" s="2"/>
      <c r="X43" s="2">
        <f t="shared" si="10"/>
        <v>63288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"5501", " - ", "FREIGHT-IN-NEW TEXT")</f>
        <v xml:space="preserve">          5501 - FREIGHT-IN-NEW TEXT</v>
      </c>
      <c r="C44" s="11"/>
      <c r="D44" s="2">
        <v>1716.08</v>
      </c>
      <c r="E44" s="2"/>
      <c r="F44" s="22">
        <f t="shared" si="4"/>
        <v>2.2132675333947922E-2</v>
      </c>
      <c r="G44" s="2"/>
      <c r="H44" s="2"/>
      <c r="I44" s="2"/>
      <c r="J44" s="22">
        <f t="shared" si="5"/>
        <v>0</v>
      </c>
      <c r="K44" s="2"/>
      <c r="L44" s="2">
        <f t="shared" si="6"/>
        <v>1716.08</v>
      </c>
      <c r="M44" s="2"/>
      <c r="N44" s="22">
        <f t="shared" si="7"/>
        <v>0</v>
      </c>
      <c r="O44" s="11"/>
      <c r="P44" s="2">
        <v>1716.08</v>
      </c>
      <c r="Q44" s="2"/>
      <c r="R44" s="22">
        <f t="shared" si="8"/>
        <v>2.2132675333947922E-2</v>
      </c>
      <c r="S44" s="2"/>
      <c r="T44" s="2"/>
      <c r="U44" s="2"/>
      <c r="V44" s="22">
        <f t="shared" si="9"/>
        <v>0</v>
      </c>
      <c r="W44" s="2"/>
      <c r="X44" s="2">
        <f t="shared" si="10"/>
        <v>1716.08</v>
      </c>
      <c r="Y44" s="2"/>
      <c r="Z44" s="22">
        <f t="shared" si="11"/>
        <v>0</v>
      </c>
    </row>
    <row r="45" spans="1:26" s="24" customFormat="1" hidden="1" outlineLevel="1" x14ac:dyDescent="0.25">
      <c r="A45" s="51"/>
      <c r="B45" s="11" t="str">
        <f>CONCATENATE("          ", "5502", " - ", "FREIGHT-IN-USED TEXT")</f>
        <v xml:space="preserve">          5502 - FREIGHT-IN-USED TEXT</v>
      </c>
      <c r="C45" s="11"/>
      <c r="D45" s="2">
        <v>277.49</v>
      </c>
      <c r="E45" s="2"/>
      <c r="F45" s="22">
        <f t="shared" si="4"/>
        <v>3.578851847476347E-3</v>
      </c>
      <c r="G45" s="2"/>
      <c r="H45" s="2"/>
      <c r="I45" s="2"/>
      <c r="J45" s="22">
        <f t="shared" si="5"/>
        <v>0</v>
      </c>
      <c r="K45" s="2"/>
      <c r="L45" s="2">
        <f t="shared" si="6"/>
        <v>277.49</v>
      </c>
      <c r="M45" s="2"/>
      <c r="N45" s="22">
        <f t="shared" si="7"/>
        <v>0</v>
      </c>
      <c r="O45" s="11"/>
      <c r="P45" s="2">
        <v>277.49</v>
      </c>
      <c r="Q45" s="2"/>
      <c r="R45" s="22">
        <f t="shared" si="8"/>
        <v>3.578851847476347E-3</v>
      </c>
      <c r="S45" s="2"/>
      <c r="T45" s="2"/>
      <c r="U45" s="2"/>
      <c r="V45" s="22">
        <f t="shared" si="9"/>
        <v>0</v>
      </c>
      <c r="W45" s="2"/>
      <c r="X45" s="2">
        <f t="shared" si="10"/>
        <v>277.49</v>
      </c>
      <c r="Y45" s="2"/>
      <c r="Z45" s="22">
        <f t="shared" si="11"/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6" t="s">
        <v>6</v>
      </c>
      <c r="C47" s="26"/>
      <c r="D47" s="21">
        <f>D12-D32</f>
        <v>14248.580000000009</v>
      </c>
      <c r="E47" s="13"/>
      <c r="F47" s="19">
        <f>IF(D$12=0,0,D47/D$12)</f>
        <v>0.18376718749113322</v>
      </c>
      <c r="G47" s="13"/>
      <c r="H47" s="21">
        <f>H12-H32</f>
        <v>27961</v>
      </c>
      <c r="I47" s="13"/>
      <c r="J47" s="19">
        <f>IF(H$12=0,0,H47/H$12)</f>
        <v>0.27870143332735281</v>
      </c>
      <c r="K47" s="15"/>
      <c r="L47" s="21">
        <f>+D47-H47</f>
        <v>-13712.419999999991</v>
      </c>
      <c r="M47" s="15"/>
      <c r="N47" s="19">
        <f>IF(H47=0,0,L47/H47)</f>
        <v>-0.49041236007295846</v>
      </c>
      <c r="O47" s="25"/>
      <c r="P47" s="21">
        <f>P12-P32</f>
        <v>14248.580000000009</v>
      </c>
      <c r="Q47" s="13"/>
      <c r="R47" s="19">
        <f>IF(P$12=0,0,P47/P$12)</f>
        <v>0.18376718749113322</v>
      </c>
      <c r="S47" s="13"/>
      <c r="T47" s="21">
        <f>T12-T32</f>
        <v>27961</v>
      </c>
      <c r="U47" s="13"/>
      <c r="V47" s="19">
        <f>IF(T$12=0,0,T47/T$12)</f>
        <v>0.27870143332735281</v>
      </c>
      <c r="W47" s="15"/>
      <c r="X47" s="21">
        <f>+P47-T47</f>
        <v>-13712.419999999991</v>
      </c>
      <c r="Y47" s="15"/>
      <c r="Z47" s="19">
        <f>IF(T47=0,0,X47/T47)</f>
        <v>-0.49041236007295846</v>
      </c>
    </row>
    <row r="48" spans="1:26" x14ac:dyDescent="0.25">
      <c r="A48" s="9"/>
      <c r="B48" s="10"/>
      <c r="C48" s="9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6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5" t="s">
        <v>9</v>
      </c>
      <c r="C49" s="10"/>
      <c r="D49" s="20">
        <f>SUM(OSRRefD22x_0)</f>
        <v>42991.349999999991</v>
      </c>
      <c r="E49" s="20"/>
      <c r="F49" s="30">
        <f t="shared" ref="F49:F60" si="12">IF(D$12=0,0,D49/D$12)</f>
        <v>0.5544692506865192</v>
      </c>
      <c r="G49" s="20"/>
      <c r="H49" s="20">
        <f>SUM(OSRRefH22x_0)</f>
        <v>52228.344691372258</v>
      </c>
      <c r="I49" s="20"/>
      <c r="J49" s="30">
        <f t="shared" ref="J49:J60" si="13">IF(H$12=0,0,H49/H$12)</f>
        <v>0.52058633546012256</v>
      </c>
      <c r="K49" s="4"/>
      <c r="L49" s="20">
        <f t="shared" ref="L49:L60" si="14">+D49-H49</f>
        <v>-9236.994691372267</v>
      </c>
      <c r="M49" s="4"/>
      <c r="N49" s="30">
        <f t="shared" ref="N49:N60" si="15">IF(H49=0,0,L49/H49)</f>
        <v>-0.17685788714835818</v>
      </c>
      <c r="O49" s="10"/>
      <c r="P49" s="20">
        <f>SUM(OSRRefP22x_0)</f>
        <v>42991.349999999991</v>
      </c>
      <c r="Q49" s="20"/>
      <c r="R49" s="30">
        <f t="shared" ref="R49:R60" si="16">IF(P$12=0,0,P49/P$12)</f>
        <v>0.5544692506865192</v>
      </c>
      <c r="S49" s="20"/>
      <c r="T49" s="20">
        <f>SUM(OSRRefT22x_0)</f>
        <v>52228.344691372258</v>
      </c>
      <c r="U49" s="20"/>
      <c r="V49" s="30">
        <f t="shared" ref="V49:V60" si="17">IF(T$12=0,0,T49/T$12)</f>
        <v>0.52058633546012256</v>
      </c>
      <c r="W49" s="4"/>
      <c r="X49" s="20">
        <f t="shared" ref="X49:X60" si="18">+P49-T49</f>
        <v>-9236.994691372267</v>
      </c>
      <c r="Y49" s="4"/>
      <c r="Z49" s="30">
        <f t="shared" ref="Z49:Z60" si="19">IF(T49=0,0,X49/T49)</f>
        <v>-0.17685788714835818</v>
      </c>
    </row>
    <row r="50" spans="1:26" s="27" customFormat="1" outlineLevel="1" collapsed="1" x14ac:dyDescent="0.25">
      <c r="A50" s="28"/>
      <c r="B50" s="14" t="str">
        <f>CONCATENATE("     ","*Benefits                                         ")</f>
        <v xml:space="preserve">     *Benefits                                         </v>
      </c>
      <c r="C50" s="14"/>
      <c r="D50" s="1">
        <f>SUM(OSRRefD22_0x_0)</f>
        <v>11226.609999999999</v>
      </c>
      <c r="E50" s="1"/>
      <c r="F50" s="5">
        <f t="shared" si="12"/>
        <v>0.14479215085010785</v>
      </c>
      <c r="G50" s="1"/>
      <c r="H50" s="1">
        <f>SUM(OSRRefH22_0x_0)</f>
        <v>14228.000671718455</v>
      </c>
      <c r="I50" s="1"/>
      <c r="J50" s="5">
        <f t="shared" si="13"/>
        <v>0.14181768107687395</v>
      </c>
      <c r="K50" s="1"/>
      <c r="L50" s="1">
        <f t="shared" si="14"/>
        <v>-3001.3906717184564</v>
      </c>
      <c r="M50" s="1"/>
      <c r="N50" s="5">
        <f t="shared" si="15"/>
        <v>-0.21094957337782785</v>
      </c>
      <c r="O50" s="14"/>
      <c r="P50" s="1">
        <f>SUM(OSRRefP22_0x_0)</f>
        <v>11226.609999999999</v>
      </c>
      <c r="Q50" s="1"/>
      <c r="R50" s="5">
        <f t="shared" si="16"/>
        <v>0.14479215085010785</v>
      </c>
      <c r="S50" s="1"/>
      <c r="T50" s="1">
        <f>SUM(OSRRefT22_0x_0)</f>
        <v>14228.000671718455</v>
      </c>
      <c r="U50" s="1"/>
      <c r="V50" s="5">
        <f t="shared" si="17"/>
        <v>0.14181768107687395</v>
      </c>
      <c r="W50" s="1"/>
      <c r="X50" s="1">
        <f t="shared" si="18"/>
        <v>-3001.3906717184564</v>
      </c>
      <c r="Y50" s="1"/>
      <c r="Z50" s="5">
        <f t="shared" si="19"/>
        <v>-0.21094957337782785</v>
      </c>
    </row>
    <row r="51" spans="1:26" s="24" customFormat="1" hidden="1" outlineLevel="2" x14ac:dyDescent="0.25">
      <c r="A51" s="29"/>
      <c r="B51" s="11" t="str">
        <f>CONCATENATE("          ", "6111", " - ", "F.I.C.A.")</f>
        <v xml:space="preserve">          6111 - F.I.C.A.</v>
      </c>
      <c r="C51" s="11"/>
      <c r="D51" s="7">
        <v>1620.75</v>
      </c>
      <c r="E51" s="2"/>
      <c r="F51" s="6">
        <f t="shared" si="12"/>
        <v>2.0903182571614432E-2</v>
      </c>
      <c r="G51" s="2"/>
      <c r="H51" s="7">
        <v>2345.2125058107699</v>
      </c>
      <c r="I51" s="2"/>
      <c r="J51" s="6">
        <f t="shared" si="13"/>
        <v>2.3375919560340987E-2</v>
      </c>
      <c r="K51" s="2"/>
      <c r="L51" s="7">
        <f t="shared" si="14"/>
        <v>-724.46250581076993</v>
      </c>
      <c r="M51" s="2"/>
      <c r="N51" s="6">
        <f t="shared" si="15"/>
        <v>-0.30891124109894424</v>
      </c>
      <c r="O51" s="11"/>
      <c r="P51" s="7">
        <v>1620.75</v>
      </c>
      <c r="Q51" s="2"/>
      <c r="R51" s="6">
        <f t="shared" si="16"/>
        <v>2.0903182571614432E-2</v>
      </c>
      <c r="S51" s="2"/>
      <c r="T51" s="7">
        <v>2345.2125058107699</v>
      </c>
      <c r="U51" s="2"/>
      <c r="V51" s="6">
        <f t="shared" si="17"/>
        <v>2.3375919560340987E-2</v>
      </c>
      <c r="W51" s="2"/>
      <c r="X51" s="7">
        <f t="shared" si="18"/>
        <v>-724.46250581076993</v>
      </c>
      <c r="Y51" s="2"/>
      <c r="Z51" s="6">
        <f t="shared" si="19"/>
        <v>-0.30891124109894424</v>
      </c>
    </row>
    <row r="52" spans="1:26" s="24" customFormat="1" hidden="1" outlineLevel="2" x14ac:dyDescent="0.25">
      <c r="A52" s="29"/>
      <c r="B52" s="11" t="str">
        <f>CONCATENATE("          ", "6112", " - ", "COMPENSATION INSURANCE")</f>
        <v xml:space="preserve">          6112 - COMPENSATION INSURANCE</v>
      </c>
      <c r="C52" s="11"/>
      <c r="D52" s="7">
        <v>85.11</v>
      </c>
      <c r="E52" s="2"/>
      <c r="F52" s="6">
        <f t="shared" si="12"/>
        <v>1.097683090340956E-3</v>
      </c>
      <c r="G52" s="2"/>
      <c r="H52" s="7">
        <v>647.491789384615</v>
      </c>
      <c r="I52" s="2"/>
      <c r="J52" s="6">
        <f t="shared" si="13"/>
        <v>6.4538782507487088E-3</v>
      </c>
      <c r="K52" s="2"/>
      <c r="L52" s="7">
        <f t="shared" si="14"/>
        <v>-562.38178938461499</v>
      </c>
      <c r="M52" s="2"/>
      <c r="N52" s="6">
        <f t="shared" si="15"/>
        <v>-0.86855431776070902</v>
      </c>
      <c r="O52" s="11"/>
      <c r="P52" s="7">
        <v>85.11</v>
      </c>
      <c r="Q52" s="2"/>
      <c r="R52" s="6">
        <f t="shared" si="16"/>
        <v>1.097683090340956E-3</v>
      </c>
      <c r="S52" s="2"/>
      <c r="T52" s="7">
        <v>647.491789384615</v>
      </c>
      <c r="U52" s="2"/>
      <c r="V52" s="6">
        <f t="shared" si="17"/>
        <v>6.4538782507487088E-3</v>
      </c>
      <c r="W52" s="2"/>
      <c r="X52" s="7">
        <f t="shared" si="18"/>
        <v>-562.38178938461499</v>
      </c>
      <c r="Y52" s="2"/>
      <c r="Z52" s="6">
        <f t="shared" si="19"/>
        <v>-0.86855431776070902</v>
      </c>
    </row>
    <row r="53" spans="1:26" s="24" customFormat="1" hidden="1" outlineLevel="2" x14ac:dyDescent="0.25">
      <c r="A53" s="29"/>
      <c r="B53" s="11" t="str">
        <f>CONCATENATE("          ", "6113", " - ", "GROUP INSURANCE")</f>
        <v xml:space="preserve">          6113 - GROUP INSURANCE</v>
      </c>
      <c r="C53" s="11"/>
      <c r="D53" s="7">
        <v>4168.57</v>
      </c>
      <c r="E53" s="2"/>
      <c r="F53" s="6">
        <f t="shared" si="12"/>
        <v>5.3762998471420499E-2</v>
      </c>
      <c r="G53" s="2"/>
      <c r="H53" s="7">
        <v>5783.4615384615399</v>
      </c>
      <c r="I53" s="2"/>
      <c r="J53" s="6">
        <f t="shared" si="13"/>
        <v>5.7646687184394273E-2</v>
      </c>
      <c r="K53" s="2"/>
      <c r="L53" s="7">
        <f t="shared" si="14"/>
        <v>-1614.8915384615402</v>
      </c>
      <c r="M53" s="2"/>
      <c r="N53" s="6">
        <f t="shared" si="15"/>
        <v>-0.27922577641816876</v>
      </c>
      <c r="O53" s="11"/>
      <c r="P53" s="7">
        <v>4168.57</v>
      </c>
      <c r="Q53" s="2"/>
      <c r="R53" s="6">
        <f t="shared" si="16"/>
        <v>5.3762998471420499E-2</v>
      </c>
      <c r="S53" s="2"/>
      <c r="T53" s="7">
        <v>5783.4615384615399</v>
      </c>
      <c r="U53" s="2"/>
      <c r="V53" s="6">
        <f t="shared" si="17"/>
        <v>5.7646687184394273E-2</v>
      </c>
      <c r="W53" s="2"/>
      <c r="X53" s="7">
        <f t="shared" si="18"/>
        <v>-1614.8915384615402</v>
      </c>
      <c r="Y53" s="2"/>
      <c r="Z53" s="6">
        <f t="shared" si="19"/>
        <v>-0.27922577641816876</v>
      </c>
    </row>
    <row r="54" spans="1:26" s="24" customFormat="1" hidden="1" outlineLevel="2" x14ac:dyDescent="0.25">
      <c r="A54" s="29"/>
      <c r="B54" s="11" t="str">
        <f>CONCATENATE("          ", "6114", " - ", "STATE UNEMPLOYMENT INSURANCE")</f>
        <v xml:space="preserve">          6114 - STATE UNEMPLOYMENT INSURANCE</v>
      </c>
      <c r="C54" s="11"/>
      <c r="D54" s="7">
        <v>55.09</v>
      </c>
      <c r="E54" s="2"/>
      <c r="F54" s="6">
        <f t="shared" si="12"/>
        <v>7.1050830039811144E-4</v>
      </c>
      <c r="G54" s="2"/>
      <c r="H54" s="7">
        <v>88.604139599999996</v>
      </c>
      <c r="I54" s="2"/>
      <c r="J54" s="6">
        <f t="shared" si="13"/>
        <v>8.8316228694456072E-4</v>
      </c>
      <c r="K54" s="2"/>
      <c r="L54" s="7">
        <f t="shared" si="14"/>
        <v>-33.514139599999993</v>
      </c>
      <c r="M54" s="2"/>
      <c r="N54" s="6">
        <f t="shared" si="15"/>
        <v>-0.37824575410695588</v>
      </c>
      <c r="O54" s="11"/>
      <c r="P54" s="7">
        <v>55.09</v>
      </c>
      <c r="Q54" s="2"/>
      <c r="R54" s="6">
        <f t="shared" si="16"/>
        <v>7.1050830039811144E-4</v>
      </c>
      <c r="S54" s="2"/>
      <c r="T54" s="7">
        <v>88.604139599999996</v>
      </c>
      <c r="U54" s="2"/>
      <c r="V54" s="6">
        <f t="shared" si="17"/>
        <v>8.8316228694456072E-4</v>
      </c>
      <c r="W54" s="2"/>
      <c r="X54" s="7">
        <f t="shared" si="18"/>
        <v>-33.514139599999993</v>
      </c>
      <c r="Y54" s="2"/>
      <c r="Z54" s="6">
        <f t="shared" si="19"/>
        <v>-0.37824575410695588</v>
      </c>
    </row>
    <row r="55" spans="1:26" s="24" customFormat="1" hidden="1" outlineLevel="2" x14ac:dyDescent="0.25">
      <c r="A55" s="29"/>
      <c r="B55" s="11" t="str">
        <f>CONCATENATE("          ", "6115", " - ", "P.E.R.S.")</f>
        <v xml:space="preserve">          6115 - P.E.R.S.</v>
      </c>
      <c r="C55" s="11"/>
      <c r="D55" s="7">
        <v>1325.86</v>
      </c>
      <c r="E55" s="2"/>
      <c r="F55" s="6">
        <f t="shared" si="12"/>
        <v>1.7099918953818113E-2</v>
      </c>
      <c r="G55" s="2"/>
      <c r="H55" s="7">
        <v>1544.9483098461499</v>
      </c>
      <c r="I55" s="2"/>
      <c r="J55" s="6">
        <f t="shared" si="13"/>
        <v>1.5399281440963955E-2</v>
      </c>
      <c r="K55" s="2"/>
      <c r="L55" s="7">
        <f t="shared" si="14"/>
        <v>-219.08830984614997</v>
      </c>
      <c r="M55" s="2"/>
      <c r="N55" s="6">
        <f t="shared" si="15"/>
        <v>-0.14180947572800501</v>
      </c>
      <c r="O55" s="11"/>
      <c r="P55" s="7">
        <v>1325.86</v>
      </c>
      <c r="Q55" s="2"/>
      <c r="R55" s="6">
        <f t="shared" si="16"/>
        <v>1.7099918953818113E-2</v>
      </c>
      <c r="S55" s="2"/>
      <c r="T55" s="7">
        <v>1544.9483098461499</v>
      </c>
      <c r="U55" s="2"/>
      <c r="V55" s="6">
        <f t="shared" si="17"/>
        <v>1.5399281440963955E-2</v>
      </c>
      <c r="W55" s="2"/>
      <c r="X55" s="7">
        <f t="shared" si="18"/>
        <v>-219.08830984614997</v>
      </c>
      <c r="Y55" s="2"/>
      <c r="Z55" s="6">
        <f t="shared" si="19"/>
        <v>-0.14180947572800501</v>
      </c>
    </row>
    <row r="56" spans="1:26" s="24" customFormat="1" hidden="1" outlineLevel="2" x14ac:dyDescent="0.25">
      <c r="A56" s="29"/>
      <c r="B56" s="11" t="str">
        <f>CONCATENATE("          ", "6116", " - ", "EDUCATIONAL BENEFITS")</f>
        <v xml:space="preserve">          6116 - EDUCATIONAL BENEFITS</v>
      </c>
      <c r="C56" s="11"/>
      <c r="D56" s="7"/>
      <c r="E56" s="2"/>
      <c r="F56" s="6">
        <f t="shared" si="12"/>
        <v>0</v>
      </c>
      <c r="G56" s="2"/>
      <c r="H56" s="7">
        <v>0</v>
      </c>
      <c r="I56" s="2"/>
      <c r="J56" s="6">
        <f t="shared" si="13"/>
        <v>0</v>
      </c>
      <c r="K56" s="2"/>
      <c r="L56" s="7">
        <f t="shared" si="14"/>
        <v>0</v>
      </c>
      <c r="M56" s="2"/>
      <c r="N56" s="6">
        <f t="shared" si="15"/>
        <v>0</v>
      </c>
      <c r="O56" s="11"/>
      <c r="P56" s="7"/>
      <c r="Q56" s="2"/>
      <c r="R56" s="6">
        <f t="shared" si="16"/>
        <v>0</v>
      </c>
      <c r="S56" s="2"/>
      <c r="T56" s="7">
        <v>0</v>
      </c>
      <c r="U56" s="2"/>
      <c r="V56" s="6">
        <f t="shared" si="17"/>
        <v>0</v>
      </c>
      <c r="W56" s="2"/>
      <c r="X56" s="7">
        <f t="shared" si="18"/>
        <v>0</v>
      </c>
      <c r="Y56" s="2"/>
      <c r="Z56" s="6">
        <f t="shared" si="19"/>
        <v>0</v>
      </c>
    </row>
    <row r="57" spans="1:26" s="24" customFormat="1" hidden="1" outlineLevel="2" x14ac:dyDescent="0.25">
      <c r="A57" s="29"/>
      <c r="B57" s="11" t="str">
        <f>CONCATENATE("          ", "6117", " - ", "RETIREMENT STAFF HOURLY")</f>
        <v xml:space="preserve">          6117 - RETIREMENT STAFF HOURLY</v>
      </c>
      <c r="C57" s="11"/>
      <c r="D57" s="7">
        <v>220.69</v>
      </c>
      <c r="E57" s="2"/>
      <c r="F57" s="6">
        <f t="shared" si="12"/>
        <v>2.8462892868916173E-3</v>
      </c>
      <c r="G57" s="2"/>
      <c r="H57" s="7"/>
      <c r="I57" s="2"/>
      <c r="J57" s="6">
        <f t="shared" si="13"/>
        <v>0</v>
      </c>
      <c r="K57" s="2"/>
      <c r="L57" s="7">
        <f t="shared" si="14"/>
        <v>220.69</v>
      </c>
      <c r="M57" s="2"/>
      <c r="N57" s="6">
        <f t="shared" si="15"/>
        <v>0</v>
      </c>
      <c r="O57" s="11"/>
      <c r="P57" s="7">
        <v>220.69</v>
      </c>
      <c r="Q57" s="2"/>
      <c r="R57" s="6">
        <f t="shared" si="16"/>
        <v>2.8462892868916173E-3</v>
      </c>
      <c r="S57" s="2"/>
      <c r="T57" s="7"/>
      <c r="U57" s="2"/>
      <c r="V57" s="6">
        <f t="shared" si="17"/>
        <v>0</v>
      </c>
      <c r="W57" s="2"/>
      <c r="X57" s="7">
        <f t="shared" si="18"/>
        <v>220.69</v>
      </c>
      <c r="Y57" s="2"/>
      <c r="Z57" s="6">
        <f t="shared" si="19"/>
        <v>0</v>
      </c>
    </row>
    <row r="58" spans="1:26" s="24" customFormat="1" hidden="1" outlineLevel="2" x14ac:dyDescent="0.25">
      <c r="A58" s="29"/>
      <c r="B58" s="11" t="str">
        <f>CONCATENATE("          ", "6118", " - ", "VACATION")</f>
        <v xml:space="preserve">          6118 - VACATION</v>
      </c>
      <c r="C58" s="11"/>
      <c r="D58" s="7">
        <v>1479.92</v>
      </c>
      <c r="E58" s="2"/>
      <c r="F58" s="6">
        <f t="shared" si="12"/>
        <v>1.9086865927122401E-2</v>
      </c>
      <c r="G58" s="2"/>
      <c r="H58" s="7">
        <v>1784.9504480000001</v>
      </c>
      <c r="I58" s="2"/>
      <c r="J58" s="6">
        <f t="shared" si="13"/>
        <v>1.7791504176384986E-2</v>
      </c>
      <c r="K58" s="2"/>
      <c r="L58" s="7">
        <f t="shared" si="14"/>
        <v>-305.03044799999998</v>
      </c>
      <c r="M58" s="2"/>
      <c r="N58" s="6">
        <f t="shared" si="15"/>
        <v>-0.17089014899084748</v>
      </c>
      <c r="O58" s="11"/>
      <c r="P58" s="7">
        <v>1479.92</v>
      </c>
      <c r="Q58" s="2"/>
      <c r="R58" s="6">
        <f t="shared" si="16"/>
        <v>1.9086865927122401E-2</v>
      </c>
      <c r="S58" s="2"/>
      <c r="T58" s="7">
        <v>1784.9504480000001</v>
      </c>
      <c r="U58" s="2"/>
      <c r="V58" s="6">
        <f t="shared" si="17"/>
        <v>1.7791504176384986E-2</v>
      </c>
      <c r="W58" s="2"/>
      <c r="X58" s="7">
        <f t="shared" si="18"/>
        <v>-305.03044799999998</v>
      </c>
      <c r="Y58" s="2"/>
      <c r="Z58" s="6">
        <f t="shared" si="19"/>
        <v>-0.17089014899084748</v>
      </c>
    </row>
    <row r="59" spans="1:26" s="24" customFormat="1" hidden="1" outlineLevel="2" x14ac:dyDescent="0.25">
      <c r="A59" s="29"/>
      <c r="B59" s="11" t="str">
        <f>CONCATENATE("          ", "6119", " - ", "SICK LEAVE")</f>
        <v xml:space="preserve">          6119 - SICK LEAVE</v>
      </c>
      <c r="C59" s="11"/>
      <c r="D59" s="7">
        <v>1710.54</v>
      </c>
      <c r="E59" s="2"/>
      <c r="F59" s="6">
        <f t="shared" si="12"/>
        <v>2.2061224689834551E-2</v>
      </c>
      <c r="G59" s="2"/>
      <c r="H59" s="7">
        <v>1283.3319406153801</v>
      </c>
      <c r="I59" s="2"/>
      <c r="J59" s="6">
        <f t="shared" si="13"/>
        <v>1.2791618729096945E-2</v>
      </c>
      <c r="K59" s="2"/>
      <c r="L59" s="7">
        <f t="shared" si="14"/>
        <v>427.2080593846199</v>
      </c>
      <c r="M59" s="2"/>
      <c r="N59" s="6">
        <f t="shared" si="15"/>
        <v>0.3328897581866202</v>
      </c>
      <c r="O59" s="11"/>
      <c r="P59" s="7">
        <v>1710.54</v>
      </c>
      <c r="Q59" s="2"/>
      <c r="R59" s="6">
        <f t="shared" si="16"/>
        <v>2.2061224689834551E-2</v>
      </c>
      <c r="S59" s="2"/>
      <c r="T59" s="7">
        <v>1283.3319406153801</v>
      </c>
      <c r="U59" s="2"/>
      <c r="V59" s="6">
        <f t="shared" si="17"/>
        <v>1.2791618729096945E-2</v>
      </c>
      <c r="W59" s="2"/>
      <c r="X59" s="7">
        <f t="shared" si="18"/>
        <v>427.2080593846199</v>
      </c>
      <c r="Y59" s="2"/>
      <c r="Z59" s="6">
        <f t="shared" si="19"/>
        <v>0.3328897581866202</v>
      </c>
    </row>
    <row r="60" spans="1:26" s="24" customFormat="1" hidden="1" outlineLevel="2" x14ac:dyDescent="0.25">
      <c r="A60" s="29"/>
      <c r="B60" s="11" t="str">
        <f>CONCATENATE("          ", "6156", " - ", "EMPLOYEE MEALS")</f>
        <v xml:space="preserve">          6156 - EMPLOYEE MEALS</v>
      </c>
      <c r="C60" s="11"/>
      <c r="D60" s="7">
        <v>560.08000000000004</v>
      </c>
      <c r="E60" s="2"/>
      <c r="F60" s="6">
        <f t="shared" si="12"/>
        <v>7.2234795586671677E-3</v>
      </c>
      <c r="G60" s="2"/>
      <c r="H60" s="7">
        <v>750</v>
      </c>
      <c r="I60" s="2"/>
      <c r="J60" s="6">
        <f t="shared" si="13"/>
        <v>7.4756294479995213E-3</v>
      </c>
      <c r="K60" s="2"/>
      <c r="L60" s="7">
        <f t="shared" si="14"/>
        <v>-189.91999999999996</v>
      </c>
      <c r="M60" s="2"/>
      <c r="N60" s="6">
        <f t="shared" si="15"/>
        <v>-0.2532266666666666</v>
      </c>
      <c r="O60" s="11"/>
      <c r="P60" s="7">
        <v>560.08000000000004</v>
      </c>
      <c r="Q60" s="2"/>
      <c r="R60" s="6">
        <f t="shared" si="16"/>
        <v>7.2234795586671677E-3</v>
      </c>
      <c r="S60" s="2"/>
      <c r="T60" s="7">
        <v>750</v>
      </c>
      <c r="U60" s="2"/>
      <c r="V60" s="6">
        <f t="shared" si="17"/>
        <v>7.4756294479995213E-3</v>
      </c>
      <c r="W60" s="2"/>
      <c r="X60" s="7">
        <f t="shared" si="18"/>
        <v>-189.91999999999996</v>
      </c>
      <c r="Y60" s="2"/>
      <c r="Z60" s="6">
        <f t="shared" si="19"/>
        <v>-0.2532266666666666</v>
      </c>
    </row>
    <row r="61" spans="1:26" s="27" customFormat="1" outlineLevel="1" collapsed="1" x14ac:dyDescent="0.25">
      <c r="A61" s="28"/>
      <c r="B61" s="14" t="str">
        <f>CONCATENATE("     ","*Payroll                                          ")</f>
        <v xml:space="preserve">     *Payroll                                          </v>
      </c>
      <c r="C61" s="14"/>
      <c r="D61" s="1">
        <f>SUM(OSRRefD22_1x_0)</f>
        <v>26073.31</v>
      </c>
      <c r="E61" s="1"/>
      <c r="F61" s="5">
        <f t="shared" ref="F61:F71" si="20">IF(D$12=0,0,D61/D$12)</f>
        <v>0.33627342845984903</v>
      </c>
      <c r="G61" s="1"/>
      <c r="H61" s="1">
        <f>SUM(OSRRefH22_1x_0)</f>
        <v>31185.344019653799</v>
      </c>
      <c r="I61" s="1"/>
      <c r="J61" s="5">
        <f t="shared" ref="J61:J71" si="21">IF(H$12=0,0,H61/H$12)</f>
        <v>0.31084010146575963</v>
      </c>
      <c r="K61" s="1"/>
      <c r="L61" s="1">
        <f t="shared" ref="L61:L71" si="22">+D61-H61</f>
        <v>-5112.0340196537982</v>
      </c>
      <c r="M61" s="1"/>
      <c r="N61" s="5">
        <f t="shared" ref="N61:N71" si="23">IF(H61=0,0,L61/H61)</f>
        <v>-0.16392424648040002</v>
      </c>
      <c r="O61" s="14"/>
      <c r="P61" s="1">
        <f>SUM(OSRRefP22_1x_0)</f>
        <v>26073.31</v>
      </c>
      <c r="Q61" s="1"/>
      <c r="R61" s="5">
        <f t="shared" ref="R61:R71" si="24">IF(P$12=0,0,P61/P$12)</f>
        <v>0.33627342845984903</v>
      </c>
      <c r="S61" s="1"/>
      <c r="T61" s="1">
        <f>SUM(OSRRefT22_1x_0)</f>
        <v>31185.344019653799</v>
      </c>
      <c r="U61" s="1"/>
      <c r="V61" s="5">
        <f t="shared" ref="V61:V71" si="25">IF(T$12=0,0,T61/T$12)</f>
        <v>0.31084010146575963</v>
      </c>
      <c r="W61" s="1"/>
      <c r="X61" s="1">
        <f t="shared" ref="X61:X71" si="26">+P61-T61</f>
        <v>-5112.0340196537982</v>
      </c>
      <c r="Y61" s="1"/>
      <c r="Z61" s="5">
        <f t="shared" ref="Z61:Z71" si="27">IF(T61=0,0,X61/T61)</f>
        <v>-0.16392424648040002</v>
      </c>
    </row>
    <row r="62" spans="1:26" s="24" customFormat="1" hidden="1" outlineLevel="2" x14ac:dyDescent="0.25">
      <c r="A62" s="29"/>
      <c r="B62" s="11" t="str">
        <f>CONCATENATE("          ", "6001", " - ", "ADMINISTRATIVE SALARIES")</f>
        <v xml:space="preserve">          6001 - ADMINISTRATIVE SALARIES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25">
      <c r="A63" s="29"/>
      <c r="B63" s="11" t="str">
        <f>CONCATENATE("          ", "6002", " - ", "STAFF SALARIES")</f>
        <v xml:space="preserve">          6002 - STAFF SALARIES</v>
      </c>
      <c r="C63" s="11"/>
      <c r="D63" s="7">
        <v>17629.36</v>
      </c>
      <c r="E63" s="2"/>
      <c r="F63" s="6">
        <f t="shared" si="20"/>
        <v>0.22736987857517607</v>
      </c>
      <c r="G63" s="2"/>
      <c r="H63" s="7">
        <v>15956.265429653798</v>
      </c>
      <c r="I63" s="2"/>
      <c r="J63" s="6">
        <f t="shared" si="21"/>
        <v>0.15904417030135556</v>
      </c>
      <c r="K63" s="2"/>
      <c r="L63" s="7">
        <f t="shared" si="22"/>
        <v>1673.0945703462021</v>
      </c>
      <c r="M63" s="2"/>
      <c r="N63" s="6">
        <f t="shared" si="23"/>
        <v>0.10485502248144182</v>
      </c>
      <c r="O63" s="11"/>
      <c r="P63" s="7">
        <v>17629.36</v>
      </c>
      <c r="Q63" s="2"/>
      <c r="R63" s="6">
        <f t="shared" si="24"/>
        <v>0.22736987857517607</v>
      </c>
      <c r="S63" s="2"/>
      <c r="T63" s="7">
        <v>15956.265429653798</v>
      </c>
      <c r="U63" s="2"/>
      <c r="V63" s="6">
        <f t="shared" si="25"/>
        <v>0.15904417030135556</v>
      </c>
      <c r="W63" s="2"/>
      <c r="X63" s="7">
        <f t="shared" si="26"/>
        <v>1673.0945703462021</v>
      </c>
      <c r="Y63" s="2"/>
      <c r="Z63" s="6">
        <f t="shared" si="27"/>
        <v>0.10485502248144182</v>
      </c>
    </row>
    <row r="64" spans="1:26" s="24" customFormat="1" hidden="1" outlineLevel="2" x14ac:dyDescent="0.25">
      <c r="A64" s="29"/>
      <c r="B64" s="11" t="str">
        <f>CONCATENATE("          ", "6003", " - ", "STAFF HOURLY-9 MONTH")</f>
        <v xml:space="preserve">          6003 - STAFF HOURLY-9 MONTH</v>
      </c>
      <c r="C64" s="11"/>
      <c r="D64" s="7"/>
      <c r="E64" s="2"/>
      <c r="F64" s="6">
        <f t="shared" si="20"/>
        <v>0</v>
      </c>
      <c r="G64" s="2"/>
      <c r="H64" s="7">
        <v>0</v>
      </c>
      <c r="I64" s="2"/>
      <c r="J64" s="6">
        <f t="shared" si="21"/>
        <v>0</v>
      </c>
      <c r="K64" s="2"/>
      <c r="L64" s="7">
        <f t="shared" si="22"/>
        <v>0</v>
      </c>
      <c r="M64" s="2"/>
      <c r="N64" s="6">
        <f t="shared" si="23"/>
        <v>0</v>
      </c>
      <c r="O64" s="11"/>
      <c r="P64" s="7"/>
      <c r="Q64" s="2"/>
      <c r="R64" s="6">
        <f t="shared" si="24"/>
        <v>0</v>
      </c>
      <c r="S64" s="2"/>
      <c r="T64" s="7">
        <v>0</v>
      </c>
      <c r="U64" s="2"/>
      <c r="V64" s="6">
        <f t="shared" si="25"/>
        <v>0</v>
      </c>
      <c r="W64" s="2"/>
      <c r="X64" s="7">
        <f t="shared" si="26"/>
        <v>0</v>
      </c>
      <c r="Y64" s="2"/>
      <c r="Z64" s="6">
        <f t="shared" si="27"/>
        <v>0</v>
      </c>
    </row>
    <row r="65" spans="1:26" s="24" customFormat="1" hidden="1" outlineLevel="2" x14ac:dyDescent="0.25">
      <c r="A65" s="29"/>
      <c r="B65" s="11" t="str">
        <f>CONCATENATE("          ", "6004", " - ", "STAFF HOURLY")</f>
        <v xml:space="preserve">          6004 - STAFF HOURLY</v>
      </c>
      <c r="C65" s="11"/>
      <c r="D65" s="7">
        <v>2005.93</v>
      </c>
      <c r="E65" s="2"/>
      <c r="F65" s="6">
        <f t="shared" si="20"/>
        <v>2.5870936921720523E-2</v>
      </c>
      <c r="G65" s="2"/>
      <c r="H65" s="7">
        <v>7332.4185900000002</v>
      </c>
      <c r="I65" s="2"/>
      <c r="J65" s="6">
        <f t="shared" si="21"/>
        <v>7.3085925781950847E-2</v>
      </c>
      <c r="K65" s="2"/>
      <c r="L65" s="7">
        <f t="shared" si="22"/>
        <v>-5326.4885899999999</v>
      </c>
      <c r="M65" s="2"/>
      <c r="N65" s="6">
        <f t="shared" si="23"/>
        <v>-0.72642996640485025</v>
      </c>
      <c r="O65" s="11"/>
      <c r="P65" s="7">
        <v>2005.93</v>
      </c>
      <c r="Q65" s="2"/>
      <c r="R65" s="6">
        <f t="shared" si="24"/>
        <v>2.5870936921720523E-2</v>
      </c>
      <c r="S65" s="2"/>
      <c r="T65" s="7">
        <v>7332.4185900000002</v>
      </c>
      <c r="U65" s="2"/>
      <c r="V65" s="6">
        <f t="shared" si="25"/>
        <v>7.3085925781950847E-2</v>
      </c>
      <c r="W65" s="2"/>
      <c r="X65" s="7">
        <f t="shared" si="26"/>
        <v>-5326.4885899999999</v>
      </c>
      <c r="Y65" s="2"/>
      <c r="Z65" s="6">
        <f t="shared" si="27"/>
        <v>-0.72642996640485025</v>
      </c>
    </row>
    <row r="66" spans="1:26" s="24" customFormat="1" hidden="1" outlineLevel="2" x14ac:dyDescent="0.25">
      <c r="A66" s="29"/>
      <c r="B66" s="11" t="str">
        <f>CONCATENATE("          ", "6005", " - ", "TEMPORARY WAGES-HOURLY")</f>
        <v xml:space="preserve">          6005 - TEMPORARY WAGES-HOURLY</v>
      </c>
      <c r="C66" s="11"/>
      <c r="D66" s="7">
        <v>1192.4000000000001</v>
      </c>
      <c r="E66" s="2"/>
      <c r="F66" s="6">
        <f t="shared" si="20"/>
        <v>1.537865488100759E-2</v>
      </c>
      <c r="G66" s="2"/>
      <c r="H66" s="7">
        <v>3434.16</v>
      </c>
      <c r="I66" s="2"/>
      <c r="J66" s="6">
        <f t="shared" si="21"/>
        <v>3.4230010166856048E-2</v>
      </c>
      <c r="K66" s="2"/>
      <c r="L66" s="7">
        <f t="shared" si="22"/>
        <v>-2241.7599999999998</v>
      </c>
      <c r="M66" s="2"/>
      <c r="N66" s="6">
        <f t="shared" si="23"/>
        <v>-0.65278263097817224</v>
      </c>
      <c r="O66" s="11"/>
      <c r="P66" s="7">
        <v>1192.4000000000001</v>
      </c>
      <c r="Q66" s="2"/>
      <c r="R66" s="6">
        <f t="shared" si="24"/>
        <v>1.537865488100759E-2</v>
      </c>
      <c r="S66" s="2"/>
      <c r="T66" s="7">
        <v>3434.16</v>
      </c>
      <c r="U66" s="2"/>
      <c r="V66" s="6">
        <f t="shared" si="25"/>
        <v>3.4230010166856048E-2</v>
      </c>
      <c r="W66" s="2"/>
      <c r="X66" s="7">
        <f t="shared" si="26"/>
        <v>-2241.7599999999998</v>
      </c>
      <c r="Y66" s="2"/>
      <c r="Z66" s="6">
        <f t="shared" si="27"/>
        <v>-0.65278263097817224</v>
      </c>
    </row>
    <row r="67" spans="1:26" s="24" customFormat="1" hidden="1" outlineLevel="2" x14ac:dyDescent="0.25">
      <c r="A67" s="29"/>
      <c r="B67" s="11" t="str">
        <f>CONCATENATE("          ", "6006", " - ", "TEMPORARY PART TIME")</f>
        <v xml:space="preserve">          6006 - TEMPORARY PART TIME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/>
      <c r="Q67" s="2"/>
      <c r="R67" s="6">
        <f t="shared" si="24"/>
        <v>0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0</v>
      </c>
      <c r="Y67" s="2"/>
      <c r="Z67" s="6">
        <f t="shared" si="27"/>
        <v>0</v>
      </c>
    </row>
    <row r="68" spans="1:26" s="24" customFormat="1" hidden="1" outlineLevel="2" x14ac:dyDescent="0.25">
      <c r="A68" s="29"/>
      <c r="B68" s="11" t="str">
        <f>CONCATENATE("          ", "6007", " - ", "STUDENT HOURLY")</f>
        <v xml:space="preserve">          6007 - STUDENT HOURLY</v>
      </c>
      <c r="C68" s="11"/>
      <c r="D68" s="7">
        <v>5245.62</v>
      </c>
      <c r="E68" s="2"/>
      <c r="F68" s="6">
        <f t="shared" si="20"/>
        <v>6.765395808194484E-2</v>
      </c>
      <c r="G68" s="2"/>
      <c r="H68" s="7">
        <v>4462.5</v>
      </c>
      <c r="I68" s="2"/>
      <c r="J68" s="6">
        <f t="shared" si="21"/>
        <v>4.4479995215597153E-2</v>
      </c>
      <c r="K68" s="2"/>
      <c r="L68" s="7">
        <f t="shared" si="22"/>
        <v>783.11999999999989</v>
      </c>
      <c r="M68" s="2"/>
      <c r="N68" s="6">
        <f t="shared" si="23"/>
        <v>0.17548907563025207</v>
      </c>
      <c r="O68" s="11"/>
      <c r="P68" s="7">
        <v>5245.62</v>
      </c>
      <c r="Q68" s="2"/>
      <c r="R68" s="6">
        <f t="shared" si="24"/>
        <v>6.765395808194484E-2</v>
      </c>
      <c r="S68" s="2"/>
      <c r="T68" s="7">
        <v>4462.5</v>
      </c>
      <c r="U68" s="2"/>
      <c r="V68" s="6">
        <f t="shared" si="25"/>
        <v>4.4479995215597153E-2</v>
      </c>
      <c r="W68" s="2"/>
      <c r="X68" s="7">
        <f t="shared" si="26"/>
        <v>783.11999999999989</v>
      </c>
      <c r="Y68" s="2"/>
      <c r="Z68" s="6">
        <f t="shared" si="27"/>
        <v>0.17548907563025207</v>
      </c>
    </row>
    <row r="69" spans="1:26" s="24" customFormat="1" hidden="1" outlineLevel="2" x14ac:dyDescent="0.25">
      <c r="A69" s="29"/>
      <c r="B69" s="11" t="str">
        <f>CONCATENATE("          ", "6008", " - ", "STUDENT HOURLY-FICA EXEMPT")</f>
        <v xml:space="preserve">          6008 - STUDENT HOURLY-FICA EXEMPT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25">
      <c r="A70" s="29"/>
      <c r="B70" s="11" t="str">
        <f>CONCATENATE("          ", "6009", " - ", "TEMPORARY-SEASONAL")</f>
        <v xml:space="preserve">          6009 - TEMPORARY-SEASONAL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4" customFormat="1" hidden="1" outlineLevel="2" x14ac:dyDescent="0.25">
      <c r="A71" s="29"/>
      <c r="B71" s="11" t="str">
        <f>CONCATENATE("          ", "6010", " - ", "GRATUITY")</f>
        <v xml:space="preserve">          6010 - GRATUITY</v>
      </c>
      <c r="C71" s="11"/>
      <c r="D71" s="7"/>
      <c r="E71" s="2"/>
      <c r="F71" s="6">
        <f t="shared" si="20"/>
        <v>0</v>
      </c>
      <c r="G71" s="2"/>
      <c r="H71" s="7">
        <v>0</v>
      </c>
      <c r="I71" s="2"/>
      <c r="J71" s="6">
        <f t="shared" si="21"/>
        <v>0</v>
      </c>
      <c r="K71" s="2"/>
      <c r="L71" s="7">
        <f t="shared" si="22"/>
        <v>0</v>
      </c>
      <c r="M71" s="2"/>
      <c r="N71" s="6">
        <f t="shared" si="23"/>
        <v>0</v>
      </c>
      <c r="O71" s="11"/>
      <c r="P71" s="7"/>
      <c r="Q71" s="2"/>
      <c r="R71" s="6">
        <f t="shared" si="24"/>
        <v>0</v>
      </c>
      <c r="S71" s="2"/>
      <c r="T71" s="7">
        <v>0</v>
      </c>
      <c r="U71" s="2"/>
      <c r="V71" s="6">
        <f t="shared" si="25"/>
        <v>0</v>
      </c>
      <c r="W71" s="2"/>
      <c r="X71" s="7">
        <f t="shared" si="26"/>
        <v>0</v>
      </c>
      <c r="Y71" s="2"/>
      <c r="Z71" s="6">
        <f t="shared" si="27"/>
        <v>0</v>
      </c>
    </row>
    <row r="72" spans="1:26" s="27" customFormat="1" outlineLevel="1" collapsed="1" x14ac:dyDescent="0.25">
      <c r="A72" s="28"/>
      <c r="B72" s="14" t="str">
        <f>CONCATENATE("     ","Advertising/Promo                                 ")</f>
        <v xml:space="preserve">     Advertising/Promo                                 </v>
      </c>
      <c r="C72" s="14"/>
      <c r="D72" s="1">
        <f>SUM(OSRRefD22_2x_0)</f>
        <v>91</v>
      </c>
      <c r="E72" s="1"/>
      <c r="F72" s="5">
        <f t="shared" ref="F72:F88" si="28">IF(D$12=0,0,D72/D$12)</f>
        <v>1.1736477643170837E-3</v>
      </c>
      <c r="G72" s="1"/>
      <c r="H72" s="1">
        <f>SUM(OSRRefH22_2x_0)</f>
        <v>300</v>
      </c>
      <c r="I72" s="1"/>
      <c r="J72" s="5">
        <f t="shared" ref="J72:J88" si="29">IF(H$12=0,0,H72/H$12)</f>
        <v>2.9902517791998086E-3</v>
      </c>
      <c r="K72" s="1"/>
      <c r="L72" s="1">
        <f t="shared" ref="L72:L88" si="30">+D72-H72</f>
        <v>-209</v>
      </c>
      <c r="M72" s="1"/>
      <c r="N72" s="5">
        <f t="shared" ref="N72:N88" si="31">IF(H72=0,0,L72/H72)</f>
        <v>-0.69666666666666666</v>
      </c>
      <c r="O72" s="14"/>
      <c r="P72" s="1">
        <f>SUM(OSRRefP22_2x_0)</f>
        <v>91</v>
      </c>
      <c r="Q72" s="1"/>
      <c r="R72" s="5">
        <f t="shared" ref="R72:R88" si="32">IF(P$12=0,0,P72/P$12)</f>
        <v>1.1736477643170837E-3</v>
      </c>
      <c r="S72" s="1"/>
      <c r="T72" s="1">
        <f>SUM(OSRRefT22_2x_0)</f>
        <v>300</v>
      </c>
      <c r="U72" s="1"/>
      <c r="V72" s="5">
        <f t="shared" ref="V72:V88" si="33">IF(T$12=0,0,T72/T$12)</f>
        <v>2.9902517791998086E-3</v>
      </c>
      <c r="W72" s="1"/>
      <c r="X72" s="1">
        <f t="shared" ref="X72:X88" si="34">+P72-T72</f>
        <v>-209</v>
      </c>
      <c r="Y72" s="1"/>
      <c r="Z72" s="5">
        <f t="shared" ref="Z72:Z88" si="35">IF(T72=0,0,X72/T72)</f>
        <v>-0.69666666666666666</v>
      </c>
    </row>
    <row r="73" spans="1:26" s="24" customFormat="1" hidden="1" outlineLevel="2" x14ac:dyDescent="0.25">
      <c r="A73" s="29"/>
      <c r="B73" s="11" t="str">
        <f>CONCATENATE("          ", "6362", " - ", "ADVERTISING EXPENSE")</f>
        <v xml:space="preserve">          6362 - ADVERTISING EXPENSE</v>
      </c>
      <c r="C73" s="11"/>
      <c r="D73" s="7">
        <v>91</v>
      </c>
      <c r="E73" s="2"/>
      <c r="F73" s="6">
        <f t="shared" si="28"/>
        <v>1.1736477643170837E-3</v>
      </c>
      <c r="G73" s="2"/>
      <c r="H73" s="7">
        <v>300</v>
      </c>
      <c r="I73" s="2"/>
      <c r="J73" s="6">
        <f t="shared" si="29"/>
        <v>2.9902517791998086E-3</v>
      </c>
      <c r="K73" s="2"/>
      <c r="L73" s="7">
        <f t="shared" si="30"/>
        <v>-209</v>
      </c>
      <c r="M73" s="2"/>
      <c r="N73" s="6">
        <f t="shared" si="31"/>
        <v>-0.69666666666666666</v>
      </c>
      <c r="O73" s="11"/>
      <c r="P73" s="7">
        <v>91</v>
      </c>
      <c r="Q73" s="2"/>
      <c r="R73" s="6">
        <f t="shared" si="32"/>
        <v>1.1736477643170837E-3</v>
      </c>
      <c r="S73" s="2"/>
      <c r="T73" s="7">
        <v>300</v>
      </c>
      <c r="U73" s="2"/>
      <c r="V73" s="6">
        <f t="shared" si="33"/>
        <v>2.9902517791998086E-3</v>
      </c>
      <c r="W73" s="2"/>
      <c r="X73" s="7">
        <f t="shared" si="34"/>
        <v>-209</v>
      </c>
      <c r="Y73" s="2"/>
      <c r="Z73" s="6">
        <f t="shared" si="35"/>
        <v>-0.69666666666666666</v>
      </c>
    </row>
    <row r="74" spans="1:26" s="27" customFormat="1" outlineLevel="1" collapsed="1" x14ac:dyDescent="0.25">
      <c r="A74" s="28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SUM(OSRRefD22_3x_0)</f>
        <v>2508.91</v>
      </c>
      <c r="E74" s="1"/>
      <c r="F74" s="5">
        <f t="shared" si="28"/>
        <v>3.235798475134917E-2</v>
      </c>
      <c r="G74" s="1"/>
      <c r="H74" s="1">
        <f>SUM(OSRRefH22_3x_0)</f>
        <v>1425</v>
      </c>
      <c r="I74" s="1"/>
      <c r="J74" s="5">
        <f t="shared" si="29"/>
        <v>1.4203695951199091E-2</v>
      </c>
      <c r="K74" s="1"/>
      <c r="L74" s="1">
        <f t="shared" si="30"/>
        <v>1083.9099999999999</v>
      </c>
      <c r="M74" s="1"/>
      <c r="N74" s="5">
        <f t="shared" si="31"/>
        <v>0.760638596491228</v>
      </c>
      <c r="O74" s="14"/>
      <c r="P74" s="1">
        <f>SUM(OSRRefP22_3x_0)</f>
        <v>2508.91</v>
      </c>
      <c r="Q74" s="1"/>
      <c r="R74" s="5">
        <f t="shared" si="32"/>
        <v>3.235798475134917E-2</v>
      </c>
      <c r="S74" s="1"/>
      <c r="T74" s="1">
        <f>SUM(OSRRefT22_3x_0)</f>
        <v>1425</v>
      </c>
      <c r="U74" s="1"/>
      <c r="V74" s="5">
        <f t="shared" si="33"/>
        <v>1.4203695951199091E-2</v>
      </c>
      <c r="W74" s="1"/>
      <c r="X74" s="1">
        <f t="shared" si="34"/>
        <v>1083.9099999999999</v>
      </c>
      <c r="Y74" s="1"/>
      <c r="Z74" s="5">
        <f t="shared" si="35"/>
        <v>0.760638596491228</v>
      </c>
    </row>
    <row r="75" spans="1:26" s="24" customFormat="1" hidden="1" outlineLevel="2" x14ac:dyDescent="0.25">
      <c r="A75" s="29"/>
      <c r="B75" s="11" t="str">
        <f>CONCATENATE("          ", "6382", " - ", "DISCOUNTS/MARK DOWNS")</f>
        <v xml:space="preserve">          6382 - DISCOUNTS/MARK DOWNS</v>
      </c>
      <c r="C75" s="11"/>
      <c r="D75" s="7">
        <v>2508.91</v>
      </c>
      <c r="E75" s="2"/>
      <c r="F75" s="6">
        <f t="shared" si="28"/>
        <v>3.235798475134917E-2</v>
      </c>
      <c r="G75" s="2"/>
      <c r="H75" s="7">
        <v>1425</v>
      </c>
      <c r="I75" s="2"/>
      <c r="J75" s="6">
        <f t="shared" si="29"/>
        <v>1.4203695951199091E-2</v>
      </c>
      <c r="K75" s="2"/>
      <c r="L75" s="7">
        <f t="shared" si="30"/>
        <v>1083.9099999999999</v>
      </c>
      <c r="M75" s="2"/>
      <c r="N75" s="6">
        <f t="shared" si="31"/>
        <v>0.760638596491228</v>
      </c>
      <c r="O75" s="11"/>
      <c r="P75" s="7">
        <v>2508.91</v>
      </c>
      <c r="Q75" s="2"/>
      <c r="R75" s="6">
        <f t="shared" si="32"/>
        <v>3.235798475134917E-2</v>
      </c>
      <c r="S75" s="2"/>
      <c r="T75" s="7">
        <v>1425</v>
      </c>
      <c r="U75" s="2"/>
      <c r="V75" s="6">
        <f t="shared" si="33"/>
        <v>1.4203695951199091E-2</v>
      </c>
      <c r="W75" s="2"/>
      <c r="X75" s="7">
        <f t="shared" si="34"/>
        <v>1083.9099999999999</v>
      </c>
      <c r="Y75" s="2"/>
      <c r="Z75" s="6">
        <f t="shared" si="35"/>
        <v>0.760638596491228</v>
      </c>
    </row>
    <row r="76" spans="1:26" s="27" customFormat="1" outlineLevel="1" collapsed="1" x14ac:dyDescent="0.25">
      <c r="A76" s="28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SUM(OSRRefD22_4x_0)</f>
        <v>0</v>
      </c>
      <c r="E76" s="1"/>
      <c r="F76" s="5">
        <f t="shared" si="28"/>
        <v>0</v>
      </c>
      <c r="G76" s="1"/>
      <c r="H76" s="1">
        <f>SUM(OSRRefH22_4x_0)</f>
        <v>100</v>
      </c>
      <c r="I76" s="1"/>
      <c r="J76" s="5">
        <f t="shared" si="29"/>
        <v>9.967505930666028E-4</v>
      </c>
      <c r="K76" s="1"/>
      <c r="L76" s="1">
        <f t="shared" si="30"/>
        <v>-100</v>
      </c>
      <c r="M76" s="1"/>
      <c r="N76" s="5">
        <f t="shared" si="31"/>
        <v>-1</v>
      </c>
      <c r="O76" s="14"/>
      <c r="P76" s="1">
        <f>SUM(OSRRefP22_4x_0)</f>
        <v>0</v>
      </c>
      <c r="Q76" s="1"/>
      <c r="R76" s="5">
        <f t="shared" si="32"/>
        <v>0</v>
      </c>
      <c r="S76" s="1"/>
      <c r="T76" s="1">
        <f>SUM(OSRRefT22_4x_0)</f>
        <v>100</v>
      </c>
      <c r="U76" s="1"/>
      <c r="V76" s="5">
        <f t="shared" si="33"/>
        <v>9.967505930666028E-4</v>
      </c>
      <c r="W76" s="1"/>
      <c r="X76" s="1">
        <f t="shared" si="34"/>
        <v>-100</v>
      </c>
      <c r="Y76" s="1"/>
      <c r="Z76" s="5">
        <f t="shared" si="35"/>
        <v>-1</v>
      </c>
    </row>
    <row r="77" spans="1:26" s="24" customFormat="1" hidden="1" outlineLevel="2" x14ac:dyDescent="0.25">
      <c r="A77" s="29"/>
      <c r="B77" s="11" t="str">
        <f>CONCATENATE("          ", "6277", " - ", "EMPLOYEE APPRECIATION")</f>
        <v xml:space="preserve">          6277 - EMPLOYEE APPRECIATION</v>
      </c>
      <c r="C77" s="11"/>
      <c r="D77" s="7"/>
      <c r="E77" s="2"/>
      <c r="F77" s="6">
        <f t="shared" si="28"/>
        <v>0</v>
      </c>
      <c r="G77" s="2"/>
      <c r="H77" s="7">
        <v>100</v>
      </c>
      <c r="I77" s="2"/>
      <c r="J77" s="6">
        <f t="shared" si="29"/>
        <v>9.967505930666028E-4</v>
      </c>
      <c r="K77" s="2"/>
      <c r="L77" s="7">
        <f t="shared" si="30"/>
        <v>-100</v>
      </c>
      <c r="M77" s="2"/>
      <c r="N77" s="6">
        <f t="shared" si="31"/>
        <v>-1</v>
      </c>
      <c r="O77" s="11"/>
      <c r="P77" s="7"/>
      <c r="Q77" s="2"/>
      <c r="R77" s="6">
        <f t="shared" si="32"/>
        <v>0</v>
      </c>
      <c r="S77" s="2"/>
      <c r="T77" s="7">
        <v>100</v>
      </c>
      <c r="U77" s="2"/>
      <c r="V77" s="6">
        <f t="shared" si="33"/>
        <v>9.967505930666028E-4</v>
      </c>
      <c r="W77" s="2"/>
      <c r="X77" s="7">
        <f t="shared" si="34"/>
        <v>-100</v>
      </c>
      <c r="Y77" s="2"/>
      <c r="Z77" s="6">
        <f t="shared" si="35"/>
        <v>-1</v>
      </c>
    </row>
    <row r="78" spans="1:26" s="27" customFormat="1" outlineLevel="1" collapsed="1" x14ac:dyDescent="0.25">
      <c r="A78" s="28"/>
      <c r="B78" s="14" t="str">
        <f>CONCATENATE("     ","Equipment Rental                                  ")</f>
        <v xml:space="preserve">     Equipment Rental                                  </v>
      </c>
      <c r="C78" s="14"/>
      <c r="D78" s="1">
        <f>SUM(OSRRefD22_5x_0)</f>
        <v>91.26</v>
      </c>
      <c r="E78" s="1"/>
      <c r="F78" s="5">
        <f t="shared" si="28"/>
        <v>1.1770010436437039E-3</v>
      </c>
      <c r="G78" s="1"/>
      <c r="H78" s="1">
        <f>SUM(OSRRefH22_5x_0)</f>
        <v>100</v>
      </c>
      <c r="I78" s="1"/>
      <c r="J78" s="5">
        <f t="shared" si="29"/>
        <v>9.967505930666028E-4</v>
      </c>
      <c r="K78" s="1"/>
      <c r="L78" s="1">
        <f t="shared" si="30"/>
        <v>-8.7399999999999949</v>
      </c>
      <c r="M78" s="1"/>
      <c r="N78" s="5">
        <f t="shared" si="31"/>
        <v>-8.739999999999995E-2</v>
      </c>
      <c r="O78" s="14"/>
      <c r="P78" s="1">
        <f>SUM(OSRRefP22_5x_0)</f>
        <v>91.26</v>
      </c>
      <c r="Q78" s="1"/>
      <c r="R78" s="5">
        <f t="shared" si="32"/>
        <v>1.1770010436437039E-3</v>
      </c>
      <c r="S78" s="1"/>
      <c r="T78" s="1">
        <f>SUM(OSRRefT22_5x_0)</f>
        <v>100</v>
      </c>
      <c r="U78" s="1"/>
      <c r="V78" s="5">
        <f t="shared" si="33"/>
        <v>9.967505930666028E-4</v>
      </c>
      <c r="W78" s="1"/>
      <c r="X78" s="1">
        <f t="shared" si="34"/>
        <v>-8.7399999999999949</v>
      </c>
      <c r="Y78" s="1"/>
      <c r="Z78" s="5">
        <f t="shared" si="35"/>
        <v>-8.739999999999995E-2</v>
      </c>
    </row>
    <row r="79" spans="1:26" s="24" customFormat="1" hidden="1" outlineLevel="2" x14ac:dyDescent="0.25">
      <c r="A79" s="29"/>
      <c r="B79" s="11" t="str">
        <f>CONCATENATE("          ", "6351", " - ", "EQUIPMENT RENTAL")</f>
        <v xml:space="preserve">          6351 - EQUIPMENT RENTAL</v>
      </c>
      <c r="C79" s="11"/>
      <c r="D79" s="7">
        <v>91.26</v>
      </c>
      <c r="E79" s="2"/>
      <c r="F79" s="6">
        <f t="shared" si="28"/>
        <v>1.1770010436437039E-3</v>
      </c>
      <c r="G79" s="2"/>
      <c r="H79" s="7">
        <v>100</v>
      </c>
      <c r="I79" s="2"/>
      <c r="J79" s="6">
        <f t="shared" si="29"/>
        <v>9.967505930666028E-4</v>
      </c>
      <c r="K79" s="2"/>
      <c r="L79" s="7">
        <f t="shared" si="30"/>
        <v>-8.7399999999999949</v>
      </c>
      <c r="M79" s="2"/>
      <c r="N79" s="6">
        <f t="shared" si="31"/>
        <v>-8.739999999999995E-2</v>
      </c>
      <c r="O79" s="11"/>
      <c r="P79" s="7">
        <v>91.26</v>
      </c>
      <c r="Q79" s="2"/>
      <c r="R79" s="6">
        <f t="shared" si="32"/>
        <v>1.1770010436437039E-3</v>
      </c>
      <c r="S79" s="2"/>
      <c r="T79" s="7">
        <v>100</v>
      </c>
      <c r="U79" s="2"/>
      <c r="V79" s="6">
        <f t="shared" si="33"/>
        <v>9.967505930666028E-4</v>
      </c>
      <c r="W79" s="2"/>
      <c r="X79" s="7">
        <f t="shared" si="34"/>
        <v>-8.7399999999999949</v>
      </c>
      <c r="Y79" s="2"/>
      <c r="Z79" s="6">
        <f t="shared" si="35"/>
        <v>-8.739999999999995E-2</v>
      </c>
    </row>
    <row r="80" spans="1:26" s="27" customFormat="1" outlineLevel="1" collapsed="1" x14ac:dyDescent="0.25">
      <c r="A80" s="28"/>
      <c r="B80" s="14" t="str">
        <f>CONCATENATE("     ","Freight out/Postage                               ")</f>
        <v xml:space="preserve">     Freight out/Postage                               </v>
      </c>
      <c r="C80" s="14"/>
      <c r="D80" s="1">
        <f>SUM(OSRRefD22_6x_0)</f>
        <v>364.59</v>
      </c>
      <c r="E80" s="1"/>
      <c r="F80" s="5">
        <f t="shared" si="28"/>
        <v>4.7022004218941265E-3</v>
      </c>
      <c r="G80" s="1"/>
      <c r="H80" s="1">
        <f>SUM(OSRRefH22_6x_0)</f>
        <v>500</v>
      </c>
      <c r="I80" s="1"/>
      <c r="J80" s="5">
        <f t="shared" si="29"/>
        <v>4.9837529653330142E-3</v>
      </c>
      <c r="K80" s="1"/>
      <c r="L80" s="1">
        <f t="shared" si="30"/>
        <v>-135.41000000000003</v>
      </c>
      <c r="M80" s="1"/>
      <c r="N80" s="5">
        <f t="shared" si="31"/>
        <v>-0.27082000000000006</v>
      </c>
      <c r="O80" s="14"/>
      <c r="P80" s="1">
        <f>SUM(OSRRefP22_6x_0)</f>
        <v>364.59</v>
      </c>
      <c r="Q80" s="1"/>
      <c r="R80" s="5">
        <f t="shared" si="32"/>
        <v>4.7022004218941265E-3</v>
      </c>
      <c r="S80" s="1"/>
      <c r="T80" s="1">
        <f>SUM(OSRRefT22_6x_0)</f>
        <v>500</v>
      </c>
      <c r="U80" s="1"/>
      <c r="V80" s="5">
        <f t="shared" si="33"/>
        <v>4.9837529653330142E-3</v>
      </c>
      <c r="W80" s="1"/>
      <c r="X80" s="1">
        <f t="shared" si="34"/>
        <v>-135.41000000000003</v>
      </c>
      <c r="Y80" s="1"/>
      <c r="Z80" s="5">
        <f t="shared" si="35"/>
        <v>-0.27082000000000006</v>
      </c>
    </row>
    <row r="81" spans="1:26" s="24" customFormat="1" hidden="1" outlineLevel="2" x14ac:dyDescent="0.25">
      <c r="A81" s="29"/>
      <c r="B81" s="11" t="str">
        <f>CONCATENATE("          ", "6305", " - ", "FREIGHT OUT")</f>
        <v xml:space="preserve">          6305 - FREIGHT OUT</v>
      </c>
      <c r="C81" s="11"/>
      <c r="D81" s="7">
        <v>364.59</v>
      </c>
      <c r="E81" s="2"/>
      <c r="F81" s="6">
        <f t="shared" si="28"/>
        <v>4.7022004218941265E-3</v>
      </c>
      <c r="G81" s="2"/>
      <c r="H81" s="7">
        <v>500</v>
      </c>
      <c r="I81" s="2"/>
      <c r="J81" s="6">
        <f t="shared" si="29"/>
        <v>4.9837529653330142E-3</v>
      </c>
      <c r="K81" s="2"/>
      <c r="L81" s="7">
        <f t="shared" si="30"/>
        <v>-135.41000000000003</v>
      </c>
      <c r="M81" s="2"/>
      <c r="N81" s="6">
        <f t="shared" si="31"/>
        <v>-0.27082000000000006</v>
      </c>
      <c r="O81" s="11"/>
      <c r="P81" s="7">
        <v>364.59</v>
      </c>
      <c r="Q81" s="2"/>
      <c r="R81" s="6">
        <f t="shared" si="32"/>
        <v>4.7022004218941265E-3</v>
      </c>
      <c r="S81" s="2"/>
      <c r="T81" s="7">
        <v>500</v>
      </c>
      <c r="U81" s="2"/>
      <c r="V81" s="6">
        <f t="shared" si="33"/>
        <v>4.9837529653330142E-3</v>
      </c>
      <c r="W81" s="2"/>
      <c r="X81" s="7">
        <f t="shared" si="34"/>
        <v>-135.41000000000003</v>
      </c>
      <c r="Y81" s="2"/>
      <c r="Z81" s="6">
        <f t="shared" si="35"/>
        <v>-0.27082000000000006</v>
      </c>
    </row>
    <row r="82" spans="1:26" s="27" customFormat="1" outlineLevel="1" collapsed="1" x14ac:dyDescent="0.25">
      <c r="A82" s="28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SUM(OSRRefD22_7x_0)</f>
        <v>7.84</v>
      </c>
      <c r="E82" s="1"/>
      <c r="F82" s="5">
        <f t="shared" si="28"/>
        <v>1.0111426892577952E-4</v>
      </c>
      <c r="G82" s="1"/>
      <c r="H82" s="1">
        <f>SUM(OSRRefH22_7x_0)</f>
        <v>0</v>
      </c>
      <c r="I82" s="1"/>
      <c r="J82" s="5">
        <f t="shared" si="29"/>
        <v>0</v>
      </c>
      <c r="K82" s="1"/>
      <c r="L82" s="1">
        <f t="shared" si="30"/>
        <v>7.84</v>
      </c>
      <c r="M82" s="1"/>
      <c r="N82" s="5">
        <f t="shared" si="31"/>
        <v>0</v>
      </c>
      <c r="O82" s="14"/>
      <c r="P82" s="1">
        <f>SUM(OSRRefP22_7x_0)</f>
        <v>7.84</v>
      </c>
      <c r="Q82" s="1"/>
      <c r="R82" s="5">
        <f t="shared" si="32"/>
        <v>1.0111426892577952E-4</v>
      </c>
      <c r="S82" s="1"/>
      <c r="T82" s="1">
        <f>SUM(OSRRefT22_7x_0)</f>
        <v>0</v>
      </c>
      <c r="U82" s="1"/>
      <c r="V82" s="5">
        <f t="shared" si="33"/>
        <v>0</v>
      </c>
      <c r="W82" s="1"/>
      <c r="X82" s="1">
        <f t="shared" si="34"/>
        <v>7.84</v>
      </c>
      <c r="Y82" s="1"/>
      <c r="Z82" s="5">
        <f t="shared" si="35"/>
        <v>0</v>
      </c>
    </row>
    <row r="83" spans="1:26" s="24" customFormat="1" hidden="1" outlineLevel="2" x14ac:dyDescent="0.25">
      <c r="A83" s="29"/>
      <c r="B83" s="11" t="str">
        <f>CONCATENATE("          ", "6279", " - ", "GENERAL EXPENSE")</f>
        <v xml:space="preserve">          6279 - GENERAL EXPENSE</v>
      </c>
      <c r="C83" s="11"/>
      <c r="D83" s="7">
        <v>7.84</v>
      </c>
      <c r="E83" s="2"/>
      <c r="F83" s="6">
        <f t="shared" si="28"/>
        <v>1.0111426892577952E-4</v>
      </c>
      <c r="G83" s="2"/>
      <c r="H83" s="7"/>
      <c r="I83" s="2"/>
      <c r="J83" s="6">
        <f t="shared" si="29"/>
        <v>0</v>
      </c>
      <c r="K83" s="2"/>
      <c r="L83" s="7">
        <f t="shared" si="30"/>
        <v>7.84</v>
      </c>
      <c r="M83" s="2"/>
      <c r="N83" s="6">
        <f t="shared" si="31"/>
        <v>0</v>
      </c>
      <c r="O83" s="11"/>
      <c r="P83" s="7">
        <v>7.84</v>
      </c>
      <c r="Q83" s="2"/>
      <c r="R83" s="6">
        <f t="shared" si="32"/>
        <v>1.0111426892577952E-4</v>
      </c>
      <c r="S83" s="2"/>
      <c r="T83" s="7"/>
      <c r="U83" s="2"/>
      <c r="V83" s="6">
        <f t="shared" si="33"/>
        <v>0</v>
      </c>
      <c r="W83" s="2"/>
      <c r="X83" s="7">
        <f t="shared" si="34"/>
        <v>7.84</v>
      </c>
      <c r="Y83" s="2"/>
      <c r="Z83" s="6">
        <f t="shared" si="35"/>
        <v>0</v>
      </c>
    </row>
    <row r="84" spans="1:26" s="27" customFormat="1" outlineLevel="1" collapsed="1" x14ac:dyDescent="0.25">
      <c r="A84" s="28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SUM(OSRRefD22_8x_0)</f>
        <v>1000</v>
      </c>
      <c r="E84" s="1"/>
      <c r="F84" s="5">
        <f t="shared" si="28"/>
        <v>1.2897228179308612E-2</v>
      </c>
      <c r="G84" s="1"/>
      <c r="H84" s="1">
        <f>SUM(OSRRefH22_8x_0)</f>
        <v>1000</v>
      </c>
      <c r="I84" s="1"/>
      <c r="J84" s="5">
        <f t="shared" si="29"/>
        <v>9.9675059306660284E-3</v>
      </c>
      <c r="K84" s="1"/>
      <c r="L84" s="1">
        <f t="shared" si="30"/>
        <v>0</v>
      </c>
      <c r="M84" s="1"/>
      <c r="N84" s="5">
        <f t="shared" si="31"/>
        <v>0</v>
      </c>
      <c r="O84" s="14"/>
      <c r="P84" s="1">
        <f>SUM(OSRRefP22_8x_0)</f>
        <v>1000</v>
      </c>
      <c r="Q84" s="1"/>
      <c r="R84" s="5">
        <f t="shared" si="32"/>
        <v>1.2897228179308612E-2</v>
      </c>
      <c r="S84" s="1"/>
      <c r="T84" s="1">
        <f>SUM(OSRRefT22_8x_0)</f>
        <v>1000</v>
      </c>
      <c r="U84" s="1"/>
      <c r="V84" s="5">
        <f t="shared" si="33"/>
        <v>9.9675059306660284E-3</v>
      </c>
      <c r="W84" s="1"/>
      <c r="X84" s="1">
        <f t="shared" si="34"/>
        <v>0</v>
      </c>
      <c r="Y84" s="1"/>
      <c r="Z84" s="5">
        <f t="shared" si="35"/>
        <v>0</v>
      </c>
    </row>
    <row r="85" spans="1:26" s="24" customFormat="1" hidden="1" outlineLevel="2" x14ac:dyDescent="0.25">
      <c r="A85" s="29"/>
      <c r="B85" s="11" t="str">
        <f>CONCATENATE("          ", "6408", " - ", "INVENTORY ADJUSTMENT")</f>
        <v xml:space="preserve">          6408 - INVENTORY ADJUSTMENT</v>
      </c>
      <c r="C85" s="11"/>
      <c r="D85" s="7">
        <v>1000</v>
      </c>
      <c r="E85" s="2"/>
      <c r="F85" s="6">
        <f t="shared" si="28"/>
        <v>1.2897228179308612E-2</v>
      </c>
      <c r="G85" s="2"/>
      <c r="H85" s="7">
        <v>1000</v>
      </c>
      <c r="I85" s="2"/>
      <c r="J85" s="6">
        <f t="shared" si="29"/>
        <v>9.9675059306660284E-3</v>
      </c>
      <c r="K85" s="2"/>
      <c r="L85" s="7">
        <f t="shared" si="30"/>
        <v>0</v>
      </c>
      <c r="M85" s="2"/>
      <c r="N85" s="6">
        <f t="shared" si="31"/>
        <v>0</v>
      </c>
      <c r="O85" s="11"/>
      <c r="P85" s="7">
        <v>1000</v>
      </c>
      <c r="Q85" s="2"/>
      <c r="R85" s="6">
        <f t="shared" si="32"/>
        <v>1.2897228179308612E-2</v>
      </c>
      <c r="S85" s="2"/>
      <c r="T85" s="7">
        <v>1000</v>
      </c>
      <c r="U85" s="2"/>
      <c r="V85" s="6">
        <f t="shared" si="33"/>
        <v>9.9675059306660284E-3</v>
      </c>
      <c r="W85" s="2"/>
      <c r="X85" s="7">
        <f t="shared" si="34"/>
        <v>0</v>
      </c>
      <c r="Y85" s="2"/>
      <c r="Z85" s="6">
        <f t="shared" si="35"/>
        <v>0</v>
      </c>
    </row>
    <row r="86" spans="1:26" s="27" customFormat="1" outlineLevel="1" collapsed="1" x14ac:dyDescent="0.25">
      <c r="A86" s="28"/>
      <c r="B86" s="14" t="str">
        <f>CONCATENATE("     ","Repair and Maintenance                            ")</f>
        <v xml:space="preserve">     Repair and Maintenance                            </v>
      </c>
      <c r="C86" s="14"/>
      <c r="D86" s="1">
        <f>SUM(OSRRefD22_9x_0)</f>
        <v>20.46</v>
      </c>
      <c r="E86" s="1"/>
      <c r="F86" s="5">
        <f t="shared" si="28"/>
        <v>2.6387728854865419E-4</v>
      </c>
      <c r="G86" s="1"/>
      <c r="H86" s="1">
        <f>SUM(OSRRefH22_9x_0)</f>
        <v>140</v>
      </c>
      <c r="I86" s="1"/>
      <c r="J86" s="5">
        <f t="shared" si="29"/>
        <v>1.395450830293244E-3</v>
      </c>
      <c r="K86" s="1"/>
      <c r="L86" s="1">
        <f t="shared" si="30"/>
        <v>-119.53999999999999</v>
      </c>
      <c r="M86" s="1"/>
      <c r="N86" s="5">
        <f t="shared" si="31"/>
        <v>-0.85385714285714276</v>
      </c>
      <c r="O86" s="14"/>
      <c r="P86" s="1">
        <f>SUM(OSRRefP22_9x_0)</f>
        <v>20.46</v>
      </c>
      <c r="Q86" s="1"/>
      <c r="R86" s="5">
        <f t="shared" si="32"/>
        <v>2.6387728854865419E-4</v>
      </c>
      <c r="S86" s="1"/>
      <c r="T86" s="1">
        <f>SUM(OSRRefT22_9x_0)</f>
        <v>140</v>
      </c>
      <c r="U86" s="1"/>
      <c r="V86" s="5">
        <f t="shared" si="33"/>
        <v>1.395450830293244E-3</v>
      </c>
      <c r="W86" s="1"/>
      <c r="X86" s="1">
        <f t="shared" si="34"/>
        <v>-119.53999999999999</v>
      </c>
      <c r="Y86" s="1"/>
      <c r="Z86" s="5">
        <f t="shared" si="35"/>
        <v>-0.85385714285714276</v>
      </c>
    </row>
    <row r="87" spans="1:26" s="24" customFormat="1" hidden="1" outlineLevel="2" x14ac:dyDescent="0.25">
      <c r="A87" s="29"/>
      <c r="B87" s="11" t="str">
        <f>CONCATENATE("          ", "6373", " - ", "MAINTENANCE CONTRACTS")</f>
        <v xml:space="preserve">          6373 - MAINTENANCE CONTRACTS</v>
      </c>
      <c r="C87" s="11"/>
      <c r="D87" s="7">
        <v>20.46</v>
      </c>
      <c r="E87" s="2"/>
      <c r="F87" s="6">
        <f t="shared" si="28"/>
        <v>2.6387728854865419E-4</v>
      </c>
      <c r="G87" s="2"/>
      <c r="H87" s="7">
        <v>40</v>
      </c>
      <c r="I87" s="2"/>
      <c r="J87" s="6">
        <f t="shared" si="29"/>
        <v>3.9870023722664115E-4</v>
      </c>
      <c r="K87" s="2"/>
      <c r="L87" s="7">
        <f t="shared" si="30"/>
        <v>-19.54</v>
      </c>
      <c r="M87" s="2"/>
      <c r="N87" s="6">
        <f t="shared" si="31"/>
        <v>-0.48849999999999999</v>
      </c>
      <c r="O87" s="11"/>
      <c r="P87" s="7">
        <v>20.46</v>
      </c>
      <c r="Q87" s="2"/>
      <c r="R87" s="6">
        <f t="shared" si="32"/>
        <v>2.6387728854865419E-4</v>
      </c>
      <c r="S87" s="2"/>
      <c r="T87" s="7">
        <v>40</v>
      </c>
      <c r="U87" s="2"/>
      <c r="V87" s="6">
        <f t="shared" si="33"/>
        <v>3.9870023722664115E-4</v>
      </c>
      <c r="W87" s="2"/>
      <c r="X87" s="7">
        <f t="shared" si="34"/>
        <v>-19.54</v>
      </c>
      <c r="Y87" s="2"/>
      <c r="Z87" s="6">
        <f t="shared" si="35"/>
        <v>-0.48849999999999999</v>
      </c>
    </row>
    <row r="88" spans="1:26" s="24" customFormat="1" hidden="1" outlineLevel="2" x14ac:dyDescent="0.25">
      <c r="A88" s="29"/>
      <c r="B88" s="11" t="str">
        <f>CONCATENATE("          ", "6375", " - ", "OUTSIDE REPAIRS &amp; MAINTENANCE")</f>
        <v xml:space="preserve">          6375 - OUTSIDE REPAIRS &amp; MAINTENANCE</v>
      </c>
      <c r="C88" s="11"/>
      <c r="D88" s="7"/>
      <c r="E88" s="2"/>
      <c r="F88" s="6">
        <f t="shared" si="28"/>
        <v>0</v>
      </c>
      <c r="G88" s="2"/>
      <c r="H88" s="7">
        <v>100</v>
      </c>
      <c r="I88" s="2"/>
      <c r="J88" s="6">
        <f t="shared" si="29"/>
        <v>9.967505930666028E-4</v>
      </c>
      <c r="K88" s="2"/>
      <c r="L88" s="7">
        <f t="shared" si="30"/>
        <v>-100</v>
      </c>
      <c r="M88" s="2"/>
      <c r="N88" s="6">
        <f t="shared" si="31"/>
        <v>-1</v>
      </c>
      <c r="O88" s="11"/>
      <c r="P88" s="7"/>
      <c r="Q88" s="2"/>
      <c r="R88" s="6">
        <f t="shared" si="32"/>
        <v>0</v>
      </c>
      <c r="S88" s="2"/>
      <c r="T88" s="7">
        <v>100</v>
      </c>
      <c r="U88" s="2"/>
      <c r="V88" s="6">
        <f t="shared" si="33"/>
        <v>9.967505930666028E-4</v>
      </c>
      <c r="W88" s="2"/>
      <c r="X88" s="7">
        <f t="shared" si="34"/>
        <v>-100</v>
      </c>
      <c r="Y88" s="2"/>
      <c r="Z88" s="6">
        <f t="shared" si="35"/>
        <v>-1</v>
      </c>
    </row>
    <row r="89" spans="1:26" s="27" customFormat="1" outlineLevel="1" collapsed="1" x14ac:dyDescent="0.25">
      <c r="A89" s="28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1">
        <f>SUM(OSRRefD22_10x_0)</f>
        <v>288.85000000000002</v>
      </c>
      <c r="E89" s="1"/>
      <c r="F89" s="5">
        <f t="shared" ref="F89:F94" si="36">IF(D$12=0,0,D89/D$12)</f>
        <v>3.7253643595932927E-3</v>
      </c>
      <c r="G89" s="1"/>
      <c r="H89" s="1">
        <f>SUM(OSRRefH22_10x_0)</f>
        <v>300</v>
      </c>
      <c r="I89" s="1"/>
      <c r="J89" s="5">
        <f t="shared" ref="J89:J94" si="37">IF(H$12=0,0,H89/H$12)</f>
        <v>2.9902517791998086E-3</v>
      </c>
      <c r="K89" s="1"/>
      <c r="L89" s="1">
        <f t="shared" ref="L89:L94" si="38">+D89-H89</f>
        <v>-11.149999999999977</v>
      </c>
      <c r="M89" s="1"/>
      <c r="N89" s="5">
        <f t="shared" ref="N89:N94" si="39">IF(H89=0,0,L89/H89)</f>
        <v>-3.7166666666666591E-2</v>
      </c>
      <c r="O89" s="14"/>
      <c r="P89" s="1">
        <f>SUM(OSRRefP22_10x_0)</f>
        <v>288.85000000000002</v>
      </c>
      <c r="Q89" s="1"/>
      <c r="R89" s="5">
        <f t="shared" ref="R89:R94" si="40">IF(P$12=0,0,P89/P$12)</f>
        <v>3.7253643595932927E-3</v>
      </c>
      <c r="S89" s="1"/>
      <c r="T89" s="1">
        <f>SUM(OSRRefT22_10x_0)</f>
        <v>300</v>
      </c>
      <c r="U89" s="1"/>
      <c r="V89" s="5">
        <f t="shared" ref="V89:V94" si="41">IF(T$12=0,0,T89/T$12)</f>
        <v>2.9902517791998086E-3</v>
      </c>
      <c r="W89" s="1"/>
      <c r="X89" s="1">
        <f t="shared" ref="X89:X94" si="42">+P89-T89</f>
        <v>-11.149999999999977</v>
      </c>
      <c r="Y89" s="1"/>
      <c r="Z89" s="5">
        <f t="shared" ref="Z89:Z94" si="43">IF(T89=0,0,X89/T89)</f>
        <v>-3.7166666666666591E-2</v>
      </c>
    </row>
    <row r="90" spans="1:26" s="24" customFormat="1" hidden="1" outlineLevel="2" x14ac:dyDescent="0.25">
      <c r="A90" s="29"/>
      <c r="B90" s="11" t="str">
        <f>CONCATENATE("          ", "6258", " - ", "MEMBERSHIP DUES")</f>
        <v xml:space="preserve">          6258 - MEMBERSHIP DUES</v>
      </c>
      <c r="C90" s="11"/>
      <c r="D90" s="7">
        <v>288.85000000000002</v>
      </c>
      <c r="E90" s="2"/>
      <c r="F90" s="6">
        <f t="shared" si="36"/>
        <v>3.7253643595932927E-3</v>
      </c>
      <c r="G90" s="2"/>
      <c r="H90" s="7">
        <v>300</v>
      </c>
      <c r="I90" s="2"/>
      <c r="J90" s="6">
        <f t="shared" si="37"/>
        <v>2.9902517791998086E-3</v>
      </c>
      <c r="K90" s="2"/>
      <c r="L90" s="7">
        <f t="shared" si="38"/>
        <v>-11.149999999999977</v>
      </c>
      <c r="M90" s="2"/>
      <c r="N90" s="6">
        <f t="shared" si="39"/>
        <v>-3.7166666666666591E-2</v>
      </c>
      <c r="O90" s="11"/>
      <c r="P90" s="7">
        <v>288.85000000000002</v>
      </c>
      <c r="Q90" s="2"/>
      <c r="R90" s="6">
        <f t="shared" si="40"/>
        <v>3.7253643595932927E-3</v>
      </c>
      <c r="S90" s="2"/>
      <c r="T90" s="7">
        <v>300</v>
      </c>
      <c r="U90" s="2"/>
      <c r="V90" s="6">
        <f t="shared" si="41"/>
        <v>2.9902517791998086E-3</v>
      </c>
      <c r="W90" s="2"/>
      <c r="X90" s="7">
        <f t="shared" si="42"/>
        <v>-11.149999999999977</v>
      </c>
      <c r="Y90" s="2"/>
      <c r="Z90" s="6">
        <f t="shared" si="43"/>
        <v>-3.7166666666666591E-2</v>
      </c>
    </row>
    <row r="91" spans="1:26" s="27" customFormat="1" outlineLevel="1" collapsed="1" x14ac:dyDescent="0.25">
      <c r="A91" s="28"/>
      <c r="B91" s="14" t="str">
        <f>CONCATENATE("     ","Supplies                                          ")</f>
        <v xml:space="preserve">     Supplies                                          </v>
      </c>
      <c r="C91" s="14"/>
      <c r="D91" s="1">
        <f>SUM(OSRRefD22_11x_0)</f>
        <v>277.56</v>
      </c>
      <c r="E91" s="1"/>
      <c r="F91" s="5">
        <f t="shared" si="36"/>
        <v>3.5797546534488984E-3</v>
      </c>
      <c r="G91" s="1"/>
      <c r="H91" s="1">
        <f>SUM(OSRRefH22_11x_0)</f>
        <v>1600</v>
      </c>
      <c r="I91" s="1"/>
      <c r="J91" s="5">
        <f t="shared" si="37"/>
        <v>1.5948009489065645E-2</v>
      </c>
      <c r="K91" s="1"/>
      <c r="L91" s="1">
        <f t="shared" si="38"/>
        <v>-1322.44</v>
      </c>
      <c r="M91" s="1"/>
      <c r="N91" s="5">
        <f t="shared" si="39"/>
        <v>-0.82652500000000007</v>
      </c>
      <c r="O91" s="14"/>
      <c r="P91" s="1">
        <f>SUM(OSRRefP22_11x_0)</f>
        <v>277.56</v>
      </c>
      <c r="Q91" s="1"/>
      <c r="R91" s="5">
        <f t="shared" si="40"/>
        <v>3.5797546534488984E-3</v>
      </c>
      <c r="S91" s="1"/>
      <c r="T91" s="1">
        <f>SUM(OSRRefT22_11x_0)</f>
        <v>1600</v>
      </c>
      <c r="U91" s="1"/>
      <c r="V91" s="5">
        <f t="shared" si="41"/>
        <v>1.5948009489065645E-2</v>
      </c>
      <c r="W91" s="1"/>
      <c r="X91" s="1">
        <f t="shared" si="42"/>
        <v>-1322.44</v>
      </c>
      <c r="Y91" s="1"/>
      <c r="Z91" s="5">
        <f t="shared" si="43"/>
        <v>-0.82652500000000007</v>
      </c>
    </row>
    <row r="92" spans="1:26" s="24" customFormat="1" hidden="1" outlineLevel="2" x14ac:dyDescent="0.25">
      <c r="A92" s="29"/>
      <c r="B92" s="11" t="str">
        <f>CONCATENATE("          ", "6241", " - ", "OFFICE EXPENSE")</f>
        <v xml:space="preserve">          6241 - OFFICE EXPENSE</v>
      </c>
      <c r="C92" s="11"/>
      <c r="D92" s="7">
        <v>261.17</v>
      </c>
      <c r="E92" s="2"/>
      <c r="F92" s="6">
        <f t="shared" si="36"/>
        <v>3.3683690835900303E-3</v>
      </c>
      <c r="G92" s="2"/>
      <c r="H92" s="7">
        <v>300</v>
      </c>
      <c r="I92" s="2"/>
      <c r="J92" s="6">
        <f t="shared" si="37"/>
        <v>2.9902517791998086E-3</v>
      </c>
      <c r="K92" s="2"/>
      <c r="L92" s="7">
        <f t="shared" si="38"/>
        <v>-38.829999999999984</v>
      </c>
      <c r="M92" s="2"/>
      <c r="N92" s="6">
        <f t="shared" si="39"/>
        <v>-0.12943333333333329</v>
      </c>
      <c r="O92" s="11"/>
      <c r="P92" s="7">
        <v>261.17</v>
      </c>
      <c r="Q92" s="2"/>
      <c r="R92" s="6">
        <f t="shared" si="40"/>
        <v>3.3683690835900303E-3</v>
      </c>
      <c r="S92" s="2"/>
      <c r="T92" s="7">
        <v>300</v>
      </c>
      <c r="U92" s="2"/>
      <c r="V92" s="6">
        <f t="shared" si="41"/>
        <v>2.9902517791998086E-3</v>
      </c>
      <c r="W92" s="2"/>
      <c r="X92" s="7">
        <f t="shared" si="42"/>
        <v>-38.829999999999984</v>
      </c>
      <c r="Y92" s="2"/>
      <c r="Z92" s="6">
        <f t="shared" si="43"/>
        <v>-0.12943333333333329</v>
      </c>
    </row>
    <row r="93" spans="1:26" s="24" customFormat="1" hidden="1" outlineLevel="2" x14ac:dyDescent="0.25">
      <c r="A93" s="29"/>
      <c r="B93" s="11" t="str">
        <f>CONCATENATE("          ", "6245", " - ", "PRINTING")</f>
        <v xml:space="preserve">          6245 - PRINTING</v>
      </c>
      <c r="C93" s="11"/>
      <c r="D93" s="7"/>
      <c r="E93" s="2"/>
      <c r="F93" s="6">
        <f t="shared" si="36"/>
        <v>0</v>
      </c>
      <c r="G93" s="2"/>
      <c r="H93" s="7">
        <v>100</v>
      </c>
      <c r="I93" s="2"/>
      <c r="J93" s="6">
        <f t="shared" si="37"/>
        <v>9.967505930666028E-4</v>
      </c>
      <c r="K93" s="2"/>
      <c r="L93" s="7">
        <f t="shared" si="38"/>
        <v>-100</v>
      </c>
      <c r="M93" s="2"/>
      <c r="N93" s="6">
        <f t="shared" si="39"/>
        <v>-1</v>
      </c>
      <c r="O93" s="11"/>
      <c r="P93" s="7"/>
      <c r="Q93" s="2"/>
      <c r="R93" s="6">
        <f t="shared" si="40"/>
        <v>0</v>
      </c>
      <c r="S93" s="2"/>
      <c r="T93" s="7">
        <v>100</v>
      </c>
      <c r="U93" s="2"/>
      <c r="V93" s="6">
        <f t="shared" si="41"/>
        <v>9.967505930666028E-4</v>
      </c>
      <c r="W93" s="2"/>
      <c r="X93" s="7">
        <f t="shared" si="42"/>
        <v>-100</v>
      </c>
      <c r="Y93" s="2"/>
      <c r="Z93" s="6">
        <f t="shared" si="43"/>
        <v>-1</v>
      </c>
    </row>
    <row r="94" spans="1:26" s="24" customFormat="1" hidden="1" outlineLevel="2" x14ac:dyDescent="0.25">
      <c r="A94" s="29"/>
      <c r="B94" s="11" t="str">
        <f>CONCATENATE("          ", "6247", " - ", "STORE SUPPLIES")</f>
        <v xml:space="preserve">          6247 - STORE SUPPLIES</v>
      </c>
      <c r="C94" s="11"/>
      <c r="D94" s="7">
        <v>16.39</v>
      </c>
      <c r="E94" s="2"/>
      <c r="F94" s="6">
        <f t="shared" si="36"/>
        <v>2.1138556985886815E-4</v>
      </c>
      <c r="G94" s="2"/>
      <c r="H94" s="7">
        <v>1200</v>
      </c>
      <c r="I94" s="2"/>
      <c r="J94" s="6">
        <f t="shared" si="37"/>
        <v>1.1961007116799234E-2</v>
      </c>
      <c r="K94" s="2"/>
      <c r="L94" s="7">
        <f t="shared" si="38"/>
        <v>-1183.6099999999999</v>
      </c>
      <c r="M94" s="2"/>
      <c r="N94" s="6">
        <f t="shared" si="39"/>
        <v>-0.98634166666666656</v>
      </c>
      <c r="O94" s="11"/>
      <c r="P94" s="7">
        <v>16.39</v>
      </c>
      <c r="Q94" s="2"/>
      <c r="R94" s="6">
        <f t="shared" si="40"/>
        <v>2.1138556985886815E-4</v>
      </c>
      <c r="S94" s="2"/>
      <c r="T94" s="7">
        <v>1200</v>
      </c>
      <c r="U94" s="2"/>
      <c r="V94" s="6">
        <f t="shared" si="41"/>
        <v>1.1961007116799234E-2</v>
      </c>
      <c r="W94" s="2"/>
      <c r="X94" s="7">
        <f t="shared" si="42"/>
        <v>-1183.6099999999999</v>
      </c>
      <c r="Y94" s="2"/>
      <c r="Z94" s="6">
        <f t="shared" si="43"/>
        <v>-0.98634166666666656</v>
      </c>
    </row>
    <row r="95" spans="1:26" s="27" customFormat="1" outlineLevel="1" collapsed="1" x14ac:dyDescent="0.25">
      <c r="A95" s="28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SUM(OSRRefD22_12x_0)</f>
        <v>524.35</v>
      </c>
      <c r="E95" s="1"/>
      <c r="F95" s="5">
        <f t="shared" ref="F95:F97" si="44">IF(D$12=0,0,D95/D$12)</f>
        <v>6.7626615958204708E-3</v>
      </c>
      <c r="G95" s="1"/>
      <c r="H95" s="1">
        <f>SUM(OSRRefH22_12x_0)</f>
        <v>600</v>
      </c>
      <c r="I95" s="1"/>
      <c r="J95" s="5">
        <f t="shared" ref="J95:J97" si="45">IF(H$12=0,0,H95/H$12)</f>
        <v>5.9805035583996172E-3</v>
      </c>
      <c r="K95" s="1"/>
      <c r="L95" s="1">
        <f t="shared" ref="L95:L97" si="46">+D95-H95</f>
        <v>-75.649999999999977</v>
      </c>
      <c r="M95" s="1"/>
      <c r="N95" s="5">
        <f t="shared" ref="N95:N97" si="47">IF(H95=0,0,L95/H95)</f>
        <v>-0.1260833333333333</v>
      </c>
      <c r="O95" s="14"/>
      <c r="P95" s="1">
        <f>SUM(OSRRefP22_12x_0)</f>
        <v>524.35</v>
      </c>
      <c r="Q95" s="1"/>
      <c r="R95" s="5">
        <f t="shared" ref="R95:R97" si="48">IF(P$12=0,0,P95/P$12)</f>
        <v>6.7626615958204708E-3</v>
      </c>
      <c r="S95" s="1"/>
      <c r="T95" s="1">
        <f>SUM(OSRRefT22_12x_0)</f>
        <v>600</v>
      </c>
      <c r="U95" s="1"/>
      <c r="V95" s="5">
        <f t="shared" ref="V95:V97" si="49">IF(T$12=0,0,T95/T$12)</f>
        <v>5.9805035583996172E-3</v>
      </c>
      <c r="W95" s="1"/>
      <c r="X95" s="1">
        <f t="shared" ref="X95:X97" si="50">+P95-T95</f>
        <v>-75.649999999999977</v>
      </c>
      <c r="Y95" s="1"/>
      <c r="Z95" s="5">
        <f t="shared" ref="Z95:Z97" si="51">IF(T95=0,0,X95/T95)</f>
        <v>-0.1260833333333333</v>
      </c>
    </row>
    <row r="96" spans="1:26" s="24" customFormat="1" hidden="1" outlineLevel="2" x14ac:dyDescent="0.25">
      <c r="A96" s="29"/>
      <c r="B96" s="11" t="str">
        <f>CONCATENATE("          ", "6303", " - ", "DATA PHONE LINES")</f>
        <v xml:space="preserve">          6303 - DATA PHONE LINES</v>
      </c>
      <c r="C96" s="11"/>
      <c r="D96" s="7">
        <v>295</v>
      </c>
      <c r="E96" s="2"/>
      <c r="F96" s="6">
        <f t="shared" si="44"/>
        <v>3.8046823128960404E-3</v>
      </c>
      <c r="G96" s="2"/>
      <c r="H96" s="7">
        <v>300</v>
      </c>
      <c r="I96" s="2"/>
      <c r="J96" s="6">
        <f t="shared" si="45"/>
        <v>2.9902517791998086E-3</v>
      </c>
      <c r="K96" s="2"/>
      <c r="L96" s="7">
        <f t="shared" si="46"/>
        <v>-5</v>
      </c>
      <c r="M96" s="2"/>
      <c r="N96" s="6">
        <f t="shared" si="47"/>
        <v>-1.6666666666666666E-2</v>
      </c>
      <c r="O96" s="11"/>
      <c r="P96" s="7">
        <v>295</v>
      </c>
      <c r="Q96" s="2"/>
      <c r="R96" s="6">
        <f t="shared" si="48"/>
        <v>3.8046823128960404E-3</v>
      </c>
      <c r="S96" s="2"/>
      <c r="T96" s="7">
        <v>300</v>
      </c>
      <c r="U96" s="2"/>
      <c r="V96" s="6">
        <f t="shared" si="49"/>
        <v>2.9902517791998086E-3</v>
      </c>
      <c r="W96" s="2"/>
      <c r="X96" s="7">
        <f t="shared" si="50"/>
        <v>-5</v>
      </c>
      <c r="Y96" s="2"/>
      <c r="Z96" s="6">
        <f t="shared" si="51"/>
        <v>-1.6666666666666666E-2</v>
      </c>
    </row>
    <row r="97" spans="1:26" s="24" customFormat="1" hidden="1" outlineLevel="2" x14ac:dyDescent="0.25">
      <c r="A97" s="29"/>
      <c r="B97" s="11" t="str">
        <f>CONCATENATE("          ", "6309", " - ", "TELEPHONE")</f>
        <v xml:space="preserve">          6309 - TELEPHONE</v>
      </c>
      <c r="C97" s="11"/>
      <c r="D97" s="7">
        <v>229.35</v>
      </c>
      <c r="E97" s="2"/>
      <c r="F97" s="6">
        <f t="shared" si="44"/>
        <v>2.9579792829244299E-3</v>
      </c>
      <c r="G97" s="2"/>
      <c r="H97" s="7">
        <v>300</v>
      </c>
      <c r="I97" s="2"/>
      <c r="J97" s="6">
        <f t="shared" si="45"/>
        <v>2.9902517791998086E-3</v>
      </c>
      <c r="K97" s="2"/>
      <c r="L97" s="7">
        <f t="shared" si="46"/>
        <v>-70.650000000000006</v>
      </c>
      <c r="M97" s="2"/>
      <c r="N97" s="6">
        <f t="shared" si="47"/>
        <v>-0.23550000000000001</v>
      </c>
      <c r="O97" s="11"/>
      <c r="P97" s="7">
        <v>229.35</v>
      </c>
      <c r="Q97" s="2"/>
      <c r="R97" s="6">
        <f t="shared" si="48"/>
        <v>2.9579792829244299E-3</v>
      </c>
      <c r="S97" s="2"/>
      <c r="T97" s="7">
        <v>300</v>
      </c>
      <c r="U97" s="2"/>
      <c r="V97" s="6">
        <f t="shared" si="49"/>
        <v>2.9902517791998086E-3</v>
      </c>
      <c r="W97" s="2"/>
      <c r="X97" s="7">
        <f t="shared" si="50"/>
        <v>-70.650000000000006</v>
      </c>
      <c r="Y97" s="2"/>
      <c r="Z97" s="6">
        <f t="shared" si="51"/>
        <v>-0.23550000000000001</v>
      </c>
    </row>
    <row r="98" spans="1:26" s="27" customFormat="1" outlineLevel="1" collapsed="1" x14ac:dyDescent="0.25">
      <c r="A98" s="28"/>
      <c r="B98" s="14" t="str">
        <f>CONCATENATE("     ","Training                                          ")</f>
        <v xml:space="preserve">     Training                                          </v>
      </c>
      <c r="C98" s="14"/>
      <c r="D98" s="1">
        <f>SUM(OSRRefD22_13x_0)</f>
        <v>516.61</v>
      </c>
      <c r="E98" s="1"/>
      <c r="F98" s="5">
        <f t="shared" ref="F98:F101" si="52">IF(D$12=0,0,D98/D$12)</f>
        <v>6.6628370497126225E-3</v>
      </c>
      <c r="G98" s="1"/>
      <c r="H98" s="1">
        <f>SUM(OSRRefH22_13x_0)</f>
        <v>300</v>
      </c>
      <c r="I98" s="1"/>
      <c r="J98" s="5">
        <f t="shared" ref="J98:J101" si="53">IF(H$12=0,0,H98/H$12)</f>
        <v>2.9902517791998086E-3</v>
      </c>
      <c r="K98" s="1"/>
      <c r="L98" s="1">
        <f t="shared" ref="L98:L101" si="54">+D98-H98</f>
        <v>216.61</v>
      </c>
      <c r="M98" s="1"/>
      <c r="N98" s="5">
        <f t="shared" ref="N98:N101" si="55">IF(H98=0,0,L98/H98)</f>
        <v>0.72203333333333342</v>
      </c>
      <c r="O98" s="14"/>
      <c r="P98" s="1">
        <f>SUM(OSRRefP22_13x_0)</f>
        <v>516.61</v>
      </c>
      <c r="Q98" s="1"/>
      <c r="R98" s="5">
        <f t="shared" ref="R98:R101" si="56">IF(P$12=0,0,P98/P$12)</f>
        <v>6.6628370497126225E-3</v>
      </c>
      <c r="S98" s="1"/>
      <c r="T98" s="1">
        <f>SUM(OSRRefT22_13x_0)</f>
        <v>300</v>
      </c>
      <c r="U98" s="1"/>
      <c r="V98" s="5">
        <f t="shared" ref="V98:V101" si="57">IF(T$12=0,0,T98/T$12)</f>
        <v>2.9902517791998086E-3</v>
      </c>
      <c r="W98" s="1"/>
      <c r="X98" s="1">
        <f t="shared" ref="X98:X101" si="58">+P98-T98</f>
        <v>216.61</v>
      </c>
      <c r="Y98" s="1"/>
      <c r="Z98" s="5">
        <f t="shared" ref="Z98:Z101" si="59">IF(T98=0,0,X98/T98)</f>
        <v>0.72203333333333342</v>
      </c>
    </row>
    <row r="99" spans="1:26" s="24" customFormat="1" hidden="1" outlineLevel="2" x14ac:dyDescent="0.25">
      <c r="A99" s="29"/>
      <c r="B99" s="11" t="str">
        <f>CONCATENATE("          ", "6376", " - ", "TRAINING")</f>
        <v xml:space="preserve">          6376 - TRAINING</v>
      </c>
      <c r="C99" s="11"/>
      <c r="D99" s="7">
        <v>516.61</v>
      </c>
      <c r="E99" s="2"/>
      <c r="F99" s="6">
        <f t="shared" si="52"/>
        <v>6.6628370497126225E-3</v>
      </c>
      <c r="G99" s="2"/>
      <c r="H99" s="7">
        <v>300</v>
      </c>
      <c r="I99" s="2"/>
      <c r="J99" s="6">
        <f t="shared" si="53"/>
        <v>2.9902517791998086E-3</v>
      </c>
      <c r="K99" s="2"/>
      <c r="L99" s="7">
        <f t="shared" si="54"/>
        <v>216.61</v>
      </c>
      <c r="M99" s="2"/>
      <c r="N99" s="6">
        <f t="shared" si="55"/>
        <v>0.72203333333333342</v>
      </c>
      <c r="O99" s="11"/>
      <c r="P99" s="7">
        <v>516.61</v>
      </c>
      <c r="Q99" s="2"/>
      <c r="R99" s="6">
        <f t="shared" si="56"/>
        <v>6.6628370497126225E-3</v>
      </c>
      <c r="S99" s="2"/>
      <c r="T99" s="7">
        <v>300</v>
      </c>
      <c r="U99" s="2"/>
      <c r="V99" s="6">
        <f t="shared" si="57"/>
        <v>2.9902517791998086E-3</v>
      </c>
      <c r="W99" s="2"/>
      <c r="X99" s="7">
        <f t="shared" si="58"/>
        <v>216.61</v>
      </c>
      <c r="Y99" s="2"/>
      <c r="Z99" s="6">
        <f t="shared" si="59"/>
        <v>0.72203333333333342</v>
      </c>
    </row>
    <row r="100" spans="1:26" s="27" customFormat="1" outlineLevel="1" collapsed="1" x14ac:dyDescent="0.25">
      <c r="A100" s="28"/>
      <c r="B100" s="14" t="str">
        <f>CONCATENATE("     ","Travel                                            ")</f>
        <v xml:space="preserve">     Travel                                            </v>
      </c>
      <c r="C100" s="14"/>
      <c r="D100" s="1">
        <f>SUM(OSRRefD22_14x_0)</f>
        <v>0</v>
      </c>
      <c r="E100" s="1"/>
      <c r="F100" s="5">
        <f t="shared" si="52"/>
        <v>0</v>
      </c>
      <c r="G100" s="1"/>
      <c r="H100" s="1">
        <f>SUM(OSRRefH22_14x_0)</f>
        <v>450</v>
      </c>
      <c r="I100" s="1"/>
      <c r="J100" s="5">
        <f t="shared" si="53"/>
        <v>4.4853776687997131E-3</v>
      </c>
      <c r="K100" s="1"/>
      <c r="L100" s="1">
        <f t="shared" si="54"/>
        <v>-450</v>
      </c>
      <c r="M100" s="1"/>
      <c r="N100" s="5">
        <f t="shared" si="55"/>
        <v>-1</v>
      </c>
      <c r="O100" s="14"/>
      <c r="P100" s="1">
        <f>SUM(OSRRefP22_14x_0)</f>
        <v>0</v>
      </c>
      <c r="Q100" s="1"/>
      <c r="R100" s="5">
        <f t="shared" si="56"/>
        <v>0</v>
      </c>
      <c r="S100" s="1"/>
      <c r="T100" s="1">
        <f>SUM(OSRRefT22_14x_0)</f>
        <v>450</v>
      </c>
      <c r="U100" s="1"/>
      <c r="V100" s="5">
        <f t="shared" si="57"/>
        <v>4.4853776687997131E-3</v>
      </c>
      <c r="W100" s="1"/>
      <c r="X100" s="1">
        <f t="shared" si="58"/>
        <v>-450</v>
      </c>
      <c r="Y100" s="1"/>
      <c r="Z100" s="5">
        <f t="shared" si="59"/>
        <v>-1</v>
      </c>
    </row>
    <row r="101" spans="1:26" s="24" customFormat="1" hidden="1" outlineLevel="2" x14ac:dyDescent="0.25">
      <c r="A101" s="29"/>
      <c r="B101" s="11" t="str">
        <f>CONCATENATE("          ", "6298", " - ", "VEHICLE MILEAGE")</f>
        <v xml:space="preserve">          6298 - VEHICLE MILEAGE</v>
      </c>
      <c r="C101" s="11"/>
      <c r="D101" s="7"/>
      <c r="E101" s="2"/>
      <c r="F101" s="6">
        <f t="shared" si="52"/>
        <v>0</v>
      </c>
      <c r="G101" s="2"/>
      <c r="H101" s="7">
        <v>450</v>
      </c>
      <c r="I101" s="2"/>
      <c r="J101" s="6">
        <f t="shared" si="53"/>
        <v>4.4853776687997131E-3</v>
      </c>
      <c r="K101" s="2"/>
      <c r="L101" s="7">
        <f t="shared" si="54"/>
        <v>-450</v>
      </c>
      <c r="M101" s="2"/>
      <c r="N101" s="6">
        <f t="shared" si="55"/>
        <v>-1</v>
      </c>
      <c r="O101" s="11"/>
      <c r="P101" s="7"/>
      <c r="Q101" s="2"/>
      <c r="R101" s="6">
        <f t="shared" si="56"/>
        <v>0</v>
      </c>
      <c r="S101" s="2"/>
      <c r="T101" s="7">
        <v>450</v>
      </c>
      <c r="U101" s="2"/>
      <c r="V101" s="6">
        <f t="shared" si="57"/>
        <v>4.4853776687997131E-3</v>
      </c>
      <c r="W101" s="2"/>
      <c r="X101" s="7">
        <f t="shared" si="58"/>
        <v>-450</v>
      </c>
      <c r="Y101" s="2"/>
      <c r="Z101" s="6">
        <f t="shared" si="59"/>
        <v>-1</v>
      </c>
    </row>
    <row r="102" spans="1:26" s="57" customFormat="1" x14ac:dyDescent="0.25">
      <c r="A102" s="36"/>
      <c r="B102" s="36"/>
      <c r="C102" s="36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6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collapsed="1" x14ac:dyDescent="0.25">
      <c r="A103" s="10"/>
      <c r="B103" s="25" t="s">
        <v>0</v>
      </c>
      <c r="C103" s="10"/>
      <c r="D103" s="4">
        <f>SUM(OSRRefD25x_0)</f>
        <v>426.76</v>
      </c>
      <c r="E103" s="4"/>
      <c r="F103" s="12">
        <f t="shared" ref="F103:F105" si="60">IF(D$12=0,0,D103/D$12)</f>
        <v>5.5040210978017428E-3</v>
      </c>
      <c r="G103" s="4"/>
      <c r="H103" s="4">
        <f>SUM(OSRRefH25x_0)</f>
        <v>1300</v>
      </c>
      <c r="I103" s="4"/>
      <c r="J103" s="12">
        <f t="shared" ref="J103:J105" si="61">IF(H$12=0,0,H103/H$12)</f>
        <v>1.2957757709865837E-2</v>
      </c>
      <c r="K103" s="4"/>
      <c r="L103" s="4">
        <f t="shared" ref="L103:L105" si="62">+D103-H103</f>
        <v>-873.24</v>
      </c>
      <c r="M103" s="4"/>
      <c r="N103" s="12">
        <f t="shared" ref="N103:N105" si="63">IF(H103=0,0,L103/H103)</f>
        <v>-0.67172307692307698</v>
      </c>
      <c r="O103" s="10"/>
      <c r="P103" s="4">
        <f>SUM(OSRRefP25x_0)</f>
        <v>426.76</v>
      </c>
      <c r="Q103" s="4"/>
      <c r="R103" s="12">
        <f t="shared" ref="R103:R105" si="64">IF(P$12=0,0,P103/P$12)</f>
        <v>5.5040210978017428E-3</v>
      </c>
      <c r="S103" s="4"/>
      <c r="T103" s="4">
        <f>SUM(OSRRefT25x_0)</f>
        <v>1300</v>
      </c>
      <c r="U103" s="4"/>
      <c r="V103" s="12">
        <f t="shared" ref="V103:V105" si="65">IF(T$12=0,0,T103/T$12)</f>
        <v>1.2957757709865837E-2</v>
      </c>
      <c r="W103" s="4"/>
      <c r="X103" s="4">
        <f t="shared" ref="X103:X105" si="66">+P103-T103</f>
        <v>-873.24</v>
      </c>
      <c r="Y103" s="4"/>
      <c r="Z103" s="12">
        <f t="shared" ref="Z103:Z105" si="67">IF(T103=0,0,X103/T103)</f>
        <v>-0.67172307692307698</v>
      </c>
    </row>
    <row r="104" spans="1:26" s="24" customFormat="1" hidden="1" outlineLevel="1" x14ac:dyDescent="0.25">
      <c r="A104" s="51"/>
      <c r="B104" s="11" t="str">
        <f>CONCATENATE("          ", "9150", " - ", "MISC. INCOME")</f>
        <v xml:space="preserve">          9150 - MISC. INCOME</v>
      </c>
      <c r="C104" s="11"/>
      <c r="D104" s="2">
        <f>--426.76</f>
        <v>426.76</v>
      </c>
      <c r="E104" s="2"/>
      <c r="F104" s="22">
        <f t="shared" si="60"/>
        <v>5.5040210978017428E-3</v>
      </c>
      <c r="G104" s="2"/>
      <c r="H104" s="2"/>
      <c r="I104" s="2"/>
      <c r="J104" s="22">
        <f t="shared" si="61"/>
        <v>0</v>
      </c>
      <c r="K104" s="2"/>
      <c r="L104" s="2">
        <f t="shared" si="62"/>
        <v>426.76</v>
      </c>
      <c r="M104" s="2"/>
      <c r="N104" s="22">
        <f t="shared" si="63"/>
        <v>0</v>
      </c>
      <c r="O104" s="11"/>
      <c r="P104" s="2">
        <f>--426.76</f>
        <v>426.76</v>
      </c>
      <c r="Q104" s="2"/>
      <c r="R104" s="22">
        <f t="shared" si="64"/>
        <v>5.5040210978017428E-3</v>
      </c>
      <c r="S104" s="2"/>
      <c r="T104" s="2"/>
      <c r="U104" s="2"/>
      <c r="V104" s="22">
        <f t="shared" si="65"/>
        <v>0</v>
      </c>
      <c r="W104" s="2"/>
      <c r="X104" s="2">
        <f t="shared" si="66"/>
        <v>426.76</v>
      </c>
      <c r="Y104" s="2"/>
      <c r="Z104" s="22">
        <f t="shared" si="67"/>
        <v>0</v>
      </c>
    </row>
    <row r="105" spans="1:26" s="24" customFormat="1" hidden="1" outlineLevel="1" x14ac:dyDescent="0.25">
      <c r="A105" s="51"/>
      <c r="B105" s="11" t="str">
        <f>CONCATENATE("          ", "9160", " - ", "MISC. INCOME")</f>
        <v xml:space="preserve">          9160 - MISC. INCOME</v>
      </c>
      <c r="C105" s="11"/>
      <c r="D105" s="2">
        <f>0</f>
        <v>0</v>
      </c>
      <c r="E105" s="2"/>
      <c r="F105" s="22">
        <f t="shared" si="60"/>
        <v>0</v>
      </c>
      <c r="G105" s="2"/>
      <c r="H105" s="2">
        <v>1300</v>
      </c>
      <c r="I105" s="2"/>
      <c r="J105" s="22">
        <f t="shared" si="61"/>
        <v>1.2957757709865837E-2</v>
      </c>
      <c r="K105" s="2"/>
      <c r="L105" s="2">
        <f t="shared" si="62"/>
        <v>-1300</v>
      </c>
      <c r="M105" s="2"/>
      <c r="N105" s="22">
        <f t="shared" si="63"/>
        <v>-1</v>
      </c>
      <c r="O105" s="11"/>
      <c r="P105" s="2">
        <f>0</f>
        <v>0</v>
      </c>
      <c r="Q105" s="2"/>
      <c r="R105" s="22">
        <f t="shared" si="64"/>
        <v>0</v>
      </c>
      <c r="S105" s="2"/>
      <c r="T105" s="2">
        <v>1300</v>
      </c>
      <c r="U105" s="2"/>
      <c r="V105" s="22">
        <f t="shared" si="65"/>
        <v>1.2957757709865837E-2</v>
      </c>
      <c r="W105" s="2"/>
      <c r="X105" s="2">
        <f t="shared" si="66"/>
        <v>-1300</v>
      </c>
      <c r="Y105" s="2"/>
      <c r="Z105" s="22">
        <f t="shared" si="67"/>
        <v>-1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6" t="s">
        <v>3</v>
      </c>
      <c r="C107" s="26"/>
      <c r="D107" s="21">
        <f>+D47-D49+D103</f>
        <v>-28316.009999999984</v>
      </c>
      <c r="E107" s="13"/>
      <c r="F107" s="19">
        <f>IF(D$12=0,0,D107/D$12)</f>
        <v>-0.36519804209758422</v>
      </c>
      <c r="G107" s="13"/>
      <c r="H107" s="21">
        <f>+H47-H49+H103</f>
        <v>-22967.344691372258</v>
      </c>
      <c r="I107" s="13"/>
      <c r="J107" s="19">
        <f>IF(H$12=0,0,H107/H$12)</f>
        <v>-0.22892714442290391</v>
      </c>
      <c r="K107" s="15"/>
      <c r="L107" s="21">
        <f>+D107-H107</f>
        <v>-5348.6653086277256</v>
      </c>
      <c r="M107" s="15"/>
      <c r="N107" s="19">
        <f>IF(H107=0,0,L107/H107)</f>
        <v>0.23288130955064062</v>
      </c>
      <c r="O107" s="25"/>
      <c r="P107" s="21">
        <f>+P47-P49+P103</f>
        <v>-28316.009999999984</v>
      </c>
      <c r="Q107" s="13"/>
      <c r="R107" s="19">
        <f>IF(P$12=0,0,P107/P$12)</f>
        <v>-0.36519804209758422</v>
      </c>
      <c r="S107" s="13"/>
      <c r="T107" s="21">
        <f>+T47-T49+T103</f>
        <v>-22967.344691372258</v>
      </c>
      <c r="U107" s="13"/>
      <c r="V107" s="19">
        <f>IF(T$12=0,0,T107/T$12)</f>
        <v>-0.22892714442290391</v>
      </c>
      <c r="W107" s="15"/>
      <c r="X107" s="21">
        <f>+P107-T107</f>
        <v>-5348.6653086277256</v>
      </c>
      <c r="Y107" s="15"/>
      <c r="Z107" s="19">
        <f>IF(T107=0,0,X107/T107)</f>
        <v>0.23288130955064062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2"/>
      <c r="B109" s="10" t="s">
        <v>14</v>
      </c>
      <c r="C109" s="10"/>
      <c r="D109" s="4">
        <v>16122.030000000002</v>
      </c>
      <c r="E109" s="4"/>
      <c r="F109" s="12">
        <f>IF(D$12=0,0,D109/D$12)</f>
        <v>0.20792949962365886</v>
      </c>
      <c r="G109" s="4"/>
      <c r="H109" s="4">
        <v>24450</v>
      </c>
      <c r="I109" s="4"/>
      <c r="J109" s="12">
        <f>IF(H$12=0,0,H109/H$12)</f>
        <v>0.2437055200047844</v>
      </c>
      <c r="K109" s="4"/>
      <c r="L109" s="4">
        <f>+D109-H109</f>
        <v>-8327.9699999999975</v>
      </c>
      <c r="M109" s="4"/>
      <c r="N109" s="12">
        <f>IF(H109=0,0,L109/H109)</f>
        <v>-0.34061226993865018</v>
      </c>
      <c r="O109" s="10"/>
      <c r="P109" s="4">
        <v>16122.030000000002</v>
      </c>
      <c r="Q109" s="4"/>
      <c r="R109" s="12">
        <f>IF(P$12=0,0,P109/P$12)</f>
        <v>0.20792949962365886</v>
      </c>
      <c r="S109" s="4"/>
      <c r="T109" s="4">
        <v>24450</v>
      </c>
      <c r="U109" s="4"/>
      <c r="V109" s="12">
        <f>IF(T$12=0,0,T109/T$12)</f>
        <v>0.2437055200047844</v>
      </c>
      <c r="W109" s="4"/>
      <c r="X109" s="4">
        <f>+P109-T109</f>
        <v>-8327.9699999999975</v>
      </c>
      <c r="Y109" s="4"/>
      <c r="Z109" s="12">
        <f>IF(T109=0,0,X109/T109)</f>
        <v>-0.34061226993865018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6" t="s">
        <v>4</v>
      </c>
      <c r="C111" s="26"/>
      <c r="D111" s="32">
        <f>+D107-D109</f>
        <v>-44438.039999999986</v>
      </c>
      <c r="E111" s="13"/>
      <c r="F111" s="31">
        <f>IF(D$12=0,0,D111/D$12)</f>
        <v>-0.57312754172124314</v>
      </c>
      <c r="G111" s="13"/>
      <c r="H111" s="32">
        <f>+H107-H109</f>
        <v>-47417.344691372258</v>
      </c>
      <c r="I111" s="13"/>
      <c r="J111" s="31">
        <f>IF(H$12=0,0,H111/H$12)</f>
        <v>-0.47263266442768831</v>
      </c>
      <c r="K111" s="15"/>
      <c r="L111" s="32">
        <f>D111-H111</f>
        <v>2979.3046913722719</v>
      </c>
      <c r="M111" s="15"/>
      <c r="N111" s="31">
        <f>IF(H111=0,0,L111/H111)</f>
        <v>-6.2831537926972242E-2</v>
      </c>
      <c r="O111" s="25"/>
      <c r="P111" s="32">
        <f>+P107-P109</f>
        <v>-44438.039999999986</v>
      </c>
      <c r="Q111" s="13"/>
      <c r="R111" s="31">
        <f>IF(P$12=0,0,P111/P$12)</f>
        <v>-0.57312754172124314</v>
      </c>
      <c r="S111" s="13"/>
      <c r="T111" s="32">
        <f>+T107-T109</f>
        <v>-47417.344691372258</v>
      </c>
      <c r="U111" s="13"/>
      <c r="V111" s="31">
        <f>IF(T$12=0,0,T111/T$12)</f>
        <v>-0.47263266442768831</v>
      </c>
      <c r="W111" s="15"/>
      <c r="X111" s="32">
        <f>P111-T111</f>
        <v>2979.3046913722719</v>
      </c>
      <c r="Y111" s="15"/>
      <c r="Z111" s="31">
        <f>IF(T111=0,0,X111/T111)</f>
        <v>-6.2831537926972242E-2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5</v>
      </c>
      <c r="C114" s="26"/>
      <c r="D114" s="33">
        <f>SUM(D111:D113)</f>
        <v>-44438.039999999986</v>
      </c>
      <c r="E114" s="13"/>
      <c r="F114" s="34">
        <f>IF(D$12=0,0,D114/D$12)</f>
        <v>-0.57312754172124314</v>
      </c>
      <c r="G114" s="13"/>
      <c r="H114" s="33">
        <f>SUM(H111:H113)</f>
        <v>-47417.344691372258</v>
      </c>
      <c r="I114" s="13"/>
      <c r="J114" s="34">
        <f>IF(H$12=0,0,H114/H$12)</f>
        <v>-0.47263266442768831</v>
      </c>
      <c r="K114" s="15"/>
      <c r="L114" s="33">
        <f>+D114-H114</f>
        <v>2979.3046913722719</v>
      </c>
      <c r="M114" s="15"/>
      <c r="N114" s="34">
        <f>IF(H114=0,0,L114/H114)</f>
        <v>-6.2831537926972242E-2</v>
      </c>
      <c r="O114" s="25"/>
      <c r="P114" s="33">
        <f>SUM(P111:P113)</f>
        <v>-44438.039999999986</v>
      </c>
      <c r="Q114" s="13"/>
      <c r="R114" s="34">
        <f>IF(P$12=0,0,P114/P$12)</f>
        <v>-0.57312754172124314</v>
      </c>
      <c r="S114" s="13"/>
      <c r="T114" s="33">
        <f>SUM(T111:T113)</f>
        <v>-47417.344691372258</v>
      </c>
      <c r="U114" s="13"/>
      <c r="V114" s="34">
        <f>IF(T$12=0,0,T114/T$12)</f>
        <v>-0.47263266442768831</v>
      </c>
      <c r="W114" s="15"/>
      <c r="X114" s="33">
        <f>+P114-T114</f>
        <v>2979.3046913722719</v>
      </c>
      <c r="Y114" s="15"/>
      <c r="Z114" s="34">
        <f>IF(T114=0,0,X114/T114)</f>
        <v>-6.2831537926972242E-2</v>
      </c>
    </row>
    <row r="115" spans="1:26" ht="15.75" thickTop="1" x14ac:dyDescent="0.25">
      <c r="A115" s="9"/>
      <c r="C115" s="9"/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25">
      <c r="A116" s="9"/>
      <c r="B116" s="61">
        <v>43726.678640196762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56" t="s">
        <v>314</v>
      </c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A118" s="9"/>
      <c r="B118" s="53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","324", " - ", "Textbook Rental")</f>
        <v>Department 324 - Textbook Rental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14597.16</v>
      </c>
      <c r="E12" s="4"/>
      <c r="F12" s="12"/>
      <c r="G12" s="4"/>
      <c r="H12" s="4">
        <f>SUM(OSRRefH13x_0)</f>
        <v>26500</v>
      </c>
      <c r="I12" s="4"/>
      <c r="J12" s="12"/>
      <c r="K12" s="4"/>
      <c r="L12" s="4">
        <f t="shared" ref="L12:L15" si="0">+D12-H12</f>
        <v>-11902.84</v>
      </c>
      <c r="M12" s="4"/>
      <c r="N12" s="12">
        <f t="shared" ref="N12:N15" si="1">IF(H12=0,0,L12/H12)</f>
        <v>-0.44916377358490567</v>
      </c>
      <c r="O12" s="10"/>
      <c r="P12" s="4">
        <f>SUM(OSRRefP13x_0)</f>
        <v>14597.16</v>
      </c>
      <c r="Q12" s="4"/>
      <c r="R12" s="12"/>
      <c r="S12" s="4"/>
      <c r="T12" s="4">
        <f>SUM(OSRRefT13x_0)</f>
        <v>26500</v>
      </c>
      <c r="U12" s="4"/>
      <c r="V12" s="12"/>
      <c r="W12" s="4"/>
      <c r="X12" s="4">
        <f t="shared" ref="X12:X15" si="2">+P12-T12</f>
        <v>-11902.84</v>
      </c>
      <c r="Y12" s="4"/>
      <c r="Z12" s="12">
        <f t="shared" ref="Z12:Z15" si="3">IF(T12=0,0,X12/T12)</f>
        <v>-0.44916377358490567</v>
      </c>
    </row>
    <row r="13" spans="1:26" s="24" customFormat="1" hidden="1" outlineLevel="1" x14ac:dyDescent="0.25">
      <c r="A13" s="51"/>
      <c r="B13" s="11" t="str">
        <f>CONCATENATE("          ", "4001", " - ", "TAXABLE SALES-NEW TEXT")</f>
        <v xml:space="preserve">          4001 - TAXABLE SALES-NEW TEXT</v>
      </c>
      <c r="C13" s="11"/>
      <c r="D13" s="2">
        <f>--2374.1</f>
        <v>2374.1</v>
      </c>
      <c r="E13" s="2"/>
      <c r="F13" s="22"/>
      <c r="G13" s="2"/>
      <c r="H13" s="2"/>
      <c r="I13" s="2"/>
      <c r="J13" s="22"/>
      <c r="K13" s="2"/>
      <c r="L13" s="2">
        <f t="shared" si="0"/>
        <v>2374.1</v>
      </c>
      <c r="M13" s="2"/>
      <c r="N13" s="22">
        <f t="shared" si="1"/>
        <v>0</v>
      </c>
      <c r="O13" s="11"/>
      <c r="P13" s="2">
        <f>--2374.1</f>
        <v>2374.1</v>
      </c>
      <c r="Q13" s="2"/>
      <c r="R13" s="22"/>
      <c r="S13" s="2"/>
      <c r="T13" s="2"/>
      <c r="U13" s="2"/>
      <c r="V13" s="22"/>
      <c r="W13" s="2"/>
      <c r="X13" s="2">
        <f t="shared" si="2"/>
        <v>2374.1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"4002", " - ", "TAXABLE SALES-USED TEXT")</f>
        <v xml:space="preserve">          4002 - TAXABLE SALES-USED TEXT</v>
      </c>
      <c r="C14" s="11"/>
      <c r="D14" s="2">
        <f>--7960.86</f>
        <v>7960.86</v>
      </c>
      <c r="E14" s="2"/>
      <c r="F14" s="22"/>
      <c r="G14" s="2"/>
      <c r="H14" s="2"/>
      <c r="I14" s="2"/>
      <c r="J14" s="22"/>
      <c r="K14" s="2"/>
      <c r="L14" s="2">
        <f t="shared" si="0"/>
        <v>7960.86</v>
      </c>
      <c r="M14" s="2"/>
      <c r="N14" s="22">
        <f t="shared" si="1"/>
        <v>0</v>
      </c>
      <c r="O14" s="11"/>
      <c r="P14" s="2">
        <f>--7960.86</f>
        <v>7960.86</v>
      </c>
      <c r="Q14" s="2"/>
      <c r="R14" s="22"/>
      <c r="S14" s="2"/>
      <c r="T14" s="2"/>
      <c r="U14" s="2"/>
      <c r="V14" s="22"/>
      <c r="W14" s="2"/>
      <c r="X14" s="2">
        <f t="shared" si="2"/>
        <v>7960.86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--4262.2</f>
        <v>4262.2</v>
      </c>
      <c r="E15" s="2"/>
      <c r="F15" s="22"/>
      <c r="G15" s="2"/>
      <c r="H15" s="2">
        <v>26500</v>
      </c>
      <c r="I15" s="2"/>
      <c r="J15" s="22"/>
      <c r="K15" s="2"/>
      <c r="L15" s="2">
        <f t="shared" si="0"/>
        <v>-22237.8</v>
      </c>
      <c r="M15" s="2"/>
      <c r="N15" s="22">
        <f t="shared" si="1"/>
        <v>-0.83916226415094342</v>
      </c>
      <c r="O15" s="11"/>
      <c r="P15" s="2">
        <f>--4262.2</f>
        <v>4262.2</v>
      </c>
      <c r="Q15" s="2"/>
      <c r="R15" s="22"/>
      <c r="S15" s="2"/>
      <c r="T15" s="2">
        <v>26500</v>
      </c>
      <c r="U15" s="2"/>
      <c r="V15" s="22"/>
      <c r="W15" s="2"/>
      <c r="X15" s="2">
        <f t="shared" si="2"/>
        <v>-22237.8</v>
      </c>
      <c r="Y15" s="2"/>
      <c r="Z15" s="22">
        <f t="shared" si="3"/>
        <v>-0.83916226415094342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12703.6</v>
      </c>
      <c r="E17" s="4"/>
      <c r="F17" s="12">
        <f t="shared" ref="F17:F20" si="4">IF(D$12=0,0,D17/D$12)</f>
        <v>0.8702788761649527</v>
      </c>
      <c r="G17" s="4"/>
      <c r="H17" s="4">
        <f>SUM(OSRRefH16x_0)</f>
        <v>19254.350000000002</v>
      </c>
      <c r="I17" s="4"/>
      <c r="J17" s="12">
        <f t="shared" ref="J17:J20" si="5">IF(H$12=0,0,H17/H$12)</f>
        <v>0.72657924528301898</v>
      </c>
      <c r="K17" s="4"/>
      <c r="L17" s="4">
        <f t="shared" ref="L17:L20" si="6">+D17-H17</f>
        <v>-6550.7500000000018</v>
      </c>
      <c r="M17" s="4"/>
      <c r="N17" s="12">
        <f t="shared" ref="N17:N20" si="7">IF(H17=0,0,L17/H17)</f>
        <v>-0.34022182000431078</v>
      </c>
      <c r="O17" s="10"/>
      <c r="P17" s="4">
        <f>SUM(OSRRefP16x_0)</f>
        <v>12703.6</v>
      </c>
      <c r="Q17" s="4"/>
      <c r="R17" s="12">
        <f t="shared" ref="R17:R20" si="8">IF(P$12=0,0,P17/P$12)</f>
        <v>0.8702788761649527</v>
      </c>
      <c r="S17" s="4"/>
      <c r="T17" s="4">
        <f>SUM(OSRRefT16x_0)</f>
        <v>19254.350000000002</v>
      </c>
      <c r="U17" s="4"/>
      <c r="V17" s="12">
        <f t="shared" ref="V17:V20" si="9">IF(T$12=0,0,T17/T$12)</f>
        <v>0.72657924528301898</v>
      </c>
      <c r="W17" s="4"/>
      <c r="X17" s="4">
        <f t="shared" ref="X17:X20" si="10">+P17-T17</f>
        <v>-6550.7500000000018</v>
      </c>
      <c r="Y17" s="4"/>
      <c r="Z17" s="12">
        <f t="shared" ref="Z17:Z20" si="11">IF(T17=0,0,X17/T17)</f>
        <v>-0.34022182000431078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4"/>
        <v>0</v>
      </c>
      <c r="G18" s="2"/>
      <c r="H18" s="2">
        <v>19254.350000000002</v>
      </c>
      <c r="I18" s="2"/>
      <c r="J18" s="22">
        <f t="shared" si="5"/>
        <v>0.72657924528301898</v>
      </c>
      <c r="K18" s="2"/>
      <c r="L18" s="2">
        <f t="shared" si="6"/>
        <v>-19254.350000000002</v>
      </c>
      <c r="M18" s="2"/>
      <c r="N18" s="22">
        <f t="shared" si="7"/>
        <v>-1</v>
      </c>
      <c r="O18" s="11"/>
      <c r="P18" s="2"/>
      <c r="Q18" s="2"/>
      <c r="R18" s="22">
        <f t="shared" si="8"/>
        <v>0</v>
      </c>
      <c r="S18" s="2"/>
      <c r="T18" s="2">
        <v>19254.350000000002</v>
      </c>
      <c r="U18" s="2"/>
      <c r="V18" s="22">
        <f t="shared" si="9"/>
        <v>0.72657924528301898</v>
      </c>
      <c r="W18" s="2"/>
      <c r="X18" s="2">
        <f t="shared" si="10"/>
        <v>-19254.350000000002</v>
      </c>
      <c r="Y18" s="2"/>
      <c r="Z18" s="22">
        <f t="shared" si="11"/>
        <v>-1</v>
      </c>
    </row>
    <row r="19" spans="1:26" s="24" customFormat="1" hidden="1" outlineLevel="1" x14ac:dyDescent="0.25">
      <c r="A19" s="51"/>
      <c r="B19" s="11" t="str">
        <f>CONCATENATE("          ", "5001", " - ", "PURCHASES @ COST-NEW TEXT")</f>
        <v xml:space="preserve">          5001 - PURCHASES @ COST-NEW TEXT</v>
      </c>
      <c r="C19" s="11"/>
      <c r="D19" s="2">
        <v>2794.51</v>
      </c>
      <c r="E19" s="2"/>
      <c r="F19" s="22">
        <f t="shared" si="4"/>
        <v>0.19144203392988776</v>
      </c>
      <c r="G19" s="2"/>
      <c r="H19" s="2"/>
      <c r="I19" s="2"/>
      <c r="J19" s="22">
        <f t="shared" si="5"/>
        <v>0</v>
      </c>
      <c r="K19" s="2"/>
      <c r="L19" s="2">
        <f t="shared" si="6"/>
        <v>2794.51</v>
      </c>
      <c r="M19" s="2"/>
      <c r="N19" s="22">
        <f t="shared" si="7"/>
        <v>0</v>
      </c>
      <c r="O19" s="11"/>
      <c r="P19" s="2">
        <v>2794.51</v>
      </c>
      <c r="Q19" s="2"/>
      <c r="R19" s="22">
        <f t="shared" si="8"/>
        <v>0.19144203392988776</v>
      </c>
      <c r="S19" s="2"/>
      <c r="T19" s="2"/>
      <c r="U19" s="2"/>
      <c r="V19" s="22">
        <f t="shared" si="9"/>
        <v>0</v>
      </c>
      <c r="W19" s="2"/>
      <c r="X19" s="2">
        <f t="shared" si="10"/>
        <v>2794.51</v>
      </c>
      <c r="Y19" s="2"/>
      <c r="Z19" s="22">
        <f t="shared" si="11"/>
        <v>0</v>
      </c>
    </row>
    <row r="20" spans="1:26" s="24" customFormat="1" hidden="1" outlineLevel="1" x14ac:dyDescent="0.25">
      <c r="A20" s="51"/>
      <c r="B20" s="11" t="str">
        <f>CONCATENATE("          ", "5002", " - ", "PURCHASES @ COST-USED TEXT")</f>
        <v xml:space="preserve">          5002 - PURCHASES @ COST-USED TEXT</v>
      </c>
      <c r="C20" s="11"/>
      <c r="D20" s="2">
        <v>9909.09</v>
      </c>
      <c r="E20" s="2"/>
      <c r="F20" s="22">
        <f t="shared" si="4"/>
        <v>0.67883684223506491</v>
      </c>
      <c r="G20" s="2"/>
      <c r="H20" s="2"/>
      <c r="I20" s="2"/>
      <c r="J20" s="22">
        <f t="shared" si="5"/>
        <v>0</v>
      </c>
      <c r="K20" s="2"/>
      <c r="L20" s="2">
        <f t="shared" si="6"/>
        <v>9909.09</v>
      </c>
      <c r="M20" s="2"/>
      <c r="N20" s="22">
        <f t="shared" si="7"/>
        <v>0</v>
      </c>
      <c r="O20" s="11"/>
      <c r="P20" s="2">
        <v>9909.09</v>
      </c>
      <c r="Q20" s="2"/>
      <c r="R20" s="22">
        <f t="shared" si="8"/>
        <v>0.67883684223506491</v>
      </c>
      <c r="S20" s="2"/>
      <c r="T20" s="2"/>
      <c r="U20" s="2"/>
      <c r="V20" s="22">
        <f t="shared" si="9"/>
        <v>0</v>
      </c>
      <c r="W20" s="2"/>
      <c r="X20" s="2">
        <f t="shared" si="10"/>
        <v>9909.09</v>
      </c>
      <c r="Y20" s="2"/>
      <c r="Z20" s="22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6</v>
      </c>
      <c r="C22" s="26"/>
      <c r="D22" s="21">
        <f>D12-D17</f>
        <v>1893.5599999999995</v>
      </c>
      <c r="E22" s="13"/>
      <c r="F22" s="19">
        <f>IF(D$12=0,0,D22/D$12)</f>
        <v>0.12972112383504733</v>
      </c>
      <c r="G22" s="13"/>
      <c r="H22" s="21">
        <f>H12-H17</f>
        <v>7245.6499999999978</v>
      </c>
      <c r="I22" s="13"/>
      <c r="J22" s="19">
        <f>IF(H$12=0,0,H22/H$12)</f>
        <v>0.27342075471698107</v>
      </c>
      <c r="K22" s="15"/>
      <c r="L22" s="21">
        <f>+D22-H22</f>
        <v>-5352.0899999999983</v>
      </c>
      <c r="M22" s="15"/>
      <c r="N22" s="19">
        <f>IF(H22=0,0,L22/H22)</f>
        <v>-0.73866250784953735</v>
      </c>
      <c r="O22" s="25"/>
      <c r="P22" s="21">
        <f>P12-P17</f>
        <v>1893.5599999999995</v>
      </c>
      <c r="Q22" s="13"/>
      <c r="R22" s="19">
        <f>IF(P$12=0,0,P22/P$12)</f>
        <v>0.12972112383504733</v>
      </c>
      <c r="S22" s="13"/>
      <c r="T22" s="21">
        <f>T12-T17</f>
        <v>7245.6499999999978</v>
      </c>
      <c r="U22" s="13"/>
      <c r="V22" s="19">
        <f>IF(T$12=0,0,T22/T$12)</f>
        <v>0.27342075471698107</v>
      </c>
      <c r="W22" s="15"/>
      <c r="X22" s="21">
        <f>+P22-T22</f>
        <v>-5352.0899999999983</v>
      </c>
      <c r="Y22" s="15"/>
      <c r="Z22" s="19">
        <f>IF(T22=0,0,X22/T22)</f>
        <v>-0.73866250784953735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9</v>
      </c>
      <c r="C24" s="10"/>
      <c r="D24" s="20">
        <f>SUM(0)</f>
        <v>0</v>
      </c>
      <c r="E24" s="20"/>
      <c r="F24" s="30">
        <f>IF(D$12=0,0,D24/D$12)</f>
        <v>0</v>
      </c>
      <c r="G24" s="20"/>
      <c r="H24" s="20">
        <f>SUM(0)</f>
        <v>0</v>
      </c>
      <c r="I24" s="20"/>
      <c r="J24" s="30">
        <f>IF(H$12=0,0,H24/H$12)</f>
        <v>0</v>
      </c>
      <c r="K24" s="4"/>
      <c r="L24" s="20">
        <f>+D24-H24</f>
        <v>0</v>
      </c>
      <c r="M24" s="4"/>
      <c r="N24" s="30">
        <f>IF(H24=0,0,L24/H24)</f>
        <v>0</v>
      </c>
      <c r="O24" s="10"/>
      <c r="P24" s="20">
        <f>SUM(0)</f>
        <v>0</v>
      </c>
      <c r="Q24" s="20"/>
      <c r="R24" s="30">
        <f>IF(P$12=0,0,P24/P$12)</f>
        <v>0</v>
      </c>
      <c r="S24" s="20"/>
      <c r="T24" s="20">
        <f>SUM(0)</f>
        <v>0</v>
      </c>
      <c r="U24" s="20"/>
      <c r="V24" s="30">
        <f>IF(T$12=0,0,T24/T$12)</f>
        <v>0</v>
      </c>
      <c r="W24" s="4"/>
      <c r="X24" s="20">
        <f>+P24-T24</f>
        <v>0</v>
      </c>
      <c r="Y24" s="4"/>
      <c r="Z24" s="30">
        <f>IF(T24=0,0,X24/T24)</f>
        <v>0</v>
      </c>
    </row>
    <row r="25" spans="1:26" s="57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3</v>
      </c>
      <c r="C28" s="26"/>
      <c r="D28" s="21">
        <f>+D22-D24+D26</f>
        <v>1893.5599999999995</v>
      </c>
      <c r="E28" s="13"/>
      <c r="F28" s="19">
        <f>IF(D$12=0,0,D28/D$12)</f>
        <v>0.12972112383504733</v>
      </c>
      <c r="G28" s="13"/>
      <c r="H28" s="21">
        <f>+H22-H24+H26</f>
        <v>7245.6499999999978</v>
      </c>
      <c r="I28" s="13"/>
      <c r="J28" s="19">
        <f>IF(H$12=0,0,H28/H$12)</f>
        <v>0.27342075471698107</v>
      </c>
      <c r="K28" s="15"/>
      <c r="L28" s="21">
        <f>+D28-H28</f>
        <v>-5352.0899999999983</v>
      </c>
      <c r="M28" s="15"/>
      <c r="N28" s="19">
        <f>IF(H28=0,0,L28/H28)</f>
        <v>-0.73866250784953735</v>
      </c>
      <c r="O28" s="25"/>
      <c r="P28" s="21">
        <f>+P22-P24+P26</f>
        <v>1893.5599999999995</v>
      </c>
      <c r="Q28" s="13"/>
      <c r="R28" s="19">
        <f>IF(P$12=0,0,P28/P$12)</f>
        <v>0.12972112383504733</v>
      </c>
      <c r="S28" s="13"/>
      <c r="T28" s="21">
        <f>+T22-T24+T26</f>
        <v>7245.6499999999978</v>
      </c>
      <c r="U28" s="13"/>
      <c r="V28" s="19">
        <f>IF(T$12=0,0,T28/T$12)</f>
        <v>0.27342075471698107</v>
      </c>
      <c r="W28" s="15"/>
      <c r="X28" s="21">
        <f>+P28-T28</f>
        <v>-5352.0899999999983</v>
      </c>
      <c r="Y28" s="15"/>
      <c r="Z28" s="19">
        <f>IF(T28=0,0,X28/T28)</f>
        <v>-0.73866250784953735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3035.18</v>
      </c>
      <c r="E30" s="4"/>
      <c r="F30" s="12">
        <f>IF(D$12=0,0,D30/D$12)</f>
        <v>0.20792948765376279</v>
      </c>
      <c r="G30" s="4"/>
      <c r="H30" s="4">
        <v>6458</v>
      </c>
      <c r="I30" s="4"/>
      <c r="J30" s="12">
        <f>IF(H$12=0,0,H30/H$12)</f>
        <v>0.24369811320754717</v>
      </c>
      <c r="K30" s="4"/>
      <c r="L30" s="4">
        <f>+D30-H30</f>
        <v>-3422.82</v>
      </c>
      <c r="M30" s="4"/>
      <c r="N30" s="12">
        <f>IF(H30=0,0,L30/H30)</f>
        <v>-0.53001238773614123</v>
      </c>
      <c r="O30" s="10"/>
      <c r="P30" s="4">
        <v>3035.18</v>
      </c>
      <c r="Q30" s="4"/>
      <c r="R30" s="12">
        <f>IF(P$12=0,0,P30/P$12)</f>
        <v>0.20792948765376279</v>
      </c>
      <c r="S30" s="4"/>
      <c r="T30" s="4">
        <v>6458</v>
      </c>
      <c r="U30" s="4"/>
      <c r="V30" s="12">
        <f>IF(T$12=0,0,T30/T$12)</f>
        <v>0.24369811320754717</v>
      </c>
      <c r="W30" s="4"/>
      <c r="X30" s="4">
        <f>+P30-T30</f>
        <v>-3422.82</v>
      </c>
      <c r="Y30" s="4"/>
      <c r="Z30" s="12">
        <f>IF(T30=0,0,X30/T30)</f>
        <v>-0.53001238773614123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6" t="s">
        <v>4</v>
      </c>
      <c r="C32" s="26"/>
      <c r="D32" s="32">
        <f>+D28-D30</f>
        <v>-1141.6200000000003</v>
      </c>
      <c r="E32" s="13"/>
      <c r="F32" s="31">
        <f>IF(D$12=0,0,D32/D$12)</f>
        <v>-7.8208363818715446E-2</v>
      </c>
      <c r="G32" s="13"/>
      <c r="H32" s="32">
        <f>+H28-H30</f>
        <v>787.64999999999782</v>
      </c>
      <c r="I32" s="13"/>
      <c r="J32" s="31">
        <f>IF(H$12=0,0,H32/H$12)</f>
        <v>2.9722641509433882E-2</v>
      </c>
      <c r="K32" s="15"/>
      <c r="L32" s="32">
        <f>D32-H32</f>
        <v>-1929.2699999999982</v>
      </c>
      <c r="M32" s="15"/>
      <c r="N32" s="31">
        <f>IF(H32=0,0,L32/H32)</f>
        <v>-2.4494001142639541</v>
      </c>
      <c r="O32" s="25"/>
      <c r="P32" s="32">
        <f>+P28-P30</f>
        <v>-1141.6200000000003</v>
      </c>
      <c r="Q32" s="13"/>
      <c r="R32" s="31">
        <f>IF(P$12=0,0,P32/P$12)</f>
        <v>-7.8208363818715446E-2</v>
      </c>
      <c r="S32" s="13"/>
      <c r="T32" s="32">
        <f>+T28-T30</f>
        <v>787.64999999999782</v>
      </c>
      <c r="U32" s="13"/>
      <c r="V32" s="31">
        <f>IF(T$12=0,0,T32/T$12)</f>
        <v>2.9722641509433882E-2</v>
      </c>
      <c r="W32" s="15"/>
      <c r="X32" s="32">
        <f>P32-T32</f>
        <v>-1929.2699999999982</v>
      </c>
      <c r="Y32" s="15"/>
      <c r="Z32" s="31">
        <f>IF(T32=0,0,X32/T32)</f>
        <v>-2.4494001142639541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5</v>
      </c>
      <c r="C35" s="26"/>
      <c r="D35" s="33">
        <f>SUM(D32:D34)</f>
        <v>-1141.6200000000003</v>
      </c>
      <c r="E35" s="13"/>
      <c r="F35" s="34">
        <f>IF(D$12=0,0,D35/D$12)</f>
        <v>-7.8208363818715446E-2</v>
      </c>
      <c r="G35" s="13"/>
      <c r="H35" s="33">
        <f>SUM(H32:H34)</f>
        <v>787.64999999999782</v>
      </c>
      <c r="I35" s="13"/>
      <c r="J35" s="34">
        <f>IF(H$12=0,0,H35/H$12)</f>
        <v>2.9722641509433882E-2</v>
      </c>
      <c r="K35" s="15"/>
      <c r="L35" s="33">
        <f>+D35-H35</f>
        <v>-1929.2699999999982</v>
      </c>
      <c r="M35" s="15"/>
      <c r="N35" s="34">
        <f>IF(H35=0,0,L35/H35)</f>
        <v>-2.4494001142639541</v>
      </c>
      <c r="O35" s="25"/>
      <c r="P35" s="33">
        <f>SUM(P32:P34)</f>
        <v>-1141.6200000000003</v>
      </c>
      <c r="Q35" s="13"/>
      <c r="R35" s="34">
        <f>IF(P$12=0,0,P35/P$12)</f>
        <v>-7.8208363818715446E-2</v>
      </c>
      <c r="S35" s="13"/>
      <c r="T35" s="33">
        <f>SUM(T32:T34)</f>
        <v>787.64999999999782</v>
      </c>
      <c r="U35" s="13"/>
      <c r="V35" s="34">
        <f>IF(T$12=0,0,T35/T$12)</f>
        <v>2.9722641509433882E-2</v>
      </c>
      <c r="W35" s="15"/>
      <c r="X35" s="33">
        <f>+P35-T35</f>
        <v>-1929.2699999999982</v>
      </c>
      <c r="Y35" s="15"/>
      <c r="Z35" s="34">
        <f>IF(T35=0,0,X35/T35)</f>
        <v>-2.4494001142639541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25">
      <c r="A37" s="9"/>
      <c r="B37" s="61">
        <v>43726.678842824076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6" t="s">
        <v>314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3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","312", " - ", "General Books")</f>
        <v>Department 312 - General Books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7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1">
        <f>+D16-D18+D20</f>
        <v>0</v>
      </c>
      <c r="E22" s="13"/>
      <c r="F22" s="19">
        <f>IF(D$12=0,0,D22/D$12)</f>
        <v>0</v>
      </c>
      <c r="G22" s="13"/>
      <c r="H22" s="21">
        <f>+H16-H18+H20</f>
        <v>0</v>
      </c>
      <c r="I22" s="13"/>
      <c r="J22" s="19">
        <f>IF(H$12=0,0,H22/H$12)</f>
        <v>0</v>
      </c>
      <c r="K22" s="15"/>
      <c r="L22" s="21">
        <f>+D22-H22</f>
        <v>0</v>
      </c>
      <c r="M22" s="15"/>
      <c r="N22" s="19">
        <f>IF(H22=0,0,L22/H22)</f>
        <v>0</v>
      </c>
      <c r="O22" s="25"/>
      <c r="P22" s="21">
        <f>+P16-P18+P20</f>
        <v>0</v>
      </c>
      <c r="Q22" s="13"/>
      <c r="R22" s="19">
        <f>IF(P$12=0,0,P22/P$12)</f>
        <v>0</v>
      </c>
      <c r="S22" s="13"/>
      <c r="T22" s="21">
        <f>+T16-T18+T20</f>
        <v>0</v>
      </c>
      <c r="U22" s="13"/>
      <c r="V22" s="19">
        <f>IF(T$12=0,0,T22/T$12)</f>
        <v>0</v>
      </c>
      <c r="W22" s="15"/>
      <c r="X22" s="21">
        <f>+P22-T22</f>
        <v>0</v>
      </c>
      <c r="Y22" s="15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2">
        <f>+D22-D24</f>
        <v>0</v>
      </c>
      <c r="E26" s="13"/>
      <c r="F26" s="31">
        <f>IF(D$12=0,0,D26/D$12)</f>
        <v>0</v>
      </c>
      <c r="G26" s="13"/>
      <c r="H26" s="32">
        <f>+H22-H24</f>
        <v>0</v>
      </c>
      <c r="I26" s="13"/>
      <c r="J26" s="31">
        <f>IF(H$12=0,0,H26/H$12)</f>
        <v>0</v>
      </c>
      <c r="K26" s="15"/>
      <c r="L26" s="32">
        <f>D26-H26</f>
        <v>0</v>
      </c>
      <c r="M26" s="15"/>
      <c r="N26" s="31">
        <f>IF(H26=0,0,L26/H26)</f>
        <v>0</v>
      </c>
      <c r="O26" s="25"/>
      <c r="P26" s="32">
        <f>+P22-P24</f>
        <v>0</v>
      </c>
      <c r="Q26" s="13"/>
      <c r="R26" s="31">
        <f>IF(P$12=0,0,P26/P$12)</f>
        <v>0</v>
      </c>
      <c r="S26" s="13"/>
      <c r="T26" s="32">
        <f>+T22-T24</f>
        <v>0</v>
      </c>
      <c r="U26" s="13"/>
      <c r="V26" s="31">
        <f>IF(T$12=0,0,T26/T$12)</f>
        <v>0</v>
      </c>
      <c r="W26" s="15"/>
      <c r="X26" s="32">
        <f>P26-T26</f>
        <v>0</v>
      </c>
      <c r="Y26" s="15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6" t="s">
        <v>5</v>
      </c>
      <c r="C29" s="26"/>
      <c r="D29" s="33">
        <f>SUM(D26:D28)</f>
        <v>0</v>
      </c>
      <c r="E29" s="13"/>
      <c r="F29" s="34">
        <f>IF(D$12=0,0,D29/D$12)</f>
        <v>0</v>
      </c>
      <c r="G29" s="13"/>
      <c r="H29" s="33">
        <f>SUM(H26:H28)</f>
        <v>0</v>
      </c>
      <c r="I29" s="13"/>
      <c r="J29" s="34">
        <f>IF(H$12=0,0,H29/H$12)</f>
        <v>0</v>
      </c>
      <c r="K29" s="15"/>
      <c r="L29" s="33">
        <f>+D29-H29</f>
        <v>0</v>
      </c>
      <c r="M29" s="15"/>
      <c r="N29" s="34">
        <f>IF(H29=0,0,L29/H29)</f>
        <v>0</v>
      </c>
      <c r="O29" s="25"/>
      <c r="P29" s="33">
        <f>SUM(P26:P28)</f>
        <v>0</v>
      </c>
      <c r="Q29" s="13"/>
      <c r="R29" s="34">
        <f>IF(P$12=0,0,P29/P$12)</f>
        <v>0</v>
      </c>
      <c r="S29" s="13"/>
      <c r="T29" s="33">
        <f>SUM(T26:T28)</f>
        <v>0</v>
      </c>
      <c r="U29" s="13"/>
      <c r="V29" s="34">
        <f>IF(T$12=0,0,T29/T$12)</f>
        <v>0</v>
      </c>
      <c r="W29" s="15"/>
      <c r="X29" s="33">
        <f>+P29-T29</f>
        <v>0</v>
      </c>
      <c r="Y29" s="15"/>
      <c r="Z29" s="34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2"/>
      <c r="K30" s="17"/>
      <c r="L30" s="17"/>
      <c r="M30" s="17"/>
      <c r="P30" s="17"/>
      <c r="Q30" s="17"/>
      <c r="R30" s="42"/>
      <c r="S30" s="17"/>
      <c r="T30" s="17"/>
      <c r="U30" s="17"/>
      <c r="V30" s="42"/>
      <c r="W30" s="17"/>
      <c r="X30" s="17"/>
    </row>
    <row r="31" spans="1:26" x14ac:dyDescent="0.25">
      <c r="A31" s="9"/>
      <c r="B31" s="61">
        <v>43726.678656747688</v>
      </c>
      <c r="D31" s="17"/>
      <c r="E31" s="17"/>
      <c r="G31" s="17"/>
      <c r="H31" s="17"/>
      <c r="I31" s="17"/>
      <c r="J31" s="42"/>
      <c r="K31" s="17"/>
      <c r="L31" s="17"/>
      <c r="M31" s="17"/>
      <c r="P31" s="17"/>
      <c r="Q31" s="17"/>
      <c r="R31" s="42"/>
      <c r="S31" s="17"/>
      <c r="T31" s="17"/>
      <c r="U31" s="17"/>
      <c r="V31" s="42"/>
      <c r="W31" s="17"/>
      <c r="X31" s="17"/>
    </row>
    <row r="32" spans="1:26" x14ac:dyDescent="0.25">
      <c r="A32" s="9"/>
      <c r="B32" s="56" t="s">
        <v>314</v>
      </c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3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299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304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232127.31000000003</v>
      </c>
      <c r="E12" s="4"/>
      <c r="F12" s="12"/>
      <c r="G12" s="4"/>
      <c r="H12" s="4">
        <f>SUM(OSRRefH13x_0)</f>
        <v>230150.41581000001</v>
      </c>
      <c r="I12" s="4"/>
      <c r="J12" s="12"/>
      <c r="K12" s="4"/>
      <c r="L12" s="4">
        <f t="shared" ref="L12:L31" si="0">+D12-H12</f>
        <v>1976.8941900000209</v>
      </c>
      <c r="M12" s="4"/>
      <c r="N12" s="12">
        <f t="shared" ref="N12:N31" si="1">IF(H12=0,0,L12/H12)</f>
        <v>8.5895747050574092E-3</v>
      </c>
      <c r="O12" s="10"/>
      <c r="P12" s="4">
        <f>SUM(OSRRefP13x_0)</f>
        <v>232127.31000000003</v>
      </c>
      <c r="Q12" s="4"/>
      <c r="R12" s="12"/>
      <c r="S12" s="4"/>
      <c r="T12" s="4">
        <f>SUM(OSRRefT13x_0)</f>
        <v>230150.41581000001</v>
      </c>
      <c r="U12" s="4"/>
      <c r="V12" s="12"/>
      <c r="W12" s="4"/>
      <c r="X12" s="4">
        <f t="shared" ref="X12:X31" si="2">+P12-T12</f>
        <v>1976.8941900000209</v>
      </c>
      <c r="Y12" s="4"/>
      <c r="Z12" s="12">
        <f t="shared" ref="Z12:Z31" si="3">IF(T12=0,0,X12/T12)</f>
        <v>8.5895747050574092E-3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230150.41581000001</v>
      </c>
      <c r="I13" s="2"/>
      <c r="J13" s="22"/>
      <c r="K13" s="2"/>
      <c r="L13" s="2">
        <f t="shared" si="0"/>
        <v>-230150.41581000001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230150.41581000001</v>
      </c>
      <c r="U13" s="2"/>
      <c r="V13" s="22"/>
      <c r="W13" s="2"/>
      <c r="X13" s="2">
        <f t="shared" si="2"/>
        <v>-230150.41581000001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--38.56</f>
        <v>38.56</v>
      </c>
      <c r="E14" s="2"/>
      <c r="F14" s="22"/>
      <c r="G14" s="2"/>
      <c r="H14" s="2"/>
      <c r="I14" s="2"/>
      <c r="J14" s="22"/>
      <c r="K14" s="2"/>
      <c r="L14" s="2">
        <f t="shared" si="0"/>
        <v>38.56</v>
      </c>
      <c r="M14" s="2"/>
      <c r="N14" s="22">
        <f t="shared" si="1"/>
        <v>0</v>
      </c>
      <c r="O14" s="11"/>
      <c r="P14" s="2">
        <f>--38.56</f>
        <v>38.56</v>
      </c>
      <c r="Q14" s="2"/>
      <c r="R14" s="22"/>
      <c r="S14" s="2"/>
      <c r="T14" s="2"/>
      <c r="U14" s="2"/>
      <c r="V14" s="22"/>
      <c r="W14" s="2"/>
      <c r="X14" s="2">
        <f t="shared" si="2"/>
        <v>38.56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"4040", " - ", "TAXABLE SALES-LOGO CLOTHING")</f>
        <v xml:space="preserve">          4040 - TAXABLE SALES-LOGO CLOTHING</v>
      </c>
      <c r="C15" s="11"/>
      <c r="D15" s="2">
        <f>--170312.02</f>
        <v>170312.02</v>
      </c>
      <c r="E15" s="2"/>
      <c r="F15" s="22"/>
      <c r="G15" s="2"/>
      <c r="H15" s="2"/>
      <c r="I15" s="2"/>
      <c r="J15" s="22"/>
      <c r="K15" s="2"/>
      <c r="L15" s="2">
        <f t="shared" si="0"/>
        <v>170312.02</v>
      </c>
      <c r="M15" s="2"/>
      <c r="N15" s="22">
        <f t="shared" si="1"/>
        <v>0</v>
      </c>
      <c r="O15" s="11"/>
      <c r="P15" s="2">
        <f>--170312.02</f>
        <v>170312.02</v>
      </c>
      <c r="Q15" s="2"/>
      <c r="R15" s="22"/>
      <c r="S15" s="2"/>
      <c r="T15" s="2"/>
      <c r="U15" s="2"/>
      <c r="V15" s="22"/>
      <c r="W15" s="2"/>
      <c r="X15" s="2">
        <f t="shared" si="2"/>
        <v>170312.02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"4041", " - ", "TAXABLE SALES-LOGO GIFTS")</f>
        <v xml:space="preserve">          4041 - TAXABLE SALES-LOGO GIFTS</v>
      </c>
      <c r="C16" s="11"/>
      <c r="D16" s="2">
        <f>--30577.89</f>
        <v>30577.89</v>
      </c>
      <c r="E16" s="2"/>
      <c r="F16" s="22"/>
      <c r="G16" s="2"/>
      <c r="H16" s="2"/>
      <c r="I16" s="2"/>
      <c r="J16" s="22"/>
      <c r="K16" s="2"/>
      <c r="L16" s="2">
        <f t="shared" si="0"/>
        <v>30577.89</v>
      </c>
      <c r="M16" s="2"/>
      <c r="N16" s="22">
        <f t="shared" si="1"/>
        <v>0</v>
      </c>
      <c r="O16" s="11"/>
      <c r="P16" s="2">
        <f>--30577.89</f>
        <v>30577.89</v>
      </c>
      <c r="Q16" s="2"/>
      <c r="R16" s="22"/>
      <c r="S16" s="2"/>
      <c r="T16" s="2"/>
      <c r="U16" s="2"/>
      <c r="V16" s="22"/>
      <c r="W16" s="2"/>
      <c r="X16" s="2">
        <f t="shared" si="2"/>
        <v>30577.89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"4042", " - ", "TAXABLE SALES-EVERYDAY GIFTS")</f>
        <v xml:space="preserve">          4042 - TAXABLE SALES-EVERYDAY GIFTS</v>
      </c>
      <c r="C17" s="11"/>
      <c r="D17" s="2">
        <f>--11533.13</f>
        <v>11533.13</v>
      </c>
      <c r="E17" s="2"/>
      <c r="F17" s="22"/>
      <c r="G17" s="2"/>
      <c r="H17" s="2"/>
      <c r="I17" s="2"/>
      <c r="J17" s="22"/>
      <c r="K17" s="2"/>
      <c r="L17" s="2">
        <f t="shared" si="0"/>
        <v>11533.13</v>
      </c>
      <c r="M17" s="2"/>
      <c r="N17" s="22">
        <f t="shared" si="1"/>
        <v>0</v>
      </c>
      <c r="O17" s="11"/>
      <c r="P17" s="2">
        <f>--11533.13</f>
        <v>11533.13</v>
      </c>
      <c r="Q17" s="2"/>
      <c r="R17" s="22"/>
      <c r="S17" s="2"/>
      <c r="T17" s="2"/>
      <c r="U17" s="2"/>
      <c r="V17" s="22"/>
      <c r="W17" s="2"/>
      <c r="X17" s="2">
        <f t="shared" si="2"/>
        <v>11533.13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"4043", " - ", "TAXABLE SALES-CARDS")</f>
        <v xml:space="preserve">          4043 - TAXABLE SALES-CARDS</v>
      </c>
      <c r="C18" s="11"/>
      <c r="D18" s="2">
        <f>--40.85</f>
        <v>40.85</v>
      </c>
      <c r="E18" s="2"/>
      <c r="F18" s="22"/>
      <c r="G18" s="2"/>
      <c r="H18" s="2"/>
      <c r="I18" s="2"/>
      <c r="J18" s="22"/>
      <c r="K18" s="2"/>
      <c r="L18" s="2">
        <f t="shared" si="0"/>
        <v>40.85</v>
      </c>
      <c r="M18" s="2"/>
      <c r="N18" s="22">
        <f t="shared" si="1"/>
        <v>0</v>
      </c>
      <c r="O18" s="11"/>
      <c r="P18" s="2">
        <f>--40.85</f>
        <v>40.85</v>
      </c>
      <c r="Q18" s="2"/>
      <c r="R18" s="22"/>
      <c r="S18" s="2"/>
      <c r="T18" s="2"/>
      <c r="U18" s="2"/>
      <c r="V18" s="22"/>
      <c r="W18" s="2"/>
      <c r="X18" s="2">
        <f t="shared" si="2"/>
        <v>40.85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"4044", " - ", "TAXABLE SALES-ACCESSORIES")</f>
        <v xml:space="preserve">          4044 - TAXABLE SALES-ACCESSORIES</v>
      </c>
      <c r="C19" s="11"/>
      <c r="D19" s="2">
        <f>--2342.65</f>
        <v>2342.65</v>
      </c>
      <c r="E19" s="2"/>
      <c r="F19" s="22"/>
      <c r="G19" s="2"/>
      <c r="H19" s="2"/>
      <c r="I19" s="2"/>
      <c r="J19" s="22"/>
      <c r="K19" s="2"/>
      <c r="L19" s="2">
        <f t="shared" si="0"/>
        <v>2342.65</v>
      </c>
      <c r="M19" s="2"/>
      <c r="N19" s="22">
        <f t="shared" si="1"/>
        <v>0</v>
      </c>
      <c r="O19" s="11"/>
      <c r="P19" s="2">
        <f>--2342.65</f>
        <v>2342.65</v>
      </c>
      <c r="Q19" s="2"/>
      <c r="R19" s="22"/>
      <c r="S19" s="2"/>
      <c r="T19" s="2"/>
      <c r="U19" s="2"/>
      <c r="V19" s="22"/>
      <c r="W19" s="2"/>
      <c r="X19" s="2">
        <f t="shared" si="2"/>
        <v>2342.65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"4045", " - ", "TAXABLE SALES-SPECIAL ORDERS")</f>
        <v xml:space="preserve">          4045 - TAXABLE SALES-SPECIAL ORDERS</v>
      </c>
      <c r="C20" s="11"/>
      <c r="D20" s="2">
        <f>--19420.72</f>
        <v>19420.72</v>
      </c>
      <c r="E20" s="2"/>
      <c r="F20" s="22"/>
      <c r="G20" s="2"/>
      <c r="H20" s="2"/>
      <c r="I20" s="2"/>
      <c r="J20" s="22"/>
      <c r="K20" s="2"/>
      <c r="L20" s="2">
        <f t="shared" si="0"/>
        <v>19420.72</v>
      </c>
      <c r="M20" s="2"/>
      <c r="N20" s="22">
        <f t="shared" si="1"/>
        <v>0</v>
      </c>
      <c r="O20" s="11"/>
      <c r="P20" s="2">
        <f>--19420.72</f>
        <v>19420.72</v>
      </c>
      <c r="Q20" s="2"/>
      <c r="R20" s="22"/>
      <c r="S20" s="2"/>
      <c r="T20" s="2"/>
      <c r="U20" s="2"/>
      <c r="V20" s="22"/>
      <c r="W20" s="2"/>
      <c r="X20" s="2">
        <f t="shared" si="2"/>
        <v>19420.72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"4095", " - ", "TAXABLE SALES-CUSTOMER SERVICE")</f>
        <v xml:space="preserve">          4095 - TAXABLE SALES-CUSTOMER SERVICE</v>
      </c>
      <c r="C21" s="11"/>
      <c r="D21" s="2">
        <f>--10.89</f>
        <v>10.89</v>
      </c>
      <c r="E21" s="2"/>
      <c r="F21" s="22"/>
      <c r="G21" s="2"/>
      <c r="H21" s="2"/>
      <c r="I21" s="2"/>
      <c r="J21" s="22"/>
      <c r="K21" s="2"/>
      <c r="L21" s="2">
        <f t="shared" si="0"/>
        <v>10.89</v>
      </c>
      <c r="M21" s="2"/>
      <c r="N21" s="22">
        <f t="shared" si="1"/>
        <v>0</v>
      </c>
      <c r="O21" s="11"/>
      <c r="P21" s="2">
        <f>--10.89</f>
        <v>10.89</v>
      </c>
      <c r="Q21" s="2"/>
      <c r="R21" s="22"/>
      <c r="S21" s="2"/>
      <c r="T21" s="2"/>
      <c r="U21" s="2"/>
      <c r="V21" s="22"/>
      <c r="W21" s="2"/>
      <c r="X21" s="2">
        <f t="shared" si="2"/>
        <v>10.89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"4137", " - ", "NON-TAXABLE SALES-WATER")</f>
        <v xml:space="preserve">          4137 - NON-TAXABLE SALES-WATER</v>
      </c>
      <c r="C22" s="11"/>
      <c r="D22" s="2">
        <f>--22.5</f>
        <v>22.5</v>
      </c>
      <c r="E22" s="2"/>
      <c r="F22" s="22"/>
      <c r="G22" s="2"/>
      <c r="H22" s="2"/>
      <c r="I22" s="2"/>
      <c r="J22" s="22"/>
      <c r="K22" s="2"/>
      <c r="L22" s="2">
        <f t="shared" si="0"/>
        <v>22.5</v>
      </c>
      <c r="M22" s="2"/>
      <c r="N22" s="22">
        <f t="shared" si="1"/>
        <v>0</v>
      </c>
      <c r="O22" s="11"/>
      <c r="P22" s="2">
        <f>--22.5</f>
        <v>22.5</v>
      </c>
      <c r="Q22" s="2"/>
      <c r="R22" s="22"/>
      <c r="S22" s="2"/>
      <c r="T22" s="2"/>
      <c r="U22" s="2"/>
      <c r="V22" s="22"/>
      <c r="W22" s="2"/>
      <c r="X22" s="2">
        <f t="shared" si="2"/>
        <v>22.5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"4140", " - ", "NON-TAXABLE SALES-LOGO CLOTHIN")</f>
        <v xml:space="preserve">          4140 - NON-TAXABLE SALES-LOGO CLOTHIN</v>
      </c>
      <c r="C23" s="11"/>
      <c r="D23" s="2">
        <f>--3163.67</f>
        <v>3163.67</v>
      </c>
      <c r="E23" s="2"/>
      <c r="F23" s="22"/>
      <c r="G23" s="2"/>
      <c r="H23" s="2"/>
      <c r="I23" s="2"/>
      <c r="J23" s="22"/>
      <c r="K23" s="2"/>
      <c r="L23" s="2">
        <f t="shared" si="0"/>
        <v>3163.67</v>
      </c>
      <c r="M23" s="2"/>
      <c r="N23" s="22">
        <f t="shared" si="1"/>
        <v>0</v>
      </c>
      <c r="O23" s="11"/>
      <c r="P23" s="2">
        <f>--3163.67</f>
        <v>3163.67</v>
      </c>
      <c r="Q23" s="2"/>
      <c r="R23" s="22"/>
      <c r="S23" s="2"/>
      <c r="T23" s="2"/>
      <c r="U23" s="2"/>
      <c r="V23" s="22"/>
      <c r="W23" s="2"/>
      <c r="X23" s="2">
        <f t="shared" si="2"/>
        <v>3163.67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"4141", " - ", "NON-TAXABLE SALES-LOGO GIFTS")</f>
        <v xml:space="preserve">          4141 - NON-TAXABLE SALES-LOGO GIFTS</v>
      </c>
      <c r="C24" s="11"/>
      <c r="D24" s="2">
        <f>--254.2</f>
        <v>254.2</v>
      </c>
      <c r="E24" s="2"/>
      <c r="F24" s="22"/>
      <c r="G24" s="2"/>
      <c r="H24" s="2"/>
      <c r="I24" s="2"/>
      <c r="J24" s="22"/>
      <c r="K24" s="2"/>
      <c r="L24" s="2">
        <f t="shared" si="0"/>
        <v>254.2</v>
      </c>
      <c r="M24" s="2"/>
      <c r="N24" s="22">
        <f t="shared" si="1"/>
        <v>0</v>
      </c>
      <c r="O24" s="11"/>
      <c r="P24" s="2">
        <f>--254.2</f>
        <v>254.2</v>
      </c>
      <c r="Q24" s="2"/>
      <c r="R24" s="22"/>
      <c r="S24" s="2"/>
      <c r="T24" s="2"/>
      <c r="U24" s="2"/>
      <c r="V24" s="22"/>
      <c r="W24" s="2"/>
      <c r="X24" s="2">
        <f t="shared" si="2"/>
        <v>254.2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"4142", " - ", "NON-TAXABLE SALES-EVERYDAY GIF")</f>
        <v xml:space="preserve">          4142 - NON-TAXABLE SALES-EVERYDAY GIF</v>
      </c>
      <c r="C25" s="11"/>
      <c r="D25" s="2">
        <f>--231.44</f>
        <v>231.44</v>
      </c>
      <c r="E25" s="2"/>
      <c r="F25" s="22"/>
      <c r="G25" s="2"/>
      <c r="H25" s="2"/>
      <c r="I25" s="2"/>
      <c r="J25" s="22"/>
      <c r="K25" s="2"/>
      <c r="L25" s="2">
        <f t="shared" si="0"/>
        <v>231.44</v>
      </c>
      <c r="M25" s="2"/>
      <c r="N25" s="22">
        <f t="shared" si="1"/>
        <v>0</v>
      </c>
      <c r="O25" s="11"/>
      <c r="P25" s="2">
        <f>--231.44</f>
        <v>231.44</v>
      </c>
      <c r="Q25" s="2"/>
      <c r="R25" s="22"/>
      <c r="S25" s="2"/>
      <c r="T25" s="2"/>
      <c r="U25" s="2"/>
      <c r="V25" s="22"/>
      <c r="W25" s="2"/>
      <c r="X25" s="2">
        <f t="shared" si="2"/>
        <v>231.44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"4144", " - ", "NON-TAXABLE SALES-ACCESSORIES")</f>
        <v xml:space="preserve">          4144 - NON-TAXABLE SALES-ACCESSORIES</v>
      </c>
      <c r="C26" s="11"/>
      <c r="D26" s="2">
        <f>--21.9</f>
        <v>21.9</v>
      </c>
      <c r="E26" s="2"/>
      <c r="F26" s="22"/>
      <c r="G26" s="2"/>
      <c r="H26" s="2"/>
      <c r="I26" s="2"/>
      <c r="J26" s="22"/>
      <c r="K26" s="2"/>
      <c r="L26" s="2">
        <f t="shared" si="0"/>
        <v>21.9</v>
      </c>
      <c r="M26" s="2"/>
      <c r="N26" s="22">
        <f t="shared" si="1"/>
        <v>0</v>
      </c>
      <c r="O26" s="11"/>
      <c r="P26" s="2">
        <f>--21.9</f>
        <v>21.9</v>
      </c>
      <c r="Q26" s="2"/>
      <c r="R26" s="22"/>
      <c r="S26" s="2"/>
      <c r="T26" s="2"/>
      <c r="U26" s="2"/>
      <c r="V26" s="22"/>
      <c r="W26" s="2"/>
      <c r="X26" s="2">
        <f t="shared" si="2"/>
        <v>21.9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"4240", " - ", "SALES RETURN TAXABLE-LOGO CLOT")</f>
        <v xml:space="preserve">          4240 - SALES RETURN TAXABLE-LOGO CLOT</v>
      </c>
      <c r="C27" s="11"/>
      <c r="D27" s="2">
        <f>-4446.84</f>
        <v>-4446.84</v>
      </c>
      <c r="E27" s="2"/>
      <c r="F27" s="22"/>
      <c r="G27" s="2"/>
      <c r="H27" s="2"/>
      <c r="I27" s="2"/>
      <c r="J27" s="22"/>
      <c r="K27" s="2"/>
      <c r="L27" s="2">
        <f t="shared" si="0"/>
        <v>-4446.84</v>
      </c>
      <c r="M27" s="2"/>
      <c r="N27" s="22">
        <f t="shared" si="1"/>
        <v>0</v>
      </c>
      <c r="O27" s="11"/>
      <c r="P27" s="2">
        <f>-4446.84</f>
        <v>-4446.84</v>
      </c>
      <c r="Q27" s="2"/>
      <c r="R27" s="22"/>
      <c r="S27" s="2"/>
      <c r="T27" s="2"/>
      <c r="U27" s="2"/>
      <c r="V27" s="22"/>
      <c r="W27" s="2"/>
      <c r="X27" s="2">
        <f t="shared" si="2"/>
        <v>-4446.84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"4241", " - ", "SALES RETURN TAXABLE-LOGO GIFT")</f>
        <v xml:space="preserve">          4241 - SALES RETURN TAXABLE-LOGO GIFT</v>
      </c>
      <c r="C28" s="11"/>
      <c r="D28" s="2">
        <f>-708.15</f>
        <v>-708.15</v>
      </c>
      <c r="E28" s="2"/>
      <c r="F28" s="22"/>
      <c r="G28" s="2"/>
      <c r="H28" s="2"/>
      <c r="I28" s="2"/>
      <c r="J28" s="22"/>
      <c r="K28" s="2"/>
      <c r="L28" s="2">
        <f t="shared" si="0"/>
        <v>-708.15</v>
      </c>
      <c r="M28" s="2"/>
      <c r="N28" s="22">
        <f t="shared" si="1"/>
        <v>0</v>
      </c>
      <c r="O28" s="11"/>
      <c r="P28" s="2">
        <f>-708.15</f>
        <v>-708.15</v>
      </c>
      <c r="Q28" s="2"/>
      <c r="R28" s="22"/>
      <c r="S28" s="2"/>
      <c r="T28" s="2"/>
      <c r="U28" s="2"/>
      <c r="V28" s="22"/>
      <c r="W28" s="2"/>
      <c r="X28" s="2">
        <f t="shared" si="2"/>
        <v>-708.15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"4242", " - ", "SALES RETURN TAXABLE-EVERYDAY")</f>
        <v xml:space="preserve">          4242 - SALES RETURN TAXABLE-EVERYDAY</v>
      </c>
      <c r="C29" s="11"/>
      <c r="D29" s="2">
        <f>-357.78</f>
        <v>-357.78</v>
      </c>
      <c r="E29" s="2"/>
      <c r="F29" s="22"/>
      <c r="G29" s="2"/>
      <c r="H29" s="2"/>
      <c r="I29" s="2"/>
      <c r="J29" s="22"/>
      <c r="K29" s="2"/>
      <c r="L29" s="2">
        <f t="shared" si="0"/>
        <v>-357.78</v>
      </c>
      <c r="M29" s="2"/>
      <c r="N29" s="22">
        <f t="shared" si="1"/>
        <v>0</v>
      </c>
      <c r="O29" s="11"/>
      <c r="P29" s="2">
        <f>-357.78</f>
        <v>-357.78</v>
      </c>
      <c r="Q29" s="2"/>
      <c r="R29" s="22"/>
      <c r="S29" s="2"/>
      <c r="T29" s="2"/>
      <c r="U29" s="2"/>
      <c r="V29" s="22"/>
      <c r="W29" s="2"/>
      <c r="X29" s="2">
        <f t="shared" si="2"/>
        <v>-357.78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"4244", " - ", "SALES RETURN TAXABLE-ACCESSORI")</f>
        <v xml:space="preserve">          4244 - SALES RETURN TAXABLE-ACCESSORI</v>
      </c>
      <c r="C30" s="11"/>
      <c r="D30" s="2">
        <f>-106.79</f>
        <v>-106.79</v>
      </c>
      <c r="E30" s="2"/>
      <c r="F30" s="22"/>
      <c r="G30" s="2"/>
      <c r="H30" s="2"/>
      <c r="I30" s="2"/>
      <c r="J30" s="22"/>
      <c r="K30" s="2"/>
      <c r="L30" s="2">
        <f t="shared" si="0"/>
        <v>-106.79</v>
      </c>
      <c r="M30" s="2"/>
      <c r="N30" s="22">
        <f t="shared" si="1"/>
        <v>0</v>
      </c>
      <c r="O30" s="11"/>
      <c r="P30" s="2">
        <f>-106.79</f>
        <v>-106.79</v>
      </c>
      <c r="Q30" s="2"/>
      <c r="R30" s="22"/>
      <c r="S30" s="2"/>
      <c r="T30" s="2"/>
      <c r="U30" s="2"/>
      <c r="V30" s="22"/>
      <c r="W30" s="2"/>
      <c r="X30" s="2">
        <f t="shared" si="2"/>
        <v>-106.79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"4340", " - ", "SALES RETURN NON TAXABLE-LOGO")</f>
        <v xml:space="preserve">          4340 - SALES RETURN NON TAXABLE-LOGO</v>
      </c>
      <c r="C31" s="11"/>
      <c r="D31" s="2">
        <f>-223.55</f>
        <v>-223.55</v>
      </c>
      <c r="E31" s="2"/>
      <c r="F31" s="22"/>
      <c r="G31" s="2"/>
      <c r="H31" s="2"/>
      <c r="I31" s="2"/>
      <c r="J31" s="22"/>
      <c r="K31" s="2"/>
      <c r="L31" s="2">
        <f t="shared" si="0"/>
        <v>-223.55</v>
      </c>
      <c r="M31" s="2"/>
      <c r="N31" s="22">
        <f t="shared" si="1"/>
        <v>0</v>
      </c>
      <c r="O31" s="11"/>
      <c r="P31" s="2">
        <f>-223.55</f>
        <v>-223.55</v>
      </c>
      <c r="Q31" s="2"/>
      <c r="R31" s="22"/>
      <c r="S31" s="2"/>
      <c r="T31" s="2"/>
      <c r="U31" s="2"/>
      <c r="V31" s="22"/>
      <c r="W31" s="2"/>
      <c r="X31" s="2">
        <f t="shared" si="2"/>
        <v>-223.55</v>
      </c>
      <c r="Y31" s="2"/>
      <c r="Z31" s="22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5" t="s">
        <v>8</v>
      </c>
      <c r="C33" s="10"/>
      <c r="D33" s="4">
        <f>SUM(OSRRefD16x_0)</f>
        <v>107373.34000000001</v>
      </c>
      <c r="E33" s="4"/>
      <c r="F33" s="12">
        <f t="shared" ref="F33:F51" si="4">IF(D$12=0,0,D33/D$12)</f>
        <v>0.46256228963321894</v>
      </c>
      <c r="G33" s="4"/>
      <c r="H33" s="4">
        <f>SUM(OSRRefH16x_0)</f>
        <v>108385.21432</v>
      </c>
      <c r="I33" s="4"/>
      <c r="J33" s="12">
        <f t="shared" ref="J33:J51" si="5">IF(H$12=0,0,H33/H$12)</f>
        <v>0.47093208125888025</v>
      </c>
      <c r="K33" s="4"/>
      <c r="L33" s="4">
        <f t="shared" ref="L33:L51" si="6">+D33-H33</f>
        <v>-1011.8743199999881</v>
      </c>
      <c r="M33" s="4"/>
      <c r="N33" s="12">
        <f t="shared" ref="N33:N51" si="7">IF(H33=0,0,L33/H33)</f>
        <v>-9.3359073592132018E-3</v>
      </c>
      <c r="O33" s="10"/>
      <c r="P33" s="4">
        <f>SUM(OSRRefP16x_0)</f>
        <v>107373.34000000001</v>
      </c>
      <c r="Q33" s="4"/>
      <c r="R33" s="12">
        <f t="shared" ref="R33:R51" si="8">IF(P$12=0,0,P33/P$12)</f>
        <v>0.46256228963321894</v>
      </c>
      <c r="S33" s="4"/>
      <c r="T33" s="4">
        <f>SUM(OSRRefT16x_0)</f>
        <v>108385.21432</v>
      </c>
      <c r="U33" s="4"/>
      <c r="V33" s="12">
        <f t="shared" ref="V33:V51" si="9">IF(T$12=0,0,T33/T$12)</f>
        <v>0.47093208125888025</v>
      </c>
      <c r="W33" s="4"/>
      <c r="X33" s="4">
        <f t="shared" ref="X33:X51" si="10">+P33-T33</f>
        <v>-1011.8743199999881</v>
      </c>
      <c r="Y33" s="4"/>
      <c r="Z33" s="12">
        <f t="shared" ref="Z33:Z51" si="11">IF(T33=0,0,X33/T33)</f>
        <v>-9.3359073592132018E-3</v>
      </c>
    </row>
    <row r="34" spans="1:26" s="24" customFormat="1" hidden="1" outlineLevel="1" x14ac:dyDescent="0.25">
      <c r="A34" s="51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22">
        <f t="shared" si="4"/>
        <v>0</v>
      </c>
      <c r="G34" s="2"/>
      <c r="H34" s="2">
        <v>108385.21432</v>
      </c>
      <c r="I34" s="2"/>
      <c r="J34" s="22">
        <f t="shared" si="5"/>
        <v>0.47093208125888025</v>
      </c>
      <c r="K34" s="2"/>
      <c r="L34" s="2">
        <f t="shared" si="6"/>
        <v>-108385.21432</v>
      </c>
      <c r="M34" s="2"/>
      <c r="N34" s="22">
        <f t="shared" si="7"/>
        <v>-1</v>
      </c>
      <c r="O34" s="11"/>
      <c r="P34" s="2"/>
      <c r="Q34" s="2"/>
      <c r="R34" s="22">
        <f t="shared" si="8"/>
        <v>0</v>
      </c>
      <c r="S34" s="2"/>
      <c r="T34" s="2">
        <v>108385.21432</v>
      </c>
      <c r="U34" s="2"/>
      <c r="V34" s="22">
        <f t="shared" si="9"/>
        <v>0.47093208125888025</v>
      </c>
      <c r="W34" s="2"/>
      <c r="X34" s="2">
        <f t="shared" si="10"/>
        <v>-108385.21432</v>
      </c>
      <c r="Y34" s="2"/>
      <c r="Z34" s="22">
        <f t="shared" si="11"/>
        <v>-1</v>
      </c>
    </row>
    <row r="35" spans="1:26" s="24" customFormat="1" hidden="1" outlineLevel="1" x14ac:dyDescent="0.25">
      <c r="A35" s="51"/>
      <c r="B35" s="11" t="str">
        <f>CONCATENATE("          ", "5026", " - ", "PURCHASES @ COST-WRITING INSTR")</f>
        <v xml:space="preserve">          5026 - PURCHASES @ COST-WRITING INSTR</v>
      </c>
      <c r="C35" s="11"/>
      <c r="D35" s="2">
        <v>-74.72</v>
      </c>
      <c r="E35" s="2"/>
      <c r="F35" s="22">
        <f t="shared" si="4"/>
        <v>-3.2189232710274371E-4</v>
      </c>
      <c r="G35" s="2"/>
      <c r="H35" s="2"/>
      <c r="I35" s="2"/>
      <c r="J35" s="22">
        <f t="shared" si="5"/>
        <v>0</v>
      </c>
      <c r="K35" s="2"/>
      <c r="L35" s="2">
        <f t="shared" si="6"/>
        <v>-74.72</v>
      </c>
      <c r="M35" s="2"/>
      <c r="N35" s="22">
        <f t="shared" si="7"/>
        <v>0</v>
      </c>
      <c r="O35" s="11"/>
      <c r="P35" s="2">
        <v>-74.72</v>
      </c>
      <c r="Q35" s="2"/>
      <c r="R35" s="22">
        <f t="shared" si="8"/>
        <v>-3.2189232710274371E-4</v>
      </c>
      <c r="S35" s="2"/>
      <c r="T35" s="2"/>
      <c r="U35" s="2"/>
      <c r="V35" s="22">
        <f t="shared" si="9"/>
        <v>0</v>
      </c>
      <c r="W35" s="2"/>
      <c r="X35" s="2">
        <f t="shared" si="10"/>
        <v>-74.72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"5027", " - ", "PURCHASES @ COST-SCHOOL SUPPLI")</f>
        <v xml:space="preserve">          5027 - PURCHASES @ COST-SCHOOL SUPPLI</v>
      </c>
      <c r="C36" s="11"/>
      <c r="D36" s="2">
        <v>1.32</v>
      </c>
      <c r="E36" s="2"/>
      <c r="F36" s="22">
        <f t="shared" si="4"/>
        <v>5.6865346865045736E-6</v>
      </c>
      <c r="G36" s="2"/>
      <c r="H36" s="2"/>
      <c r="I36" s="2"/>
      <c r="J36" s="22">
        <f t="shared" si="5"/>
        <v>0</v>
      </c>
      <c r="K36" s="2"/>
      <c r="L36" s="2">
        <f t="shared" si="6"/>
        <v>1.32</v>
      </c>
      <c r="M36" s="2"/>
      <c r="N36" s="22">
        <f t="shared" si="7"/>
        <v>0</v>
      </c>
      <c r="O36" s="11"/>
      <c r="P36" s="2">
        <v>1.32</v>
      </c>
      <c r="Q36" s="2"/>
      <c r="R36" s="22">
        <f t="shared" si="8"/>
        <v>5.6865346865045736E-6</v>
      </c>
      <c r="S36" s="2"/>
      <c r="T36" s="2"/>
      <c r="U36" s="2"/>
      <c r="V36" s="22">
        <f t="shared" si="9"/>
        <v>0</v>
      </c>
      <c r="W36" s="2"/>
      <c r="X36" s="2">
        <f t="shared" si="10"/>
        <v>1.32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"5037", " - ", "PURCHASES @ COST-WATER")</f>
        <v xml:space="preserve">          5037 - PURCHASES @ COST-WATER</v>
      </c>
      <c r="C37" s="11"/>
      <c r="D37" s="2">
        <v>17.04</v>
      </c>
      <c r="E37" s="2"/>
      <c r="F37" s="22">
        <f t="shared" si="4"/>
        <v>7.3407993225786309E-5</v>
      </c>
      <c r="G37" s="2"/>
      <c r="H37" s="2"/>
      <c r="I37" s="2"/>
      <c r="J37" s="22">
        <f t="shared" si="5"/>
        <v>0</v>
      </c>
      <c r="K37" s="2"/>
      <c r="L37" s="2">
        <f t="shared" si="6"/>
        <v>17.04</v>
      </c>
      <c r="M37" s="2"/>
      <c r="N37" s="22">
        <f t="shared" si="7"/>
        <v>0</v>
      </c>
      <c r="O37" s="11"/>
      <c r="P37" s="2">
        <v>17.04</v>
      </c>
      <c r="Q37" s="2"/>
      <c r="R37" s="22">
        <f t="shared" si="8"/>
        <v>7.3407993225786309E-5</v>
      </c>
      <c r="S37" s="2"/>
      <c r="T37" s="2"/>
      <c r="U37" s="2"/>
      <c r="V37" s="22">
        <f t="shared" si="9"/>
        <v>0</v>
      </c>
      <c r="W37" s="2"/>
      <c r="X37" s="2">
        <f t="shared" si="10"/>
        <v>17.04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"5040", " - ", "PURCHASES @ COST-LOGO CLOTHING")</f>
        <v xml:space="preserve">          5040 - PURCHASES @ COST-LOGO CLOTHING</v>
      </c>
      <c r="C38" s="11"/>
      <c r="D38" s="2">
        <v>78921.570000000007</v>
      </c>
      <c r="E38" s="2"/>
      <c r="F38" s="22">
        <f t="shared" si="4"/>
        <v>0.339992610089696</v>
      </c>
      <c r="G38" s="2"/>
      <c r="H38" s="2"/>
      <c r="I38" s="2"/>
      <c r="J38" s="22">
        <f t="shared" si="5"/>
        <v>0</v>
      </c>
      <c r="K38" s="2"/>
      <c r="L38" s="2">
        <f t="shared" si="6"/>
        <v>78921.570000000007</v>
      </c>
      <c r="M38" s="2"/>
      <c r="N38" s="22">
        <f t="shared" si="7"/>
        <v>0</v>
      </c>
      <c r="O38" s="11"/>
      <c r="P38" s="2">
        <v>78921.570000000007</v>
      </c>
      <c r="Q38" s="2"/>
      <c r="R38" s="22">
        <f t="shared" si="8"/>
        <v>0.339992610089696</v>
      </c>
      <c r="S38" s="2"/>
      <c r="T38" s="2"/>
      <c r="U38" s="2"/>
      <c r="V38" s="22">
        <f t="shared" si="9"/>
        <v>0</v>
      </c>
      <c r="W38" s="2"/>
      <c r="X38" s="2">
        <f t="shared" si="10"/>
        <v>78921.570000000007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"5041", " - ", "PURCHASES @ COST-LOGO GIFTS")</f>
        <v xml:space="preserve">          5041 - PURCHASES @ COST-LOGO GIFTS</v>
      </c>
      <c r="C39" s="11"/>
      <c r="D39" s="2">
        <v>11950.27</v>
      </c>
      <c r="E39" s="2"/>
      <c r="F39" s="22">
        <f t="shared" si="4"/>
        <v>5.1481533990981064E-2</v>
      </c>
      <c r="G39" s="2"/>
      <c r="H39" s="2"/>
      <c r="I39" s="2"/>
      <c r="J39" s="22">
        <f t="shared" si="5"/>
        <v>0</v>
      </c>
      <c r="K39" s="2"/>
      <c r="L39" s="2">
        <f t="shared" si="6"/>
        <v>11950.27</v>
      </c>
      <c r="M39" s="2"/>
      <c r="N39" s="22">
        <f t="shared" si="7"/>
        <v>0</v>
      </c>
      <c r="O39" s="11"/>
      <c r="P39" s="2">
        <v>11950.27</v>
      </c>
      <c r="Q39" s="2"/>
      <c r="R39" s="22">
        <f t="shared" si="8"/>
        <v>5.1481533990981064E-2</v>
      </c>
      <c r="S39" s="2"/>
      <c r="T39" s="2"/>
      <c r="U39" s="2"/>
      <c r="V39" s="22">
        <f t="shared" si="9"/>
        <v>0</v>
      </c>
      <c r="W39" s="2"/>
      <c r="X39" s="2">
        <f t="shared" si="10"/>
        <v>11950.27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"5042", " - ", "PURCHASES @ COST-EVERYDAY GIFT")</f>
        <v xml:space="preserve">          5042 - PURCHASES @ COST-EVERYDAY GIFT</v>
      </c>
      <c r="C40" s="11"/>
      <c r="D40" s="2">
        <v>7752.36</v>
      </c>
      <c r="E40" s="2"/>
      <c r="F40" s="22">
        <f t="shared" si="4"/>
        <v>3.3397018213841355E-2</v>
      </c>
      <c r="G40" s="2"/>
      <c r="H40" s="2"/>
      <c r="I40" s="2"/>
      <c r="J40" s="22">
        <f t="shared" si="5"/>
        <v>0</v>
      </c>
      <c r="K40" s="2"/>
      <c r="L40" s="2">
        <f t="shared" si="6"/>
        <v>7752.36</v>
      </c>
      <c r="M40" s="2"/>
      <c r="N40" s="22">
        <f t="shared" si="7"/>
        <v>0</v>
      </c>
      <c r="O40" s="11"/>
      <c r="P40" s="2">
        <v>7752.36</v>
      </c>
      <c r="Q40" s="2"/>
      <c r="R40" s="22">
        <f t="shared" si="8"/>
        <v>3.3397018213841355E-2</v>
      </c>
      <c r="S40" s="2"/>
      <c r="T40" s="2"/>
      <c r="U40" s="2"/>
      <c r="V40" s="22">
        <f t="shared" si="9"/>
        <v>0</v>
      </c>
      <c r="W40" s="2"/>
      <c r="X40" s="2">
        <f t="shared" si="10"/>
        <v>7752.36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"5043", " - ", "PURCHASES @ COST-CARDS")</f>
        <v xml:space="preserve">          5043 - PURCHASES @ COST-CARDS</v>
      </c>
      <c r="C41" s="11"/>
      <c r="D41" s="2">
        <v>498.26</v>
      </c>
      <c r="E41" s="2"/>
      <c r="F41" s="22">
        <f t="shared" si="4"/>
        <v>2.1464945249225517E-3</v>
      </c>
      <c r="G41" s="2"/>
      <c r="H41" s="2"/>
      <c r="I41" s="2"/>
      <c r="J41" s="22">
        <f t="shared" si="5"/>
        <v>0</v>
      </c>
      <c r="K41" s="2"/>
      <c r="L41" s="2">
        <f t="shared" si="6"/>
        <v>498.26</v>
      </c>
      <c r="M41" s="2"/>
      <c r="N41" s="22">
        <f t="shared" si="7"/>
        <v>0</v>
      </c>
      <c r="O41" s="11"/>
      <c r="P41" s="2">
        <v>498.26</v>
      </c>
      <c r="Q41" s="2"/>
      <c r="R41" s="22">
        <f t="shared" si="8"/>
        <v>2.1464945249225517E-3</v>
      </c>
      <c r="S41" s="2"/>
      <c r="T41" s="2"/>
      <c r="U41" s="2"/>
      <c r="V41" s="22">
        <f t="shared" si="9"/>
        <v>0</v>
      </c>
      <c r="W41" s="2"/>
      <c r="X41" s="2">
        <f t="shared" si="10"/>
        <v>498.26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"5044", " - ", "PURCHASES @ COST-ACCESSORIES")</f>
        <v xml:space="preserve">          5044 - PURCHASES @ COST-ACCESSORIES</v>
      </c>
      <c r="C42" s="11"/>
      <c r="D42" s="2">
        <v>4839</v>
      </c>
      <c r="E42" s="2"/>
      <c r="F42" s="22">
        <f t="shared" si="4"/>
        <v>2.0846319203026993E-2</v>
      </c>
      <c r="G42" s="2"/>
      <c r="H42" s="2"/>
      <c r="I42" s="2"/>
      <c r="J42" s="22">
        <f t="shared" si="5"/>
        <v>0</v>
      </c>
      <c r="K42" s="2"/>
      <c r="L42" s="2">
        <f t="shared" si="6"/>
        <v>4839</v>
      </c>
      <c r="M42" s="2"/>
      <c r="N42" s="22">
        <f t="shared" si="7"/>
        <v>0</v>
      </c>
      <c r="O42" s="11"/>
      <c r="P42" s="2">
        <v>4839</v>
      </c>
      <c r="Q42" s="2"/>
      <c r="R42" s="22">
        <f t="shared" si="8"/>
        <v>2.0846319203026993E-2</v>
      </c>
      <c r="S42" s="2"/>
      <c r="T42" s="2"/>
      <c r="U42" s="2"/>
      <c r="V42" s="22">
        <f t="shared" si="9"/>
        <v>0</v>
      </c>
      <c r="W42" s="2"/>
      <c r="X42" s="2">
        <f t="shared" si="10"/>
        <v>4839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"5045", " - ", "PURCHASES @ COST-SPECIAL ORDER")</f>
        <v xml:space="preserve">          5045 - PURCHASES @ COST-SPECIAL ORDER</v>
      </c>
      <c r="C43" s="11"/>
      <c r="D43" s="2">
        <v>15992.849999999999</v>
      </c>
      <c r="E43" s="2"/>
      <c r="F43" s="22">
        <f t="shared" si="4"/>
        <v>6.8896891106867156E-2</v>
      </c>
      <c r="G43" s="2"/>
      <c r="H43" s="2"/>
      <c r="I43" s="2"/>
      <c r="J43" s="22">
        <f t="shared" si="5"/>
        <v>0</v>
      </c>
      <c r="K43" s="2"/>
      <c r="L43" s="2">
        <f t="shared" si="6"/>
        <v>15992.849999999999</v>
      </c>
      <c r="M43" s="2"/>
      <c r="N43" s="22">
        <f t="shared" si="7"/>
        <v>0</v>
      </c>
      <c r="O43" s="11"/>
      <c r="P43" s="2">
        <v>15992.849999999999</v>
      </c>
      <c r="Q43" s="2"/>
      <c r="R43" s="22">
        <f t="shared" si="8"/>
        <v>6.8896891106867156E-2</v>
      </c>
      <c r="S43" s="2"/>
      <c r="T43" s="2"/>
      <c r="U43" s="2"/>
      <c r="V43" s="22">
        <f t="shared" si="9"/>
        <v>0</v>
      </c>
      <c r="W43" s="2"/>
      <c r="X43" s="2">
        <f t="shared" si="10"/>
        <v>15992.849999999999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"5095", " - ", "PURCHASES @ COST-CUSTOMER SERV")</f>
        <v xml:space="preserve">          5095 - PURCHASES @ COST-CUSTOMER SERV</v>
      </c>
      <c r="C44" s="11"/>
      <c r="D44" s="2">
        <v>-11.85</v>
      </c>
      <c r="E44" s="2"/>
      <c r="F44" s="22">
        <f t="shared" si="4"/>
        <v>-5.1049572753847868E-5</v>
      </c>
      <c r="G44" s="2"/>
      <c r="H44" s="2"/>
      <c r="I44" s="2"/>
      <c r="J44" s="22">
        <f t="shared" si="5"/>
        <v>0</v>
      </c>
      <c r="K44" s="2"/>
      <c r="L44" s="2">
        <f t="shared" si="6"/>
        <v>-11.85</v>
      </c>
      <c r="M44" s="2"/>
      <c r="N44" s="22">
        <f t="shared" si="7"/>
        <v>0</v>
      </c>
      <c r="O44" s="11"/>
      <c r="P44" s="2">
        <v>-11.85</v>
      </c>
      <c r="Q44" s="2"/>
      <c r="R44" s="22">
        <f t="shared" si="8"/>
        <v>-5.1049572753847868E-5</v>
      </c>
      <c r="S44" s="2"/>
      <c r="T44" s="2"/>
      <c r="U44" s="2"/>
      <c r="V44" s="22">
        <f t="shared" si="9"/>
        <v>0</v>
      </c>
      <c r="W44" s="2"/>
      <c r="X44" s="2">
        <f t="shared" si="10"/>
        <v>-11.85</v>
      </c>
      <c r="Y44" s="2"/>
      <c r="Z44" s="22">
        <f t="shared" si="11"/>
        <v>0</v>
      </c>
    </row>
    <row r="45" spans="1:26" s="24" customFormat="1" hidden="1" outlineLevel="1" x14ac:dyDescent="0.25">
      <c r="A45" s="51"/>
      <c r="B45" s="11" t="str">
        <f>CONCATENATE("          ", "5200", " - ", "PURCHASES OFFSET")</f>
        <v xml:space="preserve">          5200 - PURCHASES OFFSET</v>
      </c>
      <c r="C45" s="11"/>
      <c r="D45" s="2">
        <v>-120869</v>
      </c>
      <c r="E45" s="2"/>
      <c r="F45" s="22">
        <f t="shared" si="4"/>
        <v>-0.52070133410842523</v>
      </c>
      <c r="G45" s="2"/>
      <c r="H45" s="2"/>
      <c r="I45" s="2"/>
      <c r="J45" s="22">
        <f t="shared" si="5"/>
        <v>0</v>
      </c>
      <c r="K45" s="2"/>
      <c r="L45" s="2">
        <f t="shared" si="6"/>
        <v>-120869</v>
      </c>
      <c r="M45" s="2"/>
      <c r="N45" s="22">
        <f t="shared" si="7"/>
        <v>0</v>
      </c>
      <c r="O45" s="11"/>
      <c r="P45" s="2">
        <v>-120869</v>
      </c>
      <c r="Q45" s="2"/>
      <c r="R45" s="22">
        <f t="shared" si="8"/>
        <v>-0.52070133410842523</v>
      </c>
      <c r="S45" s="2"/>
      <c r="T45" s="2"/>
      <c r="U45" s="2"/>
      <c r="V45" s="22">
        <f t="shared" si="9"/>
        <v>0</v>
      </c>
      <c r="W45" s="2"/>
      <c r="X45" s="2">
        <f t="shared" si="10"/>
        <v>-120869</v>
      </c>
      <c r="Y45" s="2"/>
      <c r="Z45" s="22">
        <f t="shared" si="11"/>
        <v>0</v>
      </c>
    </row>
    <row r="46" spans="1:26" s="24" customFormat="1" hidden="1" outlineLevel="1" x14ac:dyDescent="0.25">
      <c r="A46" s="51"/>
      <c r="B46" s="11" t="str">
        <f>CONCATENATE("          ", "5300", " - ", "COG$ OFFSET")</f>
        <v xml:space="preserve">          5300 - COG$ OFFSET</v>
      </c>
      <c r="C46" s="11"/>
      <c r="D46" s="2">
        <v>107373</v>
      </c>
      <c r="E46" s="2"/>
      <c r="F46" s="22">
        <f t="shared" si="4"/>
        <v>0.46256082491973904</v>
      </c>
      <c r="G46" s="2"/>
      <c r="H46" s="2"/>
      <c r="I46" s="2"/>
      <c r="J46" s="22">
        <f t="shared" si="5"/>
        <v>0</v>
      </c>
      <c r="K46" s="2"/>
      <c r="L46" s="2">
        <f t="shared" si="6"/>
        <v>107373</v>
      </c>
      <c r="M46" s="2"/>
      <c r="N46" s="22">
        <f t="shared" si="7"/>
        <v>0</v>
      </c>
      <c r="O46" s="11"/>
      <c r="P46" s="2">
        <v>107373</v>
      </c>
      <c r="Q46" s="2"/>
      <c r="R46" s="22">
        <f t="shared" si="8"/>
        <v>0.46256082491973904</v>
      </c>
      <c r="S46" s="2"/>
      <c r="T46" s="2"/>
      <c r="U46" s="2"/>
      <c r="V46" s="22">
        <f t="shared" si="9"/>
        <v>0</v>
      </c>
      <c r="W46" s="2"/>
      <c r="X46" s="2">
        <f t="shared" si="10"/>
        <v>107373</v>
      </c>
      <c r="Y46" s="2"/>
      <c r="Z46" s="22">
        <f t="shared" si="11"/>
        <v>0</v>
      </c>
    </row>
    <row r="47" spans="1:26" s="24" customFormat="1" hidden="1" outlineLevel="1" x14ac:dyDescent="0.25">
      <c r="A47" s="51"/>
      <c r="B47" s="11" t="str">
        <f>CONCATENATE("          ", "5540", " - ", "FREIGHT-IN-LOGO CLOTHING")</f>
        <v xml:space="preserve">          5540 - FREIGHT-IN-LOGO CLOTHING</v>
      </c>
      <c r="C47" s="11"/>
      <c r="D47" s="2">
        <v>395.22</v>
      </c>
      <c r="E47" s="2"/>
      <c r="F47" s="22">
        <f t="shared" si="4"/>
        <v>1.7026001809093466E-3</v>
      </c>
      <c r="G47" s="2"/>
      <c r="H47" s="2"/>
      <c r="I47" s="2"/>
      <c r="J47" s="22">
        <f t="shared" si="5"/>
        <v>0</v>
      </c>
      <c r="K47" s="2"/>
      <c r="L47" s="2">
        <f t="shared" si="6"/>
        <v>395.22</v>
      </c>
      <c r="M47" s="2"/>
      <c r="N47" s="22">
        <f t="shared" si="7"/>
        <v>0</v>
      </c>
      <c r="O47" s="11"/>
      <c r="P47" s="2">
        <v>395.22</v>
      </c>
      <c r="Q47" s="2"/>
      <c r="R47" s="22">
        <f t="shared" si="8"/>
        <v>1.7026001809093466E-3</v>
      </c>
      <c r="S47" s="2"/>
      <c r="T47" s="2"/>
      <c r="U47" s="2"/>
      <c r="V47" s="22">
        <f t="shared" si="9"/>
        <v>0</v>
      </c>
      <c r="W47" s="2"/>
      <c r="X47" s="2">
        <f t="shared" si="10"/>
        <v>395.22</v>
      </c>
      <c r="Y47" s="2"/>
      <c r="Z47" s="22">
        <f t="shared" si="11"/>
        <v>0</v>
      </c>
    </row>
    <row r="48" spans="1:26" s="24" customFormat="1" hidden="1" outlineLevel="1" x14ac:dyDescent="0.25">
      <c r="A48" s="51"/>
      <c r="B48" s="11" t="str">
        <f>CONCATENATE("          ", "5541", " - ", "FREIGHT-IN-LOGO GIFTS")</f>
        <v xml:space="preserve">          5541 - FREIGHT-IN-LOGO GIFTS</v>
      </c>
      <c r="C48" s="11"/>
      <c r="D48" s="2">
        <v>314.49</v>
      </c>
      <c r="E48" s="2"/>
      <c r="F48" s="22">
        <f t="shared" si="4"/>
        <v>1.3548168890597145E-3</v>
      </c>
      <c r="G48" s="2"/>
      <c r="H48" s="2"/>
      <c r="I48" s="2"/>
      <c r="J48" s="22">
        <f t="shared" si="5"/>
        <v>0</v>
      </c>
      <c r="K48" s="2"/>
      <c r="L48" s="2">
        <f t="shared" si="6"/>
        <v>314.49</v>
      </c>
      <c r="M48" s="2"/>
      <c r="N48" s="22">
        <f t="shared" si="7"/>
        <v>0</v>
      </c>
      <c r="O48" s="11"/>
      <c r="P48" s="2">
        <v>314.49</v>
      </c>
      <c r="Q48" s="2"/>
      <c r="R48" s="22">
        <f t="shared" si="8"/>
        <v>1.3548168890597145E-3</v>
      </c>
      <c r="S48" s="2"/>
      <c r="T48" s="2"/>
      <c r="U48" s="2"/>
      <c r="V48" s="22">
        <f t="shared" si="9"/>
        <v>0</v>
      </c>
      <c r="W48" s="2"/>
      <c r="X48" s="2">
        <f t="shared" si="10"/>
        <v>314.49</v>
      </c>
      <c r="Y48" s="2"/>
      <c r="Z48" s="22">
        <f t="shared" si="11"/>
        <v>0</v>
      </c>
    </row>
    <row r="49" spans="1:26" s="24" customFormat="1" hidden="1" outlineLevel="1" x14ac:dyDescent="0.25">
      <c r="A49" s="51"/>
      <c r="B49" s="11" t="str">
        <f>CONCATENATE("          ", "5542", " - ", "FREIGHT-IN-EVERYDAY GIFTS")</f>
        <v xml:space="preserve">          5542 - FREIGHT-IN-EVERYDAY GIFTS</v>
      </c>
      <c r="C49" s="11"/>
      <c r="D49" s="2">
        <v>29.72</v>
      </c>
      <c r="E49" s="2"/>
      <c r="F49" s="22">
        <f t="shared" si="4"/>
        <v>1.2803319006281507E-4</v>
      </c>
      <c r="G49" s="2"/>
      <c r="H49" s="2"/>
      <c r="I49" s="2"/>
      <c r="J49" s="22">
        <f t="shared" si="5"/>
        <v>0</v>
      </c>
      <c r="K49" s="2"/>
      <c r="L49" s="2">
        <f t="shared" si="6"/>
        <v>29.72</v>
      </c>
      <c r="M49" s="2"/>
      <c r="N49" s="22">
        <f t="shared" si="7"/>
        <v>0</v>
      </c>
      <c r="O49" s="11"/>
      <c r="P49" s="2">
        <v>29.72</v>
      </c>
      <c r="Q49" s="2"/>
      <c r="R49" s="22">
        <f t="shared" si="8"/>
        <v>1.2803319006281507E-4</v>
      </c>
      <c r="S49" s="2"/>
      <c r="T49" s="2"/>
      <c r="U49" s="2"/>
      <c r="V49" s="22">
        <f t="shared" si="9"/>
        <v>0</v>
      </c>
      <c r="W49" s="2"/>
      <c r="X49" s="2">
        <f t="shared" si="10"/>
        <v>29.72</v>
      </c>
      <c r="Y49" s="2"/>
      <c r="Z49" s="22">
        <f t="shared" si="11"/>
        <v>0</v>
      </c>
    </row>
    <row r="50" spans="1:26" s="24" customFormat="1" hidden="1" outlineLevel="1" x14ac:dyDescent="0.25">
      <c r="A50" s="51"/>
      <c r="B50" s="11" t="str">
        <f>CONCATENATE("          ", "5544", " - ", "FREIGHT-IN-ACCESSORIES")</f>
        <v xml:space="preserve">          5544 - FREIGHT-IN-ACCESSORIES</v>
      </c>
      <c r="C50" s="11"/>
      <c r="D50" s="2">
        <v>16.73</v>
      </c>
      <c r="E50" s="2"/>
      <c r="F50" s="22">
        <f t="shared" si="4"/>
        <v>7.2072519170622356E-5</v>
      </c>
      <c r="G50" s="2"/>
      <c r="H50" s="2"/>
      <c r="I50" s="2"/>
      <c r="J50" s="22">
        <f t="shared" si="5"/>
        <v>0</v>
      </c>
      <c r="K50" s="2"/>
      <c r="L50" s="2">
        <f t="shared" si="6"/>
        <v>16.73</v>
      </c>
      <c r="M50" s="2"/>
      <c r="N50" s="22">
        <f t="shared" si="7"/>
        <v>0</v>
      </c>
      <c r="O50" s="11"/>
      <c r="P50" s="2">
        <v>16.73</v>
      </c>
      <c r="Q50" s="2"/>
      <c r="R50" s="22">
        <f t="shared" si="8"/>
        <v>7.2072519170622356E-5</v>
      </c>
      <c r="S50" s="2"/>
      <c r="T50" s="2"/>
      <c r="U50" s="2"/>
      <c r="V50" s="22">
        <f t="shared" si="9"/>
        <v>0</v>
      </c>
      <c r="W50" s="2"/>
      <c r="X50" s="2">
        <f t="shared" si="10"/>
        <v>16.73</v>
      </c>
      <c r="Y50" s="2"/>
      <c r="Z50" s="22">
        <f t="shared" si="11"/>
        <v>0</v>
      </c>
    </row>
    <row r="51" spans="1:26" s="24" customFormat="1" hidden="1" outlineLevel="1" x14ac:dyDescent="0.25">
      <c r="A51" s="51"/>
      <c r="B51" s="11" t="str">
        <f>CONCATENATE("          ", "5545", " - ", "FREIGHT-IN-SPECIAL ORDERS")</f>
        <v xml:space="preserve">          5545 - FREIGHT-IN-SPECIAL ORDERS</v>
      </c>
      <c r="C51" s="11"/>
      <c r="D51" s="2">
        <v>227.08</v>
      </c>
      <c r="E51" s="2"/>
      <c r="F51" s="22">
        <f t="shared" si="4"/>
        <v>9.7825628531171094E-4</v>
      </c>
      <c r="G51" s="2"/>
      <c r="H51" s="2"/>
      <c r="I51" s="2"/>
      <c r="J51" s="22">
        <f t="shared" si="5"/>
        <v>0</v>
      </c>
      <c r="K51" s="2"/>
      <c r="L51" s="2">
        <f t="shared" si="6"/>
        <v>227.08</v>
      </c>
      <c r="M51" s="2"/>
      <c r="N51" s="22">
        <f t="shared" si="7"/>
        <v>0</v>
      </c>
      <c r="O51" s="11"/>
      <c r="P51" s="2">
        <v>227.08</v>
      </c>
      <c r="Q51" s="2"/>
      <c r="R51" s="22">
        <f t="shared" si="8"/>
        <v>9.7825628531171094E-4</v>
      </c>
      <c r="S51" s="2"/>
      <c r="T51" s="2"/>
      <c r="U51" s="2"/>
      <c r="V51" s="22">
        <f t="shared" si="9"/>
        <v>0</v>
      </c>
      <c r="W51" s="2"/>
      <c r="X51" s="2">
        <f t="shared" si="10"/>
        <v>227.08</v>
      </c>
      <c r="Y51" s="2"/>
      <c r="Z51" s="22">
        <f t="shared" si="11"/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6" t="s">
        <v>6</v>
      </c>
      <c r="C53" s="26"/>
      <c r="D53" s="21">
        <f>D12-D33</f>
        <v>124753.97000000002</v>
      </c>
      <c r="E53" s="13"/>
      <c r="F53" s="19">
        <f>IF(D$12=0,0,D53/D$12)</f>
        <v>0.53743771036678101</v>
      </c>
      <c r="G53" s="13"/>
      <c r="H53" s="21">
        <f>H12-H33</f>
        <v>121765.20149000001</v>
      </c>
      <c r="I53" s="13"/>
      <c r="J53" s="19">
        <f>IF(H$12=0,0,H53/H$12)</f>
        <v>0.5290679187411198</v>
      </c>
      <c r="K53" s="15"/>
      <c r="L53" s="21">
        <f>+D53-H53</f>
        <v>2988.768510000009</v>
      </c>
      <c r="M53" s="15"/>
      <c r="N53" s="19">
        <f>IF(H53=0,0,L53/H53)</f>
        <v>2.4545341964924701E-2</v>
      </c>
      <c r="O53" s="25"/>
      <c r="P53" s="21">
        <f>P12-P33</f>
        <v>124753.97000000002</v>
      </c>
      <c r="Q53" s="13"/>
      <c r="R53" s="19">
        <f>IF(P$12=0,0,P53/P$12)</f>
        <v>0.53743771036678101</v>
      </c>
      <c r="S53" s="13"/>
      <c r="T53" s="21">
        <f>T12-T33</f>
        <v>121765.20149000001</v>
      </c>
      <c r="U53" s="13"/>
      <c r="V53" s="19">
        <f>IF(T$12=0,0,T53/T$12)</f>
        <v>0.5290679187411198</v>
      </c>
      <c r="W53" s="15"/>
      <c r="X53" s="21">
        <f>+P53-T53</f>
        <v>2988.768510000009</v>
      </c>
      <c r="Y53" s="15"/>
      <c r="Z53" s="19">
        <f>IF(T53=0,0,X53/T53)</f>
        <v>2.4545341964924701E-2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5" t="s">
        <v>9</v>
      </c>
      <c r="C55" s="10"/>
      <c r="D55" s="20">
        <f>SUM(OSRRefD22x_0)</f>
        <v>84174.290000000008</v>
      </c>
      <c r="E55" s="20"/>
      <c r="F55" s="30">
        <f t="shared" ref="F55:F65" si="12">IF(D$12=0,0,D55/D$12)</f>
        <v>0.36262122711885991</v>
      </c>
      <c r="G55" s="20"/>
      <c r="H55" s="20">
        <f>SUM(OSRRefH22x_0)</f>
        <v>83768.782566968759</v>
      </c>
      <c r="I55" s="20"/>
      <c r="J55" s="30">
        <f t="shared" ref="J55:J65" si="13">IF(H$12=0,0,H55/H$12)</f>
        <v>0.36397406570893981</v>
      </c>
      <c r="K55" s="4"/>
      <c r="L55" s="20">
        <f t="shared" ref="L55:L65" si="14">+D55-H55</f>
        <v>405.50743303124909</v>
      </c>
      <c r="M55" s="4"/>
      <c r="N55" s="30">
        <f t="shared" ref="N55:N65" si="15">IF(H55=0,0,L55/H55)</f>
        <v>4.8407941551146111E-3</v>
      </c>
      <c r="O55" s="10"/>
      <c r="P55" s="20">
        <f>SUM(OSRRefP22x_0)</f>
        <v>84174.290000000008</v>
      </c>
      <c r="Q55" s="20"/>
      <c r="R55" s="30">
        <f t="shared" ref="R55:R65" si="16">IF(P$12=0,0,P55/P$12)</f>
        <v>0.36262122711885991</v>
      </c>
      <c r="S55" s="20"/>
      <c r="T55" s="20">
        <f>SUM(OSRRefT22x_0)</f>
        <v>83768.782566968759</v>
      </c>
      <c r="U55" s="20"/>
      <c r="V55" s="30">
        <f t="shared" ref="V55:V65" si="17">IF(T$12=0,0,T55/T$12)</f>
        <v>0.36397406570893981</v>
      </c>
      <c r="W55" s="4"/>
      <c r="X55" s="20">
        <f t="shared" ref="X55:X65" si="18">+P55-T55</f>
        <v>405.50743303124909</v>
      </c>
      <c r="Y55" s="4"/>
      <c r="Z55" s="30">
        <f t="shared" ref="Z55:Z65" si="19">IF(T55=0,0,X55/T55)</f>
        <v>4.8407941551146111E-3</v>
      </c>
    </row>
    <row r="56" spans="1:26" s="27" customFormat="1" outlineLevel="1" collapsed="1" x14ac:dyDescent="0.25">
      <c r="A56" s="28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SUM(OSRRefD22_0x_0)</f>
        <v>10056.81</v>
      </c>
      <c r="E56" s="1"/>
      <c r="F56" s="5">
        <f t="shared" si="12"/>
        <v>4.3324544621656101E-2</v>
      </c>
      <c r="G56" s="1"/>
      <c r="H56" s="1">
        <f>SUM(OSRRefH22_0x_0)</f>
        <v>7963.3405357187521</v>
      </c>
      <c r="I56" s="1"/>
      <c r="J56" s="5">
        <f t="shared" si="13"/>
        <v>3.4600591563965992E-2</v>
      </c>
      <c r="K56" s="1"/>
      <c r="L56" s="1">
        <f t="shared" si="14"/>
        <v>2093.4694642812474</v>
      </c>
      <c r="M56" s="1"/>
      <c r="N56" s="5">
        <f t="shared" si="15"/>
        <v>0.26288835130071403</v>
      </c>
      <c r="O56" s="14"/>
      <c r="P56" s="1">
        <f>SUM(OSRRefP22_0x_0)</f>
        <v>10056.81</v>
      </c>
      <c r="Q56" s="1"/>
      <c r="R56" s="5">
        <f t="shared" si="16"/>
        <v>4.3324544621656101E-2</v>
      </c>
      <c r="S56" s="1"/>
      <c r="T56" s="1">
        <f>SUM(OSRRefT22_0x_0)</f>
        <v>7963.3405357187521</v>
      </c>
      <c r="U56" s="1"/>
      <c r="V56" s="5">
        <f t="shared" si="17"/>
        <v>3.4600591563965992E-2</v>
      </c>
      <c r="W56" s="1"/>
      <c r="X56" s="1">
        <f t="shared" si="18"/>
        <v>2093.4694642812474</v>
      </c>
      <c r="Y56" s="1"/>
      <c r="Z56" s="5">
        <f t="shared" si="19"/>
        <v>0.26288835130071403</v>
      </c>
    </row>
    <row r="57" spans="1:26" s="24" customFormat="1" hidden="1" outlineLevel="2" x14ac:dyDescent="0.25">
      <c r="A57" s="29"/>
      <c r="B57" s="11" t="str">
        <f>CONCATENATE("          ", "6111", " - ", "F.I.C.A.")</f>
        <v xml:space="preserve">          6111 - F.I.C.A.</v>
      </c>
      <c r="C57" s="11"/>
      <c r="D57" s="7">
        <v>2336.29</v>
      </c>
      <c r="E57" s="2"/>
      <c r="F57" s="6">
        <f t="shared" si="12"/>
        <v>1.0064692517222551E-2</v>
      </c>
      <c r="G57" s="2"/>
      <c r="H57" s="7">
        <v>2595.613243218751</v>
      </c>
      <c r="I57" s="2"/>
      <c r="J57" s="6">
        <f t="shared" si="13"/>
        <v>1.1277899429743164E-2</v>
      </c>
      <c r="K57" s="2"/>
      <c r="L57" s="7">
        <f t="shared" si="14"/>
        <v>-259.32324321875103</v>
      </c>
      <c r="M57" s="2"/>
      <c r="N57" s="6">
        <f t="shared" si="15"/>
        <v>-9.9908275586223769E-2</v>
      </c>
      <c r="O57" s="11"/>
      <c r="P57" s="7">
        <v>2336.29</v>
      </c>
      <c r="Q57" s="2"/>
      <c r="R57" s="6">
        <f t="shared" si="16"/>
        <v>1.0064692517222551E-2</v>
      </c>
      <c r="S57" s="2"/>
      <c r="T57" s="7">
        <v>2595.613243218751</v>
      </c>
      <c r="U57" s="2"/>
      <c r="V57" s="6">
        <f t="shared" si="17"/>
        <v>1.1277899429743164E-2</v>
      </c>
      <c r="W57" s="2"/>
      <c r="X57" s="7">
        <f t="shared" si="18"/>
        <v>-259.32324321875103</v>
      </c>
      <c r="Y57" s="2"/>
      <c r="Z57" s="6">
        <f t="shared" si="19"/>
        <v>-9.9908275586223769E-2</v>
      </c>
    </row>
    <row r="58" spans="1:26" s="24" customFormat="1" hidden="1" outlineLevel="2" x14ac:dyDescent="0.25">
      <c r="A58" s="29"/>
      <c r="B58" s="11" t="str">
        <f>CONCATENATE("          ", "6112", " - ", "COMPENSATION INSURANCE")</f>
        <v xml:space="preserve">          6112 - COMPENSATION INSURANCE</v>
      </c>
      <c r="C58" s="11"/>
      <c r="D58" s="7">
        <v>545.26</v>
      </c>
      <c r="E58" s="2"/>
      <c r="F58" s="6">
        <f t="shared" si="12"/>
        <v>2.3489696236086996E-3</v>
      </c>
      <c r="G58" s="2"/>
      <c r="H58" s="7">
        <v>644.40940312500004</v>
      </c>
      <c r="I58" s="2"/>
      <c r="J58" s="6">
        <f t="shared" si="13"/>
        <v>2.7999488980154194E-3</v>
      </c>
      <c r="K58" s="2"/>
      <c r="L58" s="7">
        <f t="shared" si="14"/>
        <v>-99.149403125000049</v>
      </c>
      <c r="M58" s="2"/>
      <c r="N58" s="6">
        <f t="shared" si="15"/>
        <v>-0.15386088819341365</v>
      </c>
      <c r="O58" s="11"/>
      <c r="P58" s="7">
        <v>545.26</v>
      </c>
      <c r="Q58" s="2"/>
      <c r="R58" s="6">
        <f t="shared" si="16"/>
        <v>2.3489696236086996E-3</v>
      </c>
      <c r="S58" s="2"/>
      <c r="T58" s="7">
        <v>644.40940312500004</v>
      </c>
      <c r="U58" s="2"/>
      <c r="V58" s="6">
        <f t="shared" si="17"/>
        <v>2.7999488980154194E-3</v>
      </c>
      <c r="W58" s="2"/>
      <c r="X58" s="7">
        <f t="shared" si="18"/>
        <v>-99.149403125000049</v>
      </c>
      <c r="Y58" s="2"/>
      <c r="Z58" s="6">
        <f t="shared" si="19"/>
        <v>-0.15386088819341365</v>
      </c>
    </row>
    <row r="59" spans="1:26" s="24" customFormat="1" hidden="1" outlineLevel="2" x14ac:dyDescent="0.25">
      <c r="A59" s="29"/>
      <c r="B59" s="11" t="str">
        <f>CONCATENATE("          ", "6113", " - ", "GROUP INSURANCE")</f>
        <v xml:space="preserve">          6113 - GROUP INSURANCE</v>
      </c>
      <c r="C59" s="11"/>
      <c r="D59" s="7">
        <v>2785.09</v>
      </c>
      <c r="E59" s="2"/>
      <c r="F59" s="6">
        <f t="shared" si="12"/>
        <v>1.1998114310634108E-2</v>
      </c>
      <c r="G59" s="2"/>
      <c r="H59" s="7">
        <v>2863.75</v>
      </c>
      <c r="I59" s="2"/>
      <c r="J59" s="6">
        <f t="shared" si="13"/>
        <v>1.2442949494230592E-2</v>
      </c>
      <c r="K59" s="2"/>
      <c r="L59" s="7">
        <f t="shared" si="14"/>
        <v>-78.659999999999854</v>
      </c>
      <c r="M59" s="2"/>
      <c r="N59" s="6">
        <f t="shared" si="15"/>
        <v>-2.7467481449148793E-2</v>
      </c>
      <c r="O59" s="11"/>
      <c r="P59" s="7">
        <v>2785.09</v>
      </c>
      <c r="Q59" s="2"/>
      <c r="R59" s="6">
        <f t="shared" si="16"/>
        <v>1.1998114310634108E-2</v>
      </c>
      <c r="S59" s="2"/>
      <c r="T59" s="7">
        <v>2863.75</v>
      </c>
      <c r="U59" s="2"/>
      <c r="V59" s="6">
        <f t="shared" si="17"/>
        <v>1.2442949494230592E-2</v>
      </c>
      <c r="W59" s="2"/>
      <c r="X59" s="7">
        <f t="shared" si="18"/>
        <v>-78.659999999999854</v>
      </c>
      <c r="Y59" s="2"/>
      <c r="Z59" s="6">
        <f t="shared" si="19"/>
        <v>-2.7467481449148793E-2</v>
      </c>
    </row>
    <row r="60" spans="1:26" s="24" customFormat="1" hidden="1" outlineLevel="2" x14ac:dyDescent="0.25">
      <c r="A60" s="29"/>
      <c r="B60" s="11" t="str">
        <f>CONCATENATE("          ", "6114", " - ", "STATE UNEMPLOYMENT INSURANCE")</f>
        <v xml:space="preserve">          6114 - STATE UNEMPLOYMENT INSURANCE</v>
      </c>
      <c r="C60" s="11"/>
      <c r="D60" s="7">
        <v>74.61</v>
      </c>
      <c r="E60" s="2"/>
      <c r="F60" s="6">
        <f t="shared" si="12"/>
        <v>3.2141844921220163E-4</v>
      </c>
      <c r="G60" s="2"/>
      <c r="H60" s="7">
        <v>88.182339374999998</v>
      </c>
      <c r="I60" s="2"/>
      <c r="J60" s="6">
        <f t="shared" si="13"/>
        <v>3.8315090183368891E-4</v>
      </c>
      <c r="K60" s="2"/>
      <c r="L60" s="7">
        <f t="shared" si="14"/>
        <v>-13.572339374999999</v>
      </c>
      <c r="M60" s="2"/>
      <c r="N60" s="6">
        <f t="shared" si="15"/>
        <v>-0.15391221724435</v>
      </c>
      <c r="O60" s="11"/>
      <c r="P60" s="7">
        <v>74.61</v>
      </c>
      <c r="Q60" s="2"/>
      <c r="R60" s="6">
        <f t="shared" si="16"/>
        <v>3.2141844921220163E-4</v>
      </c>
      <c r="S60" s="2"/>
      <c r="T60" s="7">
        <v>88.182339374999998</v>
      </c>
      <c r="U60" s="2"/>
      <c r="V60" s="6">
        <f t="shared" si="17"/>
        <v>3.8315090183368891E-4</v>
      </c>
      <c r="W60" s="2"/>
      <c r="X60" s="7">
        <f t="shared" si="18"/>
        <v>-13.572339374999999</v>
      </c>
      <c r="Y60" s="2"/>
      <c r="Z60" s="6">
        <f t="shared" si="19"/>
        <v>-0.15391221724435</v>
      </c>
    </row>
    <row r="61" spans="1:26" s="24" customFormat="1" hidden="1" outlineLevel="2" x14ac:dyDescent="0.25">
      <c r="A61" s="29"/>
      <c r="B61" s="11" t="str">
        <f>CONCATENATE("          ", "6115", " - ", "P.E.R.S.")</f>
        <v xml:space="preserve">          6115 - P.E.R.S.</v>
      </c>
      <c r="C61" s="11"/>
      <c r="D61" s="7">
        <v>825.93</v>
      </c>
      <c r="E61" s="2"/>
      <c r="F61" s="6">
        <f t="shared" si="12"/>
        <v>3.5580906012308497E-3</v>
      </c>
      <c r="G61" s="2"/>
      <c r="H61" s="7">
        <v>977.54883124999992</v>
      </c>
      <c r="I61" s="2"/>
      <c r="J61" s="6">
        <f t="shared" si="13"/>
        <v>4.247434564954306E-3</v>
      </c>
      <c r="K61" s="2"/>
      <c r="L61" s="7">
        <f t="shared" si="14"/>
        <v>-151.61883124999997</v>
      </c>
      <c r="M61" s="2"/>
      <c r="N61" s="6">
        <f t="shared" si="15"/>
        <v>-0.15510103066270736</v>
      </c>
      <c r="O61" s="11"/>
      <c r="P61" s="7">
        <v>825.93</v>
      </c>
      <c r="Q61" s="2"/>
      <c r="R61" s="6">
        <f t="shared" si="16"/>
        <v>3.5580906012308497E-3</v>
      </c>
      <c r="S61" s="2"/>
      <c r="T61" s="7">
        <v>977.54883124999992</v>
      </c>
      <c r="U61" s="2"/>
      <c r="V61" s="6">
        <f t="shared" si="17"/>
        <v>4.247434564954306E-3</v>
      </c>
      <c r="W61" s="2"/>
      <c r="X61" s="7">
        <f t="shared" si="18"/>
        <v>-151.61883124999997</v>
      </c>
      <c r="Y61" s="2"/>
      <c r="Z61" s="6">
        <f t="shared" si="19"/>
        <v>-0.15510103066270736</v>
      </c>
    </row>
    <row r="62" spans="1:26" s="24" customFormat="1" hidden="1" outlineLevel="2" x14ac:dyDescent="0.25">
      <c r="A62" s="29"/>
      <c r="B62" s="11" t="str">
        <f>CONCATENATE("          ", "6116", " - ", "EDUCATIONAL BENEFITS")</f>
        <v xml:space="preserve">          6116 - EDUCATIONAL BENEFITS</v>
      </c>
      <c r="C62" s="11"/>
      <c r="D62" s="7"/>
      <c r="E62" s="2"/>
      <c r="F62" s="6">
        <f t="shared" si="12"/>
        <v>0</v>
      </c>
      <c r="G62" s="2"/>
      <c r="H62" s="7">
        <v>0</v>
      </c>
      <c r="I62" s="2"/>
      <c r="J62" s="6">
        <f t="shared" si="13"/>
        <v>0</v>
      </c>
      <c r="K62" s="2"/>
      <c r="L62" s="7">
        <f t="shared" si="14"/>
        <v>0</v>
      </c>
      <c r="M62" s="2"/>
      <c r="N62" s="6">
        <f t="shared" si="15"/>
        <v>0</v>
      </c>
      <c r="O62" s="11"/>
      <c r="P62" s="7"/>
      <c r="Q62" s="2"/>
      <c r="R62" s="6">
        <f t="shared" si="16"/>
        <v>0</v>
      </c>
      <c r="S62" s="2"/>
      <c r="T62" s="7">
        <v>0</v>
      </c>
      <c r="U62" s="2"/>
      <c r="V62" s="6">
        <f t="shared" si="17"/>
        <v>0</v>
      </c>
      <c r="W62" s="2"/>
      <c r="X62" s="7">
        <f t="shared" si="18"/>
        <v>0</v>
      </c>
      <c r="Y62" s="2"/>
      <c r="Z62" s="6">
        <f t="shared" si="19"/>
        <v>0</v>
      </c>
    </row>
    <row r="63" spans="1:26" s="24" customFormat="1" hidden="1" outlineLevel="2" x14ac:dyDescent="0.25">
      <c r="A63" s="29"/>
      <c r="B63" s="11" t="str">
        <f>CONCATENATE("          ", "6118", " - ", "VACATION")</f>
        <v xml:space="preserve">          6118 - VACATION</v>
      </c>
      <c r="C63" s="11"/>
      <c r="D63" s="7">
        <v>1153.1600000000001</v>
      </c>
      <c r="E63" s="2"/>
      <c r="F63" s="6">
        <f t="shared" si="12"/>
        <v>4.9677911659769805E-3</v>
      </c>
      <c r="G63" s="2"/>
      <c r="H63" s="7">
        <v>341.00540625000019</v>
      </c>
      <c r="I63" s="2"/>
      <c r="J63" s="6">
        <f t="shared" si="13"/>
        <v>1.4816632203328982E-3</v>
      </c>
      <c r="K63" s="2"/>
      <c r="L63" s="7">
        <f t="shared" si="14"/>
        <v>812.15459374999989</v>
      </c>
      <c r="M63" s="2"/>
      <c r="N63" s="6">
        <f t="shared" si="15"/>
        <v>2.3816472667726201</v>
      </c>
      <c r="O63" s="11"/>
      <c r="P63" s="7">
        <v>1153.1600000000001</v>
      </c>
      <c r="Q63" s="2"/>
      <c r="R63" s="6">
        <f t="shared" si="16"/>
        <v>4.9677911659769805E-3</v>
      </c>
      <c r="S63" s="2"/>
      <c r="T63" s="7">
        <v>341.00540625000019</v>
      </c>
      <c r="U63" s="2"/>
      <c r="V63" s="6">
        <f t="shared" si="17"/>
        <v>1.4816632203328982E-3</v>
      </c>
      <c r="W63" s="2"/>
      <c r="X63" s="7">
        <f t="shared" si="18"/>
        <v>812.15459374999989</v>
      </c>
      <c r="Y63" s="2"/>
      <c r="Z63" s="6">
        <f t="shared" si="19"/>
        <v>2.3816472667726201</v>
      </c>
    </row>
    <row r="64" spans="1:26" s="24" customFormat="1" hidden="1" outlineLevel="2" x14ac:dyDescent="0.25">
      <c r="A64" s="29"/>
      <c r="B64" s="11" t="str">
        <f>CONCATENATE("          ", "6119", " - ", "SICK LEAVE")</f>
        <v xml:space="preserve">          6119 - SICK LEAVE</v>
      </c>
      <c r="C64" s="11"/>
      <c r="D64" s="7">
        <v>2188.37</v>
      </c>
      <c r="E64" s="2"/>
      <c r="F64" s="6">
        <f t="shared" si="12"/>
        <v>9.4274559938681904E-3</v>
      </c>
      <c r="G64" s="2"/>
      <c r="H64" s="7">
        <v>452.83131250000002</v>
      </c>
      <c r="I64" s="2"/>
      <c r="J64" s="6">
        <f t="shared" si="13"/>
        <v>1.9675450548559234E-3</v>
      </c>
      <c r="K64" s="2"/>
      <c r="L64" s="7">
        <f t="shared" si="14"/>
        <v>1735.5386874999999</v>
      </c>
      <c r="M64" s="2"/>
      <c r="N64" s="6">
        <f t="shared" si="15"/>
        <v>3.8326384231655797</v>
      </c>
      <c r="O64" s="11"/>
      <c r="P64" s="7">
        <v>2188.37</v>
      </c>
      <c r="Q64" s="2"/>
      <c r="R64" s="6">
        <f t="shared" si="16"/>
        <v>9.4274559938681904E-3</v>
      </c>
      <c r="S64" s="2"/>
      <c r="T64" s="7">
        <v>452.83131250000002</v>
      </c>
      <c r="U64" s="2"/>
      <c r="V64" s="6">
        <f t="shared" si="17"/>
        <v>1.9675450548559234E-3</v>
      </c>
      <c r="W64" s="2"/>
      <c r="X64" s="7">
        <f t="shared" si="18"/>
        <v>1735.5386874999999</v>
      </c>
      <c r="Y64" s="2"/>
      <c r="Z64" s="6">
        <f t="shared" si="19"/>
        <v>3.8326384231655797</v>
      </c>
    </row>
    <row r="65" spans="1:26" s="24" customFormat="1" hidden="1" outlineLevel="2" x14ac:dyDescent="0.25">
      <c r="A65" s="29"/>
      <c r="B65" s="11" t="str">
        <f>CONCATENATE("          ", "6156", " - ", "EMPLOYEE MEALS")</f>
        <v xml:space="preserve">          6156 - EMPLOYEE MEALS</v>
      </c>
      <c r="C65" s="11"/>
      <c r="D65" s="7">
        <v>148.1</v>
      </c>
      <c r="E65" s="2"/>
      <c r="F65" s="6">
        <f t="shared" si="12"/>
        <v>6.380119599025206E-4</v>
      </c>
      <c r="G65" s="2"/>
      <c r="H65" s="7"/>
      <c r="I65" s="2"/>
      <c r="J65" s="6">
        <f t="shared" si="13"/>
        <v>0</v>
      </c>
      <c r="K65" s="2"/>
      <c r="L65" s="7">
        <f t="shared" si="14"/>
        <v>148.1</v>
      </c>
      <c r="M65" s="2"/>
      <c r="N65" s="6">
        <f t="shared" si="15"/>
        <v>0</v>
      </c>
      <c r="O65" s="11"/>
      <c r="P65" s="7">
        <v>148.1</v>
      </c>
      <c r="Q65" s="2"/>
      <c r="R65" s="6">
        <f t="shared" si="16"/>
        <v>6.380119599025206E-4</v>
      </c>
      <c r="S65" s="2"/>
      <c r="T65" s="7"/>
      <c r="U65" s="2"/>
      <c r="V65" s="6">
        <f t="shared" si="17"/>
        <v>0</v>
      </c>
      <c r="W65" s="2"/>
      <c r="X65" s="7">
        <f t="shared" si="18"/>
        <v>148.1</v>
      </c>
      <c r="Y65" s="2"/>
      <c r="Z65" s="6">
        <f t="shared" si="19"/>
        <v>0</v>
      </c>
    </row>
    <row r="66" spans="1:26" s="27" customFormat="1" outlineLevel="1" collapsed="1" x14ac:dyDescent="0.25">
      <c r="A66" s="28"/>
      <c r="B66" s="14" t="str">
        <f>CONCATENATE("     ","*Payroll                                          ")</f>
        <v xml:space="preserve">     *Payroll                                          </v>
      </c>
      <c r="C66" s="14"/>
      <c r="D66" s="1">
        <f>SUM(OSRRefD22_1x_0)</f>
        <v>35206.46</v>
      </c>
      <c r="E66" s="1"/>
      <c r="F66" s="5">
        <f t="shared" ref="F66:F76" si="20">IF(D$12=0,0,D66/D$12)</f>
        <v>0.15166875452957257</v>
      </c>
      <c r="G66" s="1"/>
      <c r="H66" s="1">
        <f>SUM(OSRRefH22_1x_0)</f>
        <v>33347.942031250001</v>
      </c>
      <c r="I66" s="1"/>
      <c r="J66" s="5">
        <f t="shared" ref="J66:J76" si="21">IF(H$12=0,0,H66/H$12)</f>
        <v>0.14489629277394092</v>
      </c>
      <c r="K66" s="1"/>
      <c r="L66" s="1">
        <f t="shared" ref="L66:L76" si="22">+D66-H66</f>
        <v>1858.5179687499985</v>
      </c>
      <c r="M66" s="1"/>
      <c r="N66" s="5">
        <f t="shared" ref="N66:N76" si="23">IF(H66=0,0,L66/H66)</f>
        <v>5.5731114292102382E-2</v>
      </c>
      <c r="O66" s="14"/>
      <c r="P66" s="1">
        <f>SUM(OSRRefP22_1x_0)</f>
        <v>35206.46</v>
      </c>
      <c r="Q66" s="1"/>
      <c r="R66" s="5">
        <f t="shared" ref="R66:R76" si="24">IF(P$12=0,0,P66/P$12)</f>
        <v>0.15166875452957257</v>
      </c>
      <c r="S66" s="1"/>
      <c r="T66" s="1">
        <f>SUM(OSRRefT22_1x_0)</f>
        <v>33347.942031250001</v>
      </c>
      <c r="U66" s="1"/>
      <c r="V66" s="5">
        <f t="shared" ref="V66:V76" si="25">IF(T$12=0,0,T66/T$12)</f>
        <v>0.14489629277394092</v>
      </c>
      <c r="W66" s="1"/>
      <c r="X66" s="1">
        <f t="shared" ref="X66:X76" si="26">+P66-T66</f>
        <v>1858.5179687499985</v>
      </c>
      <c r="Y66" s="1"/>
      <c r="Z66" s="5">
        <f t="shared" ref="Z66:Z76" si="27">IF(T66=0,0,X66/T66)</f>
        <v>5.5731114292102382E-2</v>
      </c>
    </row>
    <row r="67" spans="1:26" s="24" customFormat="1" hidden="1" outlineLevel="2" x14ac:dyDescent="0.25">
      <c r="A67" s="29"/>
      <c r="B67" s="11" t="str">
        <f>CONCATENATE("          ", "6001", " - ", "ADMINISTRATIVE SALARIES")</f>
        <v xml:space="preserve">          6001 - ADMINISTRATIVE SALARIES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/>
      <c r="Q67" s="2"/>
      <c r="R67" s="6">
        <f t="shared" si="24"/>
        <v>0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0</v>
      </c>
      <c r="Y67" s="2"/>
      <c r="Z67" s="6">
        <f t="shared" si="27"/>
        <v>0</v>
      </c>
    </row>
    <row r="68" spans="1:26" s="24" customFormat="1" hidden="1" outlineLevel="2" x14ac:dyDescent="0.25">
      <c r="A68" s="29"/>
      <c r="B68" s="11" t="str">
        <f>CONCATENATE("          ", "6002", " - ", "STAFF SALARIES")</f>
        <v xml:space="preserve">          6002 - STAFF SALARIES</v>
      </c>
      <c r="C68" s="11"/>
      <c r="D68" s="7">
        <v>8274.8799999999992</v>
      </c>
      <c r="E68" s="2"/>
      <c r="F68" s="6">
        <f t="shared" si="20"/>
        <v>3.5648024353532544E-2</v>
      </c>
      <c r="G68" s="2"/>
      <c r="H68" s="7">
        <v>10798.504531250001</v>
      </c>
      <c r="I68" s="2"/>
      <c r="J68" s="6">
        <f t="shared" si="21"/>
        <v>4.6919335310541752E-2</v>
      </c>
      <c r="K68" s="2"/>
      <c r="L68" s="7">
        <f t="shared" si="22"/>
        <v>-2523.6245312500014</v>
      </c>
      <c r="M68" s="2"/>
      <c r="N68" s="6">
        <f t="shared" si="23"/>
        <v>-0.23370129854062993</v>
      </c>
      <c r="O68" s="11"/>
      <c r="P68" s="7">
        <v>8274.8799999999992</v>
      </c>
      <c r="Q68" s="2"/>
      <c r="R68" s="6">
        <f t="shared" si="24"/>
        <v>3.5648024353532544E-2</v>
      </c>
      <c r="S68" s="2"/>
      <c r="T68" s="7">
        <v>10798.504531250001</v>
      </c>
      <c r="U68" s="2"/>
      <c r="V68" s="6">
        <f t="shared" si="25"/>
        <v>4.6919335310541752E-2</v>
      </c>
      <c r="W68" s="2"/>
      <c r="X68" s="7">
        <f t="shared" si="26"/>
        <v>-2523.6245312500014</v>
      </c>
      <c r="Y68" s="2"/>
      <c r="Z68" s="6">
        <f t="shared" si="27"/>
        <v>-0.23370129854062993</v>
      </c>
    </row>
    <row r="69" spans="1:26" s="24" customFormat="1" hidden="1" outlineLevel="2" x14ac:dyDescent="0.25">
      <c r="A69" s="29"/>
      <c r="B69" s="11" t="str">
        <f>CONCATENATE("          ", "6003", " - ", "STAFF HOURLY-9 MONTH")</f>
        <v xml:space="preserve">          6003 - STAFF HOURLY-9 MONTH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25">
      <c r="A70" s="29"/>
      <c r="B70" s="11" t="str">
        <f>CONCATENATE("          ", "6004", " - ", "STAFF HOURLY")</f>
        <v xml:space="preserve">          6004 - STAFF HOURLY</v>
      </c>
      <c r="C70" s="11"/>
      <c r="D70" s="7"/>
      <c r="E70" s="2"/>
      <c r="F70" s="6">
        <f t="shared" si="20"/>
        <v>0</v>
      </c>
      <c r="G70" s="2"/>
      <c r="H70" s="7">
        <v>4667.1875</v>
      </c>
      <c r="I70" s="2"/>
      <c r="J70" s="6">
        <f t="shared" si="21"/>
        <v>2.0278857561799857E-2</v>
      </c>
      <c r="K70" s="2"/>
      <c r="L70" s="7">
        <f t="shared" si="22"/>
        <v>-4667.1875</v>
      </c>
      <c r="M70" s="2"/>
      <c r="N70" s="6">
        <f t="shared" si="23"/>
        <v>-1</v>
      </c>
      <c r="O70" s="11"/>
      <c r="P70" s="7"/>
      <c r="Q70" s="2"/>
      <c r="R70" s="6">
        <f t="shared" si="24"/>
        <v>0</v>
      </c>
      <c r="S70" s="2"/>
      <c r="T70" s="7">
        <v>4667.1875</v>
      </c>
      <c r="U70" s="2"/>
      <c r="V70" s="6">
        <f t="shared" si="25"/>
        <v>2.0278857561799857E-2</v>
      </c>
      <c r="W70" s="2"/>
      <c r="X70" s="7">
        <f t="shared" si="26"/>
        <v>-4667.1875</v>
      </c>
      <c r="Y70" s="2"/>
      <c r="Z70" s="6">
        <f t="shared" si="27"/>
        <v>-1</v>
      </c>
    </row>
    <row r="71" spans="1:26" s="24" customFormat="1" hidden="1" outlineLevel="2" x14ac:dyDescent="0.25">
      <c r="A71" s="29"/>
      <c r="B71" s="11" t="str">
        <f>CONCATENATE("          ", "6005", " - ", "TEMPORARY WAGES-HOURLY")</f>
        <v xml:space="preserve">          6005 - TEMPORARY WAGES-HOURLY</v>
      </c>
      <c r="C71" s="11"/>
      <c r="D71" s="7">
        <v>4525.72</v>
      </c>
      <c r="E71" s="2"/>
      <c r="F71" s="6">
        <f t="shared" si="20"/>
        <v>1.9496714970763242E-2</v>
      </c>
      <c r="G71" s="2"/>
      <c r="H71" s="7">
        <v>0</v>
      </c>
      <c r="I71" s="2"/>
      <c r="J71" s="6">
        <f t="shared" si="21"/>
        <v>0</v>
      </c>
      <c r="K71" s="2"/>
      <c r="L71" s="7">
        <f t="shared" si="22"/>
        <v>4525.72</v>
      </c>
      <c r="M71" s="2"/>
      <c r="N71" s="6">
        <f t="shared" si="23"/>
        <v>0</v>
      </c>
      <c r="O71" s="11"/>
      <c r="P71" s="7">
        <v>4525.72</v>
      </c>
      <c r="Q71" s="2"/>
      <c r="R71" s="6">
        <f t="shared" si="24"/>
        <v>1.9496714970763242E-2</v>
      </c>
      <c r="S71" s="2"/>
      <c r="T71" s="7">
        <v>0</v>
      </c>
      <c r="U71" s="2"/>
      <c r="V71" s="6">
        <f t="shared" si="25"/>
        <v>0</v>
      </c>
      <c r="W71" s="2"/>
      <c r="X71" s="7">
        <f t="shared" si="26"/>
        <v>4525.72</v>
      </c>
      <c r="Y71" s="2"/>
      <c r="Z71" s="6">
        <f t="shared" si="27"/>
        <v>0</v>
      </c>
    </row>
    <row r="72" spans="1:26" s="24" customFormat="1" hidden="1" outlineLevel="2" x14ac:dyDescent="0.25">
      <c r="A72" s="29"/>
      <c r="B72" s="11" t="str">
        <f>CONCATENATE("          ", "6006", " - ", "TEMPORARY PART TIME")</f>
        <v xml:space="preserve">          6006 - TEMPORARY PART TIME</v>
      </c>
      <c r="C72" s="11"/>
      <c r="D72" s="7"/>
      <c r="E72" s="2"/>
      <c r="F72" s="6">
        <f t="shared" si="20"/>
        <v>0</v>
      </c>
      <c r="G72" s="2"/>
      <c r="H72" s="7">
        <v>0</v>
      </c>
      <c r="I72" s="2"/>
      <c r="J72" s="6">
        <f t="shared" si="21"/>
        <v>0</v>
      </c>
      <c r="K72" s="2"/>
      <c r="L72" s="7">
        <f t="shared" si="22"/>
        <v>0</v>
      </c>
      <c r="M72" s="2"/>
      <c r="N72" s="6">
        <f t="shared" si="23"/>
        <v>0</v>
      </c>
      <c r="O72" s="11"/>
      <c r="P72" s="7"/>
      <c r="Q72" s="2"/>
      <c r="R72" s="6">
        <f t="shared" si="24"/>
        <v>0</v>
      </c>
      <c r="S72" s="2"/>
      <c r="T72" s="7">
        <v>0</v>
      </c>
      <c r="U72" s="2"/>
      <c r="V72" s="6">
        <f t="shared" si="25"/>
        <v>0</v>
      </c>
      <c r="W72" s="2"/>
      <c r="X72" s="7">
        <f t="shared" si="26"/>
        <v>0</v>
      </c>
      <c r="Y72" s="2"/>
      <c r="Z72" s="6">
        <f t="shared" si="27"/>
        <v>0</v>
      </c>
    </row>
    <row r="73" spans="1:26" s="24" customFormat="1" hidden="1" outlineLevel="2" x14ac:dyDescent="0.25">
      <c r="A73" s="29"/>
      <c r="B73" s="11" t="str">
        <f>CONCATENATE("          ", "6007", " - ", "STUDENT HOURLY")</f>
        <v xml:space="preserve">          6007 - STUDENT HOURLY</v>
      </c>
      <c r="C73" s="11"/>
      <c r="D73" s="7">
        <v>22405.86</v>
      </c>
      <c r="E73" s="2"/>
      <c r="F73" s="6">
        <f t="shared" si="20"/>
        <v>9.6524015205276786E-2</v>
      </c>
      <c r="G73" s="2"/>
      <c r="H73" s="7">
        <v>17882.25</v>
      </c>
      <c r="I73" s="2"/>
      <c r="J73" s="6">
        <f t="shared" si="21"/>
        <v>7.7698099901599302E-2</v>
      </c>
      <c r="K73" s="2"/>
      <c r="L73" s="7">
        <f t="shared" si="22"/>
        <v>4523.6100000000006</v>
      </c>
      <c r="M73" s="2"/>
      <c r="N73" s="6">
        <f t="shared" si="23"/>
        <v>0.25296648911630248</v>
      </c>
      <c r="O73" s="11"/>
      <c r="P73" s="7">
        <v>22405.86</v>
      </c>
      <c r="Q73" s="2"/>
      <c r="R73" s="6">
        <f t="shared" si="24"/>
        <v>9.6524015205276786E-2</v>
      </c>
      <c r="S73" s="2"/>
      <c r="T73" s="7">
        <v>17882.25</v>
      </c>
      <c r="U73" s="2"/>
      <c r="V73" s="6">
        <f t="shared" si="25"/>
        <v>7.7698099901599302E-2</v>
      </c>
      <c r="W73" s="2"/>
      <c r="X73" s="7">
        <f t="shared" si="26"/>
        <v>4523.6100000000006</v>
      </c>
      <c r="Y73" s="2"/>
      <c r="Z73" s="6">
        <f t="shared" si="27"/>
        <v>0.25296648911630248</v>
      </c>
    </row>
    <row r="74" spans="1:26" s="24" customFormat="1" hidden="1" outlineLevel="2" x14ac:dyDescent="0.25">
      <c r="A74" s="29"/>
      <c r="B74" s="11" t="str">
        <f>CONCATENATE("          ", "6008", " - ", "STUDENT HOURLY-FICA EXEMPT")</f>
        <v xml:space="preserve">          6008 - STUDENT HOURLY-FICA EXEMPT</v>
      </c>
      <c r="C74" s="11"/>
      <c r="D74" s="7"/>
      <c r="E74" s="2"/>
      <c r="F74" s="6">
        <f t="shared" si="20"/>
        <v>0</v>
      </c>
      <c r="G74" s="2"/>
      <c r="H74" s="7">
        <v>0</v>
      </c>
      <c r="I74" s="2"/>
      <c r="J74" s="6">
        <f t="shared" si="21"/>
        <v>0</v>
      </c>
      <c r="K74" s="2"/>
      <c r="L74" s="7">
        <f t="shared" si="22"/>
        <v>0</v>
      </c>
      <c r="M74" s="2"/>
      <c r="N74" s="6">
        <f t="shared" si="23"/>
        <v>0</v>
      </c>
      <c r="O74" s="11"/>
      <c r="P74" s="7"/>
      <c r="Q74" s="2"/>
      <c r="R74" s="6">
        <f t="shared" si="24"/>
        <v>0</v>
      </c>
      <c r="S74" s="2"/>
      <c r="T74" s="7">
        <v>0</v>
      </c>
      <c r="U74" s="2"/>
      <c r="V74" s="6">
        <f t="shared" si="25"/>
        <v>0</v>
      </c>
      <c r="W74" s="2"/>
      <c r="X74" s="7">
        <f t="shared" si="26"/>
        <v>0</v>
      </c>
      <c r="Y74" s="2"/>
      <c r="Z74" s="6">
        <f t="shared" si="27"/>
        <v>0</v>
      </c>
    </row>
    <row r="75" spans="1:26" s="24" customFormat="1" hidden="1" outlineLevel="2" x14ac:dyDescent="0.25">
      <c r="A75" s="29"/>
      <c r="B75" s="11" t="str">
        <f>CONCATENATE("          ", "6009", " - ", "TEMPORARY-SEASONAL")</f>
        <v xml:space="preserve">          6009 - TEMPORARY-SEASONAL</v>
      </c>
      <c r="C75" s="11"/>
      <c r="D75" s="7"/>
      <c r="E75" s="2"/>
      <c r="F75" s="6">
        <f t="shared" si="20"/>
        <v>0</v>
      </c>
      <c r="G75" s="2"/>
      <c r="H75" s="7">
        <v>0</v>
      </c>
      <c r="I75" s="2"/>
      <c r="J75" s="6">
        <f t="shared" si="21"/>
        <v>0</v>
      </c>
      <c r="K75" s="2"/>
      <c r="L75" s="7">
        <f t="shared" si="22"/>
        <v>0</v>
      </c>
      <c r="M75" s="2"/>
      <c r="N75" s="6">
        <f t="shared" si="23"/>
        <v>0</v>
      </c>
      <c r="O75" s="11"/>
      <c r="P75" s="7"/>
      <c r="Q75" s="2"/>
      <c r="R75" s="6">
        <f t="shared" si="24"/>
        <v>0</v>
      </c>
      <c r="S75" s="2"/>
      <c r="T75" s="7">
        <v>0</v>
      </c>
      <c r="U75" s="2"/>
      <c r="V75" s="6">
        <f t="shared" si="25"/>
        <v>0</v>
      </c>
      <c r="W75" s="2"/>
      <c r="X75" s="7">
        <f t="shared" si="26"/>
        <v>0</v>
      </c>
      <c r="Y75" s="2"/>
      <c r="Z75" s="6">
        <f t="shared" si="27"/>
        <v>0</v>
      </c>
    </row>
    <row r="76" spans="1:26" s="24" customFormat="1" hidden="1" outlineLevel="2" x14ac:dyDescent="0.25">
      <c r="A76" s="29"/>
      <c r="B76" s="11" t="str">
        <f>CONCATENATE("          ", "6010", " - ", "GRATUITY")</f>
        <v xml:space="preserve">          6010 - GRATUITY</v>
      </c>
      <c r="C76" s="11"/>
      <c r="D76" s="7"/>
      <c r="E76" s="2"/>
      <c r="F76" s="6">
        <f t="shared" si="20"/>
        <v>0</v>
      </c>
      <c r="G76" s="2"/>
      <c r="H76" s="7">
        <v>0</v>
      </c>
      <c r="I76" s="2"/>
      <c r="J76" s="6">
        <f t="shared" si="21"/>
        <v>0</v>
      </c>
      <c r="K76" s="2"/>
      <c r="L76" s="7">
        <f t="shared" si="22"/>
        <v>0</v>
      </c>
      <c r="M76" s="2"/>
      <c r="N76" s="6">
        <f t="shared" si="23"/>
        <v>0</v>
      </c>
      <c r="O76" s="11"/>
      <c r="P76" s="7"/>
      <c r="Q76" s="2"/>
      <c r="R76" s="6">
        <f t="shared" si="24"/>
        <v>0</v>
      </c>
      <c r="S76" s="2"/>
      <c r="T76" s="7">
        <v>0</v>
      </c>
      <c r="U76" s="2"/>
      <c r="V76" s="6">
        <f t="shared" si="25"/>
        <v>0</v>
      </c>
      <c r="W76" s="2"/>
      <c r="X76" s="7">
        <f t="shared" si="26"/>
        <v>0</v>
      </c>
      <c r="Y76" s="2"/>
      <c r="Z76" s="6">
        <f t="shared" si="27"/>
        <v>0</v>
      </c>
    </row>
    <row r="77" spans="1:26" s="27" customFormat="1" outlineLevel="1" collapsed="1" x14ac:dyDescent="0.25">
      <c r="A77" s="28"/>
      <c r="B77" s="14" t="str">
        <f>CONCATENATE("     ","Advertising/Promo                                 ")</f>
        <v xml:space="preserve">     Advertising/Promo                                 </v>
      </c>
      <c r="C77" s="14"/>
      <c r="D77" s="1">
        <f>SUM(OSRRefD22_2x_0)</f>
        <v>192</v>
      </c>
      <c r="E77" s="1"/>
      <c r="F77" s="5">
        <f t="shared" ref="F77:F81" si="28">IF(D$12=0,0,D77/D$12)</f>
        <v>8.2713231803702885E-4</v>
      </c>
      <c r="G77" s="1"/>
      <c r="H77" s="1">
        <f>SUM(OSRRefH22_2x_0)</f>
        <v>900</v>
      </c>
      <c r="I77" s="1"/>
      <c r="J77" s="5">
        <f t="shared" ref="J77:J81" si="29">IF(H$12=0,0,H77/H$12)</f>
        <v>3.9104860915958215E-3</v>
      </c>
      <c r="K77" s="1"/>
      <c r="L77" s="1">
        <f t="shared" ref="L77:L81" si="30">+D77-H77</f>
        <v>-708</v>
      </c>
      <c r="M77" s="1"/>
      <c r="N77" s="5">
        <f t="shared" ref="N77:N81" si="31">IF(H77=0,0,L77/H77)</f>
        <v>-0.78666666666666663</v>
      </c>
      <c r="O77" s="14"/>
      <c r="P77" s="1">
        <f>SUM(OSRRefP22_2x_0)</f>
        <v>192</v>
      </c>
      <c r="Q77" s="1"/>
      <c r="R77" s="5">
        <f t="shared" ref="R77:R81" si="32">IF(P$12=0,0,P77/P$12)</f>
        <v>8.2713231803702885E-4</v>
      </c>
      <c r="S77" s="1"/>
      <c r="T77" s="1">
        <f>SUM(OSRRefT22_2x_0)</f>
        <v>900</v>
      </c>
      <c r="U77" s="1"/>
      <c r="V77" s="5">
        <f t="shared" ref="V77:V81" si="33">IF(T$12=0,0,T77/T$12)</f>
        <v>3.9104860915958215E-3</v>
      </c>
      <c r="W77" s="1"/>
      <c r="X77" s="1">
        <f t="shared" ref="X77:X81" si="34">+P77-T77</f>
        <v>-708</v>
      </c>
      <c r="Y77" s="1"/>
      <c r="Z77" s="5">
        <f t="shared" ref="Z77:Z81" si="35">IF(T77=0,0,X77/T77)</f>
        <v>-0.78666666666666663</v>
      </c>
    </row>
    <row r="78" spans="1:26" s="24" customFormat="1" hidden="1" outlineLevel="2" x14ac:dyDescent="0.25">
      <c r="A78" s="29"/>
      <c r="B78" s="11" t="str">
        <f>CONCATENATE("          ", "6362", " - ", "ADVERTISING EXPENSE")</f>
        <v xml:space="preserve">          6362 - ADVERTISING EXPENSE</v>
      </c>
      <c r="C78" s="11"/>
      <c r="D78" s="7">
        <v>192</v>
      </c>
      <c r="E78" s="2"/>
      <c r="F78" s="6">
        <f t="shared" si="28"/>
        <v>8.2713231803702885E-4</v>
      </c>
      <c r="G78" s="2"/>
      <c r="H78" s="7">
        <v>900</v>
      </c>
      <c r="I78" s="2"/>
      <c r="J78" s="6">
        <f t="shared" si="29"/>
        <v>3.9104860915958215E-3</v>
      </c>
      <c r="K78" s="2"/>
      <c r="L78" s="7">
        <f t="shared" si="30"/>
        <v>-708</v>
      </c>
      <c r="M78" s="2"/>
      <c r="N78" s="6">
        <f t="shared" si="31"/>
        <v>-0.78666666666666663</v>
      </c>
      <c r="O78" s="11"/>
      <c r="P78" s="7">
        <v>192</v>
      </c>
      <c r="Q78" s="2"/>
      <c r="R78" s="6">
        <f t="shared" si="32"/>
        <v>8.2713231803702885E-4</v>
      </c>
      <c r="S78" s="2"/>
      <c r="T78" s="7">
        <v>900</v>
      </c>
      <c r="U78" s="2"/>
      <c r="V78" s="6">
        <f t="shared" si="33"/>
        <v>3.9104860915958215E-3</v>
      </c>
      <c r="W78" s="2"/>
      <c r="X78" s="7">
        <f t="shared" si="34"/>
        <v>-708</v>
      </c>
      <c r="Y78" s="2"/>
      <c r="Z78" s="6">
        <f t="shared" si="35"/>
        <v>-0.78666666666666663</v>
      </c>
    </row>
    <row r="79" spans="1:26" s="27" customFormat="1" outlineLevel="1" collapsed="1" x14ac:dyDescent="0.25">
      <c r="A79" s="28"/>
      <c r="B79" s="14" t="str">
        <f>CONCATENATE("     ","Bad Debts/Over/Short                              ")</f>
        <v xml:space="preserve">     Bad Debts/Over/Short                              </v>
      </c>
      <c r="C79" s="14"/>
      <c r="D79" s="1">
        <f>SUM(OSRRefD22_3x_0)</f>
        <v>-6.13</v>
      </c>
      <c r="E79" s="1"/>
      <c r="F79" s="5">
        <f t="shared" si="28"/>
        <v>-2.640792244566139E-5</v>
      </c>
      <c r="G79" s="1"/>
      <c r="H79" s="1">
        <f>SUM(OSRRefH22_3x_0)</f>
        <v>10</v>
      </c>
      <c r="I79" s="1"/>
      <c r="J79" s="5">
        <f t="shared" si="29"/>
        <v>4.3449845462175791E-5</v>
      </c>
      <c r="K79" s="1"/>
      <c r="L79" s="1">
        <f t="shared" si="30"/>
        <v>-16.13</v>
      </c>
      <c r="M79" s="1"/>
      <c r="N79" s="5">
        <f t="shared" si="31"/>
        <v>-1.613</v>
      </c>
      <c r="O79" s="14"/>
      <c r="P79" s="1">
        <f>SUM(OSRRefP22_3x_0)</f>
        <v>-6.13</v>
      </c>
      <c r="Q79" s="1"/>
      <c r="R79" s="5">
        <f t="shared" si="32"/>
        <v>-2.640792244566139E-5</v>
      </c>
      <c r="S79" s="1"/>
      <c r="T79" s="1">
        <f>SUM(OSRRefT22_3x_0)</f>
        <v>10</v>
      </c>
      <c r="U79" s="1"/>
      <c r="V79" s="5">
        <f t="shared" si="33"/>
        <v>4.3449845462175791E-5</v>
      </c>
      <c r="W79" s="1"/>
      <c r="X79" s="1">
        <f t="shared" si="34"/>
        <v>-16.13</v>
      </c>
      <c r="Y79" s="1"/>
      <c r="Z79" s="5">
        <f t="shared" si="35"/>
        <v>-1.613</v>
      </c>
    </row>
    <row r="80" spans="1:26" s="24" customFormat="1" hidden="1" outlineLevel="2" x14ac:dyDescent="0.25">
      <c r="A80" s="29"/>
      <c r="B80" s="11" t="str">
        <f>CONCATENATE("          ", "6272", " - ", "CASH (OVER/SHORT)")</f>
        <v xml:space="preserve">          6272 - CASH (OVER/SHORT)</v>
      </c>
      <c r="C80" s="11"/>
      <c r="D80" s="7">
        <v>-6.13</v>
      </c>
      <c r="E80" s="2"/>
      <c r="F80" s="6">
        <f t="shared" si="28"/>
        <v>-2.640792244566139E-5</v>
      </c>
      <c r="G80" s="2"/>
      <c r="H80" s="7"/>
      <c r="I80" s="2"/>
      <c r="J80" s="6">
        <f t="shared" si="29"/>
        <v>0</v>
      </c>
      <c r="K80" s="2"/>
      <c r="L80" s="7">
        <f t="shared" si="30"/>
        <v>-6.13</v>
      </c>
      <c r="M80" s="2"/>
      <c r="N80" s="6">
        <f t="shared" si="31"/>
        <v>0</v>
      </c>
      <c r="O80" s="11"/>
      <c r="P80" s="7">
        <v>-6.13</v>
      </c>
      <c r="Q80" s="2"/>
      <c r="R80" s="6">
        <f t="shared" si="32"/>
        <v>-2.640792244566139E-5</v>
      </c>
      <c r="S80" s="2"/>
      <c r="T80" s="7"/>
      <c r="U80" s="2"/>
      <c r="V80" s="6">
        <f t="shared" si="33"/>
        <v>0</v>
      </c>
      <c r="W80" s="2"/>
      <c r="X80" s="7">
        <f t="shared" si="34"/>
        <v>-6.13</v>
      </c>
      <c r="Y80" s="2"/>
      <c r="Z80" s="6">
        <f t="shared" si="35"/>
        <v>0</v>
      </c>
    </row>
    <row r="81" spans="1:26" s="24" customFormat="1" hidden="1" outlineLevel="2" x14ac:dyDescent="0.25">
      <c r="A81" s="29"/>
      <c r="B81" s="11" t="str">
        <f>CONCATENATE("          ", "6342", " - ", "BAD DEBT")</f>
        <v xml:space="preserve">          6342 - BAD DEBT</v>
      </c>
      <c r="C81" s="11"/>
      <c r="D81" s="7"/>
      <c r="E81" s="2"/>
      <c r="F81" s="6">
        <f t="shared" si="28"/>
        <v>0</v>
      </c>
      <c r="G81" s="2"/>
      <c r="H81" s="7">
        <v>10</v>
      </c>
      <c r="I81" s="2"/>
      <c r="J81" s="6">
        <f t="shared" si="29"/>
        <v>4.3449845462175791E-5</v>
      </c>
      <c r="K81" s="2"/>
      <c r="L81" s="7">
        <f t="shared" si="30"/>
        <v>-10</v>
      </c>
      <c r="M81" s="2"/>
      <c r="N81" s="6">
        <f t="shared" si="31"/>
        <v>-1</v>
      </c>
      <c r="O81" s="11"/>
      <c r="P81" s="7"/>
      <c r="Q81" s="2"/>
      <c r="R81" s="6">
        <f t="shared" si="32"/>
        <v>0</v>
      </c>
      <c r="S81" s="2"/>
      <c r="T81" s="7">
        <v>10</v>
      </c>
      <c r="U81" s="2"/>
      <c r="V81" s="6">
        <f t="shared" si="33"/>
        <v>4.3449845462175791E-5</v>
      </c>
      <c r="W81" s="2"/>
      <c r="X81" s="7">
        <f t="shared" si="34"/>
        <v>-10</v>
      </c>
      <c r="Y81" s="2"/>
      <c r="Z81" s="6">
        <f t="shared" si="35"/>
        <v>-1</v>
      </c>
    </row>
    <row r="82" spans="1:26" s="27" customFormat="1" outlineLevel="1" collapsed="1" x14ac:dyDescent="0.25">
      <c r="A82" s="28"/>
      <c r="B82" s="14" t="str">
        <f>CONCATENATE("     ","Bank/card Fees                                    ")</f>
        <v xml:space="preserve">     Bank/card Fees                                    </v>
      </c>
      <c r="C82" s="14"/>
      <c r="D82" s="1">
        <f>SUM(OSRRefD22_4x_0)</f>
        <v>677.71</v>
      </c>
      <c r="E82" s="1"/>
      <c r="F82" s="5">
        <f t="shared" ref="F82:F104" si="36">IF(D$12=0,0,D82/D$12)</f>
        <v>2.9195616836295564E-3</v>
      </c>
      <c r="G82" s="1"/>
      <c r="H82" s="1">
        <f>SUM(OSRRefH22_4x_0)</f>
        <v>600</v>
      </c>
      <c r="I82" s="1"/>
      <c r="J82" s="5">
        <f t="shared" ref="J82:J104" si="37">IF(H$12=0,0,H82/H$12)</f>
        <v>2.6069907277305473E-3</v>
      </c>
      <c r="K82" s="1"/>
      <c r="L82" s="1">
        <f t="shared" ref="L82:L104" si="38">+D82-H82</f>
        <v>77.710000000000036</v>
      </c>
      <c r="M82" s="1"/>
      <c r="N82" s="5">
        <f t="shared" ref="N82:N104" si="39">IF(H82=0,0,L82/H82)</f>
        <v>0.12951666666666672</v>
      </c>
      <c r="O82" s="14"/>
      <c r="P82" s="1">
        <f>SUM(OSRRefP22_4x_0)</f>
        <v>677.71</v>
      </c>
      <c r="Q82" s="1"/>
      <c r="R82" s="5">
        <f t="shared" ref="R82:R104" si="40">IF(P$12=0,0,P82/P$12)</f>
        <v>2.9195616836295564E-3</v>
      </c>
      <c r="S82" s="1"/>
      <c r="T82" s="1">
        <f>SUM(OSRRefT22_4x_0)</f>
        <v>600</v>
      </c>
      <c r="U82" s="1"/>
      <c r="V82" s="5">
        <f t="shared" ref="V82:V104" si="41">IF(T$12=0,0,T82/T$12)</f>
        <v>2.6069907277305473E-3</v>
      </c>
      <c r="W82" s="1"/>
      <c r="X82" s="1">
        <f t="shared" ref="X82:X104" si="42">+P82-T82</f>
        <v>77.710000000000036</v>
      </c>
      <c r="Y82" s="1"/>
      <c r="Z82" s="5">
        <f t="shared" ref="Z82:Z104" si="43">IF(T82=0,0,X82/T82)</f>
        <v>0.12951666666666672</v>
      </c>
    </row>
    <row r="83" spans="1:26" s="24" customFormat="1" hidden="1" outlineLevel="2" x14ac:dyDescent="0.25">
      <c r="A83" s="29"/>
      <c r="B83" s="11" t="str">
        <f>CONCATENATE("          ", "6381", " - ", "BANK/CREDIT CARD FEES")</f>
        <v xml:space="preserve">          6381 - BANK/CREDIT CARD FEES</v>
      </c>
      <c r="C83" s="11"/>
      <c r="D83" s="7">
        <v>677.71</v>
      </c>
      <c r="E83" s="2"/>
      <c r="F83" s="6">
        <f t="shared" si="36"/>
        <v>2.9195616836295564E-3</v>
      </c>
      <c r="G83" s="2"/>
      <c r="H83" s="7">
        <v>600</v>
      </c>
      <c r="I83" s="2"/>
      <c r="J83" s="6">
        <f t="shared" si="37"/>
        <v>2.6069907277305473E-3</v>
      </c>
      <c r="K83" s="2"/>
      <c r="L83" s="7">
        <f t="shared" si="38"/>
        <v>77.710000000000036</v>
      </c>
      <c r="M83" s="2"/>
      <c r="N83" s="6">
        <f t="shared" si="39"/>
        <v>0.12951666666666672</v>
      </c>
      <c r="O83" s="11"/>
      <c r="P83" s="7">
        <v>677.71</v>
      </c>
      <c r="Q83" s="2"/>
      <c r="R83" s="6">
        <f t="shared" si="40"/>
        <v>2.9195616836295564E-3</v>
      </c>
      <c r="S83" s="2"/>
      <c r="T83" s="7">
        <v>600</v>
      </c>
      <c r="U83" s="2"/>
      <c r="V83" s="6">
        <f t="shared" si="41"/>
        <v>2.6069907277305473E-3</v>
      </c>
      <c r="W83" s="2"/>
      <c r="X83" s="7">
        <f t="shared" si="42"/>
        <v>77.710000000000036</v>
      </c>
      <c r="Y83" s="2"/>
      <c r="Z83" s="6">
        <f t="shared" si="43"/>
        <v>0.12951666666666672</v>
      </c>
    </row>
    <row r="84" spans="1:26" s="27" customFormat="1" outlineLevel="1" collapsed="1" x14ac:dyDescent="0.25">
      <c r="A84" s="28"/>
      <c r="B84" s="14" t="str">
        <f>CONCATENATE("     ","Discounts and Markdowns                           ")</f>
        <v xml:space="preserve">     Discounts and Markdowns                           </v>
      </c>
      <c r="C84" s="14"/>
      <c r="D84" s="1">
        <f>SUM(OSRRefD22_5x_0)</f>
        <v>20017.78</v>
      </c>
      <c r="E84" s="1"/>
      <c r="F84" s="5">
        <f t="shared" si="36"/>
        <v>8.6236212361225389E-2</v>
      </c>
      <c r="G84" s="1"/>
      <c r="H84" s="1">
        <f>SUM(OSRRefH22_5x_0)</f>
        <v>16500</v>
      </c>
      <c r="I84" s="1"/>
      <c r="J84" s="5">
        <f t="shared" si="37"/>
        <v>7.1692245012590056E-2</v>
      </c>
      <c r="K84" s="1"/>
      <c r="L84" s="1">
        <f t="shared" si="38"/>
        <v>3517.7799999999988</v>
      </c>
      <c r="M84" s="1"/>
      <c r="N84" s="5">
        <f t="shared" si="39"/>
        <v>0.21319878787878782</v>
      </c>
      <c r="O84" s="14"/>
      <c r="P84" s="1">
        <f>SUM(OSRRefP22_5x_0)</f>
        <v>20017.78</v>
      </c>
      <c r="Q84" s="1"/>
      <c r="R84" s="5">
        <f t="shared" si="40"/>
        <v>8.6236212361225389E-2</v>
      </c>
      <c r="S84" s="1"/>
      <c r="T84" s="1">
        <f>SUM(OSRRefT22_5x_0)</f>
        <v>16500</v>
      </c>
      <c r="U84" s="1"/>
      <c r="V84" s="5">
        <f t="shared" si="41"/>
        <v>7.1692245012590056E-2</v>
      </c>
      <c r="W84" s="1"/>
      <c r="X84" s="1">
        <f t="shared" si="42"/>
        <v>3517.7799999999988</v>
      </c>
      <c r="Y84" s="1"/>
      <c r="Z84" s="5">
        <f t="shared" si="43"/>
        <v>0.21319878787878782</v>
      </c>
    </row>
    <row r="85" spans="1:26" s="24" customFormat="1" hidden="1" outlineLevel="2" x14ac:dyDescent="0.25">
      <c r="A85" s="29"/>
      <c r="B85" s="11" t="str">
        <f>CONCATENATE("          ", "6382", " - ", "DISCOUNTS/MARK DOWNS")</f>
        <v xml:space="preserve">          6382 - DISCOUNTS/MARK DOWNS</v>
      </c>
      <c r="C85" s="11"/>
      <c r="D85" s="7">
        <v>20017.78</v>
      </c>
      <c r="E85" s="2"/>
      <c r="F85" s="6">
        <f t="shared" si="36"/>
        <v>8.6236212361225389E-2</v>
      </c>
      <c r="G85" s="2"/>
      <c r="H85" s="7">
        <v>16500</v>
      </c>
      <c r="I85" s="2"/>
      <c r="J85" s="6">
        <f t="shared" si="37"/>
        <v>7.1692245012590056E-2</v>
      </c>
      <c r="K85" s="2"/>
      <c r="L85" s="7">
        <f t="shared" si="38"/>
        <v>3517.7799999999988</v>
      </c>
      <c r="M85" s="2"/>
      <c r="N85" s="6">
        <f t="shared" si="39"/>
        <v>0.21319878787878782</v>
      </c>
      <c r="O85" s="11"/>
      <c r="P85" s="7">
        <v>20017.78</v>
      </c>
      <c r="Q85" s="2"/>
      <c r="R85" s="6">
        <f t="shared" si="40"/>
        <v>8.6236212361225389E-2</v>
      </c>
      <c r="S85" s="2"/>
      <c r="T85" s="7">
        <v>16500</v>
      </c>
      <c r="U85" s="2"/>
      <c r="V85" s="6">
        <f t="shared" si="41"/>
        <v>7.1692245012590056E-2</v>
      </c>
      <c r="W85" s="2"/>
      <c r="X85" s="7">
        <f t="shared" si="42"/>
        <v>3517.7799999999988</v>
      </c>
      <c r="Y85" s="2"/>
      <c r="Z85" s="6">
        <f t="shared" si="43"/>
        <v>0.21319878787878782</v>
      </c>
    </row>
    <row r="86" spans="1:26" s="27" customFormat="1" outlineLevel="1" collapsed="1" x14ac:dyDescent="0.25">
      <c r="A86" s="28"/>
      <c r="B86" s="14" t="str">
        <f>CONCATENATE("     ","Donations                                         ")</f>
        <v xml:space="preserve">     Donations                                         </v>
      </c>
      <c r="C86" s="14"/>
      <c r="D86" s="1">
        <f>SUM(OSRRefD22_6x_0)</f>
        <v>0</v>
      </c>
      <c r="E86" s="1"/>
      <c r="F86" s="5">
        <f t="shared" si="36"/>
        <v>0</v>
      </c>
      <c r="G86" s="1"/>
      <c r="H86" s="1">
        <f>SUM(OSRRefH22_6x_0)</f>
        <v>100</v>
      </c>
      <c r="I86" s="1"/>
      <c r="J86" s="5">
        <f t="shared" si="37"/>
        <v>4.344984546217579E-4</v>
      </c>
      <c r="K86" s="1"/>
      <c r="L86" s="1">
        <f t="shared" si="38"/>
        <v>-100</v>
      </c>
      <c r="M86" s="1"/>
      <c r="N86" s="5">
        <f t="shared" si="39"/>
        <v>-1</v>
      </c>
      <c r="O86" s="14"/>
      <c r="P86" s="1">
        <f>SUM(OSRRefP22_6x_0)</f>
        <v>0</v>
      </c>
      <c r="Q86" s="1"/>
      <c r="R86" s="5">
        <f t="shared" si="40"/>
        <v>0</v>
      </c>
      <c r="S86" s="1"/>
      <c r="T86" s="1">
        <f>SUM(OSRRefT22_6x_0)</f>
        <v>100</v>
      </c>
      <c r="U86" s="1"/>
      <c r="V86" s="5">
        <f t="shared" si="41"/>
        <v>4.344984546217579E-4</v>
      </c>
      <c r="W86" s="1"/>
      <c r="X86" s="1">
        <f t="shared" si="42"/>
        <v>-100</v>
      </c>
      <c r="Y86" s="1"/>
      <c r="Z86" s="5">
        <f t="shared" si="43"/>
        <v>-1</v>
      </c>
    </row>
    <row r="87" spans="1:26" s="24" customFormat="1" hidden="1" outlineLevel="2" x14ac:dyDescent="0.25">
      <c r="A87" s="29"/>
      <c r="B87" s="11" t="str">
        <f>CONCATENATE("          ", "6395", " - ", "DONATION-OFF CAMPUS")</f>
        <v xml:space="preserve">          6395 - DONATION-OFF CAMPUS</v>
      </c>
      <c r="C87" s="11"/>
      <c r="D87" s="7"/>
      <c r="E87" s="2"/>
      <c r="F87" s="6">
        <f t="shared" si="36"/>
        <v>0</v>
      </c>
      <c r="G87" s="2"/>
      <c r="H87" s="7">
        <v>100</v>
      </c>
      <c r="I87" s="2"/>
      <c r="J87" s="6">
        <f t="shared" si="37"/>
        <v>4.344984546217579E-4</v>
      </c>
      <c r="K87" s="2"/>
      <c r="L87" s="7">
        <f t="shared" si="38"/>
        <v>-100</v>
      </c>
      <c r="M87" s="2"/>
      <c r="N87" s="6">
        <f t="shared" si="39"/>
        <v>-1</v>
      </c>
      <c r="O87" s="11"/>
      <c r="P87" s="7"/>
      <c r="Q87" s="2"/>
      <c r="R87" s="6">
        <f t="shared" si="40"/>
        <v>0</v>
      </c>
      <c r="S87" s="2"/>
      <c r="T87" s="7">
        <v>100</v>
      </c>
      <c r="U87" s="2"/>
      <c r="V87" s="6">
        <f t="shared" si="41"/>
        <v>4.344984546217579E-4</v>
      </c>
      <c r="W87" s="2"/>
      <c r="X87" s="7">
        <f t="shared" si="42"/>
        <v>-100</v>
      </c>
      <c r="Y87" s="2"/>
      <c r="Z87" s="6">
        <f t="shared" si="43"/>
        <v>-1</v>
      </c>
    </row>
    <row r="88" spans="1:26" s="27" customFormat="1" outlineLevel="1" collapsed="1" x14ac:dyDescent="0.25">
      <c r="A88" s="28"/>
      <c r="B88" s="14" t="str">
        <f>CONCATENATE("     ","Employees' Appreciation                           ")</f>
        <v xml:space="preserve">     Employees' Appreciation                           </v>
      </c>
      <c r="C88" s="14"/>
      <c r="D88" s="1">
        <f>SUM(OSRRefD22_7x_0)</f>
        <v>133.91</v>
      </c>
      <c r="E88" s="1"/>
      <c r="F88" s="5">
        <f t="shared" si="36"/>
        <v>5.7688171202259649E-4</v>
      </c>
      <c r="G88" s="1"/>
      <c r="H88" s="1">
        <f>SUM(OSRRefH22_7x_0)</f>
        <v>225</v>
      </c>
      <c r="I88" s="1"/>
      <c r="J88" s="5">
        <f t="shared" si="37"/>
        <v>9.7762152289895539E-4</v>
      </c>
      <c r="K88" s="1"/>
      <c r="L88" s="1">
        <f t="shared" si="38"/>
        <v>-91.09</v>
      </c>
      <c r="M88" s="1"/>
      <c r="N88" s="5">
        <f t="shared" si="39"/>
        <v>-0.40484444444444445</v>
      </c>
      <c r="O88" s="14"/>
      <c r="P88" s="1">
        <f>SUM(OSRRefP22_7x_0)</f>
        <v>133.91</v>
      </c>
      <c r="Q88" s="1"/>
      <c r="R88" s="5">
        <f t="shared" si="40"/>
        <v>5.7688171202259649E-4</v>
      </c>
      <c r="S88" s="1"/>
      <c r="T88" s="1">
        <f>SUM(OSRRefT22_7x_0)</f>
        <v>225</v>
      </c>
      <c r="U88" s="1"/>
      <c r="V88" s="5">
        <f t="shared" si="41"/>
        <v>9.7762152289895539E-4</v>
      </c>
      <c r="W88" s="1"/>
      <c r="X88" s="1">
        <f t="shared" si="42"/>
        <v>-91.09</v>
      </c>
      <c r="Y88" s="1"/>
      <c r="Z88" s="5">
        <f t="shared" si="43"/>
        <v>-0.40484444444444445</v>
      </c>
    </row>
    <row r="89" spans="1:26" s="24" customFormat="1" hidden="1" outlineLevel="2" x14ac:dyDescent="0.25">
      <c r="A89" s="29"/>
      <c r="B89" s="11" t="str">
        <f>CONCATENATE("          ", "6277", " - ", "EMPLOYEE APPRECIATION")</f>
        <v xml:space="preserve">          6277 - EMPLOYEE APPRECIATION</v>
      </c>
      <c r="C89" s="11"/>
      <c r="D89" s="7">
        <v>133.91</v>
      </c>
      <c r="E89" s="2"/>
      <c r="F89" s="6">
        <f t="shared" si="36"/>
        <v>5.7688171202259649E-4</v>
      </c>
      <c r="G89" s="2"/>
      <c r="H89" s="7">
        <v>225</v>
      </c>
      <c r="I89" s="2"/>
      <c r="J89" s="6">
        <f t="shared" si="37"/>
        <v>9.7762152289895539E-4</v>
      </c>
      <c r="K89" s="2"/>
      <c r="L89" s="7">
        <f t="shared" si="38"/>
        <v>-91.09</v>
      </c>
      <c r="M89" s="2"/>
      <c r="N89" s="6">
        <f t="shared" si="39"/>
        <v>-0.40484444444444445</v>
      </c>
      <c r="O89" s="11"/>
      <c r="P89" s="7">
        <v>133.91</v>
      </c>
      <c r="Q89" s="2"/>
      <c r="R89" s="6">
        <f t="shared" si="40"/>
        <v>5.7688171202259649E-4</v>
      </c>
      <c r="S89" s="2"/>
      <c r="T89" s="7">
        <v>225</v>
      </c>
      <c r="U89" s="2"/>
      <c r="V89" s="6">
        <f t="shared" si="41"/>
        <v>9.7762152289895539E-4</v>
      </c>
      <c r="W89" s="2"/>
      <c r="X89" s="7">
        <f t="shared" si="42"/>
        <v>-91.09</v>
      </c>
      <c r="Y89" s="2"/>
      <c r="Z89" s="6">
        <f t="shared" si="43"/>
        <v>-0.40484444444444445</v>
      </c>
    </row>
    <row r="90" spans="1:26" s="27" customFormat="1" outlineLevel="1" collapsed="1" x14ac:dyDescent="0.25">
      <c r="A90" s="28"/>
      <c r="B90" s="14" t="str">
        <f>CONCATENATE("     ","Freight out/Postage                               ")</f>
        <v xml:space="preserve">     Freight out/Postage                               </v>
      </c>
      <c r="C90" s="14"/>
      <c r="D90" s="1">
        <f>SUM(OSRRefD22_8x_0)</f>
        <v>0</v>
      </c>
      <c r="E90" s="1"/>
      <c r="F90" s="5">
        <f t="shared" si="36"/>
        <v>0</v>
      </c>
      <c r="G90" s="1"/>
      <c r="H90" s="1">
        <f>SUM(OSRRefH22_8x_0)</f>
        <v>50</v>
      </c>
      <c r="I90" s="1"/>
      <c r="J90" s="5">
        <f t="shared" si="37"/>
        <v>2.1724922731087895E-4</v>
      </c>
      <c r="K90" s="1"/>
      <c r="L90" s="1">
        <f t="shared" si="38"/>
        <v>-50</v>
      </c>
      <c r="M90" s="1"/>
      <c r="N90" s="5">
        <f t="shared" si="39"/>
        <v>-1</v>
      </c>
      <c r="O90" s="14"/>
      <c r="P90" s="1">
        <f>SUM(OSRRefP22_8x_0)</f>
        <v>0</v>
      </c>
      <c r="Q90" s="1"/>
      <c r="R90" s="5">
        <f t="shared" si="40"/>
        <v>0</v>
      </c>
      <c r="S90" s="1"/>
      <c r="T90" s="1">
        <f>SUM(OSRRefT22_8x_0)</f>
        <v>50</v>
      </c>
      <c r="U90" s="1"/>
      <c r="V90" s="5">
        <f t="shared" si="41"/>
        <v>2.1724922731087895E-4</v>
      </c>
      <c r="W90" s="1"/>
      <c r="X90" s="1">
        <f t="shared" si="42"/>
        <v>-50</v>
      </c>
      <c r="Y90" s="1"/>
      <c r="Z90" s="5">
        <f t="shared" si="43"/>
        <v>-1</v>
      </c>
    </row>
    <row r="91" spans="1:26" s="24" customFormat="1" hidden="1" outlineLevel="2" x14ac:dyDescent="0.25">
      <c r="A91" s="29"/>
      <c r="B91" s="11" t="str">
        <f>CONCATENATE("          ", "6305", " - ", "FREIGHT OUT")</f>
        <v xml:space="preserve">          6305 - FREIGHT OUT</v>
      </c>
      <c r="C91" s="11"/>
      <c r="D91" s="7"/>
      <c r="E91" s="2"/>
      <c r="F91" s="6">
        <f t="shared" si="36"/>
        <v>0</v>
      </c>
      <c r="G91" s="2"/>
      <c r="H91" s="7">
        <v>50</v>
      </c>
      <c r="I91" s="2"/>
      <c r="J91" s="6">
        <f t="shared" si="37"/>
        <v>2.1724922731087895E-4</v>
      </c>
      <c r="K91" s="2"/>
      <c r="L91" s="7">
        <f t="shared" si="38"/>
        <v>-50</v>
      </c>
      <c r="M91" s="2"/>
      <c r="N91" s="6">
        <f t="shared" si="39"/>
        <v>-1</v>
      </c>
      <c r="O91" s="11"/>
      <c r="P91" s="7"/>
      <c r="Q91" s="2"/>
      <c r="R91" s="6">
        <f t="shared" si="40"/>
        <v>0</v>
      </c>
      <c r="S91" s="2"/>
      <c r="T91" s="7">
        <v>50</v>
      </c>
      <c r="U91" s="2"/>
      <c r="V91" s="6">
        <f t="shared" si="41"/>
        <v>2.1724922731087895E-4</v>
      </c>
      <c r="W91" s="2"/>
      <c r="X91" s="7">
        <f t="shared" si="42"/>
        <v>-50</v>
      </c>
      <c r="Y91" s="2"/>
      <c r="Z91" s="6">
        <f t="shared" si="43"/>
        <v>-1</v>
      </c>
    </row>
    <row r="92" spans="1:26" s="27" customFormat="1" outlineLevel="1" collapsed="1" x14ac:dyDescent="0.25">
      <c r="A92" s="28"/>
      <c r="B92" s="14" t="str">
        <f>CONCATENATE("     ","General                                           ")</f>
        <v xml:space="preserve">     General                                           </v>
      </c>
      <c r="C92" s="14"/>
      <c r="D92" s="1">
        <f>SUM(OSRRefD22_9x_0)</f>
        <v>0</v>
      </c>
      <c r="E92" s="1"/>
      <c r="F92" s="5">
        <f t="shared" si="36"/>
        <v>0</v>
      </c>
      <c r="G92" s="1"/>
      <c r="H92" s="1">
        <f>SUM(OSRRefH22_9x_0)</f>
        <v>120</v>
      </c>
      <c r="I92" s="1"/>
      <c r="J92" s="5">
        <f t="shared" si="37"/>
        <v>5.2139814554610952E-4</v>
      </c>
      <c r="K92" s="1"/>
      <c r="L92" s="1">
        <f t="shared" si="38"/>
        <v>-120</v>
      </c>
      <c r="M92" s="1"/>
      <c r="N92" s="5">
        <f t="shared" si="39"/>
        <v>-1</v>
      </c>
      <c r="O92" s="14"/>
      <c r="P92" s="1">
        <f>SUM(OSRRefP22_9x_0)</f>
        <v>0</v>
      </c>
      <c r="Q92" s="1"/>
      <c r="R92" s="5">
        <f t="shared" si="40"/>
        <v>0</v>
      </c>
      <c r="S92" s="1"/>
      <c r="T92" s="1">
        <f>SUM(OSRRefT22_9x_0)</f>
        <v>120</v>
      </c>
      <c r="U92" s="1"/>
      <c r="V92" s="5">
        <f t="shared" si="41"/>
        <v>5.2139814554610952E-4</v>
      </c>
      <c r="W92" s="1"/>
      <c r="X92" s="1">
        <f t="shared" si="42"/>
        <v>-120</v>
      </c>
      <c r="Y92" s="1"/>
      <c r="Z92" s="5">
        <f t="shared" si="43"/>
        <v>-1</v>
      </c>
    </row>
    <row r="93" spans="1:26" s="24" customFormat="1" hidden="1" outlineLevel="2" x14ac:dyDescent="0.25">
      <c r="A93" s="29"/>
      <c r="B93" s="11" t="str">
        <f>CONCATENATE("          ", "6279", " - ", "GENERAL EXPENSE")</f>
        <v xml:space="preserve">          6279 - GENERAL EXPENSE</v>
      </c>
      <c r="C93" s="11"/>
      <c r="D93" s="7"/>
      <c r="E93" s="2"/>
      <c r="F93" s="6">
        <f t="shared" si="36"/>
        <v>0</v>
      </c>
      <c r="G93" s="2"/>
      <c r="H93" s="7">
        <v>120</v>
      </c>
      <c r="I93" s="2"/>
      <c r="J93" s="6">
        <f t="shared" si="37"/>
        <v>5.2139814554610952E-4</v>
      </c>
      <c r="K93" s="2"/>
      <c r="L93" s="7">
        <f t="shared" si="38"/>
        <v>-120</v>
      </c>
      <c r="M93" s="2"/>
      <c r="N93" s="6">
        <f t="shared" si="39"/>
        <v>-1</v>
      </c>
      <c r="O93" s="11"/>
      <c r="P93" s="7"/>
      <c r="Q93" s="2"/>
      <c r="R93" s="6">
        <f t="shared" si="40"/>
        <v>0</v>
      </c>
      <c r="S93" s="2"/>
      <c r="T93" s="7">
        <v>120</v>
      </c>
      <c r="U93" s="2"/>
      <c r="V93" s="6">
        <f t="shared" si="41"/>
        <v>5.2139814554610952E-4</v>
      </c>
      <c r="W93" s="2"/>
      <c r="X93" s="7">
        <f t="shared" si="42"/>
        <v>-120</v>
      </c>
      <c r="Y93" s="2"/>
      <c r="Z93" s="6">
        <f t="shared" si="43"/>
        <v>-1</v>
      </c>
    </row>
    <row r="94" spans="1:26" s="27" customFormat="1" outlineLevel="1" collapsed="1" x14ac:dyDescent="0.25">
      <c r="A94" s="28"/>
      <c r="B94" s="14" t="str">
        <f>CONCATENATE("     ","Insurance                                         ")</f>
        <v xml:space="preserve">     Insurance                                         </v>
      </c>
      <c r="C94" s="14"/>
      <c r="D94" s="1">
        <f>SUM(OSRRefD22_10x_0)</f>
        <v>161.18</v>
      </c>
      <c r="E94" s="1"/>
      <c r="F94" s="5">
        <f t="shared" si="36"/>
        <v>6.9436034906879328E-4</v>
      </c>
      <c r="G94" s="1"/>
      <c r="H94" s="1">
        <f>SUM(OSRRefH22_10x_0)</f>
        <v>155</v>
      </c>
      <c r="I94" s="1"/>
      <c r="J94" s="5">
        <f t="shared" si="37"/>
        <v>6.7347260466372474E-4</v>
      </c>
      <c r="K94" s="1"/>
      <c r="L94" s="1">
        <f t="shared" si="38"/>
        <v>6.1800000000000068</v>
      </c>
      <c r="M94" s="1"/>
      <c r="N94" s="5">
        <f t="shared" si="39"/>
        <v>3.9870967741935527E-2</v>
      </c>
      <c r="O94" s="14"/>
      <c r="P94" s="1">
        <f>SUM(OSRRefP22_10x_0)</f>
        <v>161.18</v>
      </c>
      <c r="Q94" s="1"/>
      <c r="R94" s="5">
        <f t="shared" si="40"/>
        <v>6.9436034906879328E-4</v>
      </c>
      <c r="S94" s="1"/>
      <c r="T94" s="1">
        <f>SUM(OSRRefT22_10x_0)</f>
        <v>155</v>
      </c>
      <c r="U94" s="1"/>
      <c r="V94" s="5">
        <f t="shared" si="41"/>
        <v>6.7347260466372474E-4</v>
      </c>
      <c r="W94" s="1"/>
      <c r="X94" s="1">
        <f t="shared" si="42"/>
        <v>6.1800000000000068</v>
      </c>
      <c r="Y94" s="1"/>
      <c r="Z94" s="5">
        <f t="shared" si="43"/>
        <v>3.9870967741935527E-2</v>
      </c>
    </row>
    <row r="95" spans="1:26" s="24" customFormat="1" hidden="1" outlineLevel="2" x14ac:dyDescent="0.25">
      <c r="A95" s="29"/>
      <c r="B95" s="11" t="str">
        <f>CONCATENATE("          ", "6314", " - ", "LIABILITY INSURANCE")</f>
        <v xml:space="preserve">          6314 - LIABILITY INSURANCE</v>
      </c>
      <c r="C95" s="11"/>
      <c r="D95" s="7">
        <v>161.18</v>
      </c>
      <c r="E95" s="2"/>
      <c r="F95" s="6">
        <f t="shared" si="36"/>
        <v>6.9436034906879328E-4</v>
      </c>
      <c r="G95" s="2"/>
      <c r="H95" s="7">
        <v>155</v>
      </c>
      <c r="I95" s="2"/>
      <c r="J95" s="6">
        <f t="shared" si="37"/>
        <v>6.7347260466372474E-4</v>
      </c>
      <c r="K95" s="2"/>
      <c r="L95" s="7">
        <f t="shared" si="38"/>
        <v>6.1800000000000068</v>
      </c>
      <c r="M95" s="2"/>
      <c r="N95" s="6">
        <f t="shared" si="39"/>
        <v>3.9870967741935527E-2</v>
      </c>
      <c r="O95" s="11"/>
      <c r="P95" s="7">
        <v>161.18</v>
      </c>
      <c r="Q95" s="2"/>
      <c r="R95" s="6">
        <f t="shared" si="40"/>
        <v>6.9436034906879328E-4</v>
      </c>
      <c r="S95" s="2"/>
      <c r="T95" s="7">
        <v>155</v>
      </c>
      <c r="U95" s="2"/>
      <c r="V95" s="6">
        <f t="shared" si="41"/>
        <v>6.7347260466372474E-4</v>
      </c>
      <c r="W95" s="2"/>
      <c r="X95" s="7">
        <f t="shared" si="42"/>
        <v>6.1800000000000068</v>
      </c>
      <c r="Y95" s="2"/>
      <c r="Z95" s="6">
        <f t="shared" si="43"/>
        <v>3.9870967741935527E-2</v>
      </c>
    </row>
    <row r="96" spans="1:26" s="27" customFormat="1" outlineLevel="1" collapsed="1" x14ac:dyDescent="0.25">
      <c r="A96" s="28"/>
      <c r="B96" s="14" t="str">
        <f>CONCATENATE("     ","Inventory Adjustment                              ")</f>
        <v xml:space="preserve">     Inventory Adjustment                              </v>
      </c>
      <c r="C96" s="14"/>
      <c r="D96" s="1">
        <f>SUM(OSRRefD22_11x_0)</f>
        <v>3150</v>
      </c>
      <c r="E96" s="1"/>
      <c r="F96" s="5">
        <f t="shared" si="36"/>
        <v>1.3570139592795004E-2</v>
      </c>
      <c r="G96" s="1"/>
      <c r="H96" s="1">
        <f>SUM(OSRRefH22_11x_0)</f>
        <v>3150</v>
      </c>
      <c r="I96" s="1"/>
      <c r="J96" s="5">
        <f t="shared" si="37"/>
        <v>1.3686701320585373E-2</v>
      </c>
      <c r="K96" s="1"/>
      <c r="L96" s="1">
        <f t="shared" si="38"/>
        <v>0</v>
      </c>
      <c r="M96" s="1"/>
      <c r="N96" s="5">
        <f t="shared" si="39"/>
        <v>0</v>
      </c>
      <c r="O96" s="14"/>
      <c r="P96" s="1">
        <f>SUM(OSRRefP22_11x_0)</f>
        <v>3150</v>
      </c>
      <c r="Q96" s="1"/>
      <c r="R96" s="5">
        <f t="shared" si="40"/>
        <v>1.3570139592795004E-2</v>
      </c>
      <c r="S96" s="1"/>
      <c r="T96" s="1">
        <f>SUM(OSRRefT22_11x_0)</f>
        <v>3150</v>
      </c>
      <c r="U96" s="1"/>
      <c r="V96" s="5">
        <f t="shared" si="41"/>
        <v>1.3686701320585373E-2</v>
      </c>
      <c r="W96" s="1"/>
      <c r="X96" s="1">
        <f t="shared" si="42"/>
        <v>0</v>
      </c>
      <c r="Y96" s="1"/>
      <c r="Z96" s="5">
        <f t="shared" si="43"/>
        <v>0</v>
      </c>
    </row>
    <row r="97" spans="1:26" s="24" customFormat="1" hidden="1" outlineLevel="2" x14ac:dyDescent="0.25">
      <c r="A97" s="29"/>
      <c r="B97" s="11" t="str">
        <f>CONCATENATE("          ", "6408", " - ", "INVENTORY ADJUSTMENT")</f>
        <v xml:space="preserve">          6408 - INVENTORY ADJUSTMENT</v>
      </c>
      <c r="C97" s="11"/>
      <c r="D97" s="7">
        <v>3150</v>
      </c>
      <c r="E97" s="2"/>
      <c r="F97" s="6">
        <f t="shared" si="36"/>
        <v>1.3570139592795004E-2</v>
      </c>
      <c r="G97" s="2"/>
      <c r="H97" s="7">
        <v>3150</v>
      </c>
      <c r="I97" s="2"/>
      <c r="J97" s="6">
        <f t="shared" si="37"/>
        <v>1.3686701320585373E-2</v>
      </c>
      <c r="K97" s="2"/>
      <c r="L97" s="7">
        <f t="shared" si="38"/>
        <v>0</v>
      </c>
      <c r="M97" s="2"/>
      <c r="N97" s="6">
        <f t="shared" si="39"/>
        <v>0</v>
      </c>
      <c r="O97" s="11"/>
      <c r="P97" s="7">
        <v>3150</v>
      </c>
      <c r="Q97" s="2"/>
      <c r="R97" s="6">
        <f t="shared" si="40"/>
        <v>1.3570139592795004E-2</v>
      </c>
      <c r="S97" s="2"/>
      <c r="T97" s="7">
        <v>3150</v>
      </c>
      <c r="U97" s="2"/>
      <c r="V97" s="6">
        <f t="shared" si="41"/>
        <v>1.3686701320585373E-2</v>
      </c>
      <c r="W97" s="2"/>
      <c r="X97" s="7">
        <f t="shared" si="42"/>
        <v>0</v>
      </c>
      <c r="Y97" s="2"/>
      <c r="Z97" s="6">
        <f t="shared" si="43"/>
        <v>0</v>
      </c>
    </row>
    <row r="98" spans="1:26" s="27" customFormat="1" outlineLevel="1" collapsed="1" x14ac:dyDescent="0.25">
      <c r="A98" s="28"/>
      <c r="B98" s="14" t="str">
        <f>CONCATENATE("     ","Professional Services                             ")</f>
        <v xml:space="preserve">     Professional Services                             </v>
      </c>
      <c r="C98" s="14"/>
      <c r="D98" s="1">
        <f>SUM(OSRRefD22_12x_0)</f>
        <v>750</v>
      </c>
      <c r="E98" s="1"/>
      <c r="F98" s="5">
        <f t="shared" si="36"/>
        <v>3.2309856173321438E-3</v>
      </c>
      <c r="G98" s="1"/>
      <c r="H98" s="1">
        <f>SUM(OSRRefH22_12x_0)</f>
        <v>2400</v>
      </c>
      <c r="I98" s="1"/>
      <c r="J98" s="5">
        <f t="shared" si="37"/>
        <v>1.0427962910922189E-2</v>
      </c>
      <c r="K98" s="1"/>
      <c r="L98" s="1">
        <f t="shared" si="38"/>
        <v>-1650</v>
      </c>
      <c r="M98" s="1"/>
      <c r="N98" s="5">
        <f t="shared" si="39"/>
        <v>-0.6875</v>
      </c>
      <c r="O98" s="14"/>
      <c r="P98" s="1">
        <f>SUM(OSRRefP22_12x_0)</f>
        <v>750</v>
      </c>
      <c r="Q98" s="1"/>
      <c r="R98" s="5">
        <f t="shared" si="40"/>
        <v>3.2309856173321438E-3</v>
      </c>
      <c r="S98" s="1"/>
      <c r="T98" s="1">
        <f>SUM(OSRRefT22_12x_0)</f>
        <v>2400</v>
      </c>
      <c r="U98" s="1"/>
      <c r="V98" s="5">
        <f t="shared" si="41"/>
        <v>1.0427962910922189E-2</v>
      </c>
      <c r="W98" s="1"/>
      <c r="X98" s="1">
        <f t="shared" si="42"/>
        <v>-1650</v>
      </c>
      <c r="Y98" s="1"/>
      <c r="Z98" s="5">
        <f t="shared" si="43"/>
        <v>-0.6875</v>
      </c>
    </row>
    <row r="99" spans="1:26" s="24" customFormat="1" hidden="1" outlineLevel="2" x14ac:dyDescent="0.25">
      <c r="A99" s="29"/>
      <c r="B99" s="11" t="str">
        <f>CONCATENATE("          ", "6336", " - ", "PROFESSIONAL SERVICES")</f>
        <v xml:space="preserve">          6336 - PROFESSIONAL SERVICES</v>
      </c>
      <c r="C99" s="11"/>
      <c r="D99" s="7">
        <v>750</v>
      </c>
      <c r="E99" s="2"/>
      <c r="F99" s="6">
        <f t="shared" si="36"/>
        <v>3.2309856173321438E-3</v>
      </c>
      <c r="G99" s="2"/>
      <c r="H99" s="7">
        <v>2400</v>
      </c>
      <c r="I99" s="2"/>
      <c r="J99" s="6">
        <f t="shared" si="37"/>
        <v>1.0427962910922189E-2</v>
      </c>
      <c r="K99" s="2"/>
      <c r="L99" s="7">
        <f t="shared" si="38"/>
        <v>-1650</v>
      </c>
      <c r="M99" s="2"/>
      <c r="N99" s="6">
        <f t="shared" si="39"/>
        <v>-0.6875</v>
      </c>
      <c r="O99" s="11"/>
      <c r="P99" s="7">
        <v>750</v>
      </c>
      <c r="Q99" s="2"/>
      <c r="R99" s="6">
        <f t="shared" si="40"/>
        <v>3.2309856173321438E-3</v>
      </c>
      <c r="S99" s="2"/>
      <c r="T99" s="7">
        <v>2400</v>
      </c>
      <c r="U99" s="2"/>
      <c r="V99" s="6">
        <f t="shared" si="41"/>
        <v>1.0427962910922189E-2</v>
      </c>
      <c r="W99" s="2"/>
      <c r="X99" s="7">
        <f t="shared" si="42"/>
        <v>-1650</v>
      </c>
      <c r="Y99" s="2"/>
      <c r="Z99" s="6">
        <f t="shared" si="43"/>
        <v>-0.6875</v>
      </c>
    </row>
    <row r="100" spans="1:26" s="27" customFormat="1" outlineLevel="1" collapsed="1" x14ac:dyDescent="0.25">
      <c r="A100" s="28"/>
      <c r="B100" s="14" t="str">
        <f>CONCATENATE("     ","Rent                                              ")</f>
        <v xml:space="preserve">     Rent                                              </v>
      </c>
      <c r="C100" s="14"/>
      <c r="D100" s="1">
        <f>SUM(OSRRefD22_13x_0)</f>
        <v>6900</v>
      </c>
      <c r="E100" s="1"/>
      <c r="F100" s="5">
        <f t="shared" si="36"/>
        <v>2.9725067679455722E-2</v>
      </c>
      <c r="G100" s="1"/>
      <c r="H100" s="1">
        <f>SUM(OSRRefH22_13x_0)</f>
        <v>7200</v>
      </c>
      <c r="I100" s="1"/>
      <c r="J100" s="5">
        <f t="shared" si="37"/>
        <v>3.1283888732766572E-2</v>
      </c>
      <c r="K100" s="1"/>
      <c r="L100" s="1">
        <f t="shared" si="38"/>
        <v>-300</v>
      </c>
      <c r="M100" s="1"/>
      <c r="N100" s="5">
        <f t="shared" si="39"/>
        <v>-4.1666666666666664E-2</v>
      </c>
      <c r="O100" s="14"/>
      <c r="P100" s="1">
        <f>SUM(OSRRefP22_13x_0)</f>
        <v>6900</v>
      </c>
      <c r="Q100" s="1"/>
      <c r="R100" s="5">
        <f t="shared" si="40"/>
        <v>2.9725067679455722E-2</v>
      </c>
      <c r="S100" s="1"/>
      <c r="T100" s="1">
        <f>SUM(OSRRefT22_13x_0)</f>
        <v>7200</v>
      </c>
      <c r="U100" s="1"/>
      <c r="V100" s="5">
        <f t="shared" si="41"/>
        <v>3.1283888732766572E-2</v>
      </c>
      <c r="W100" s="1"/>
      <c r="X100" s="1">
        <f t="shared" si="42"/>
        <v>-300</v>
      </c>
      <c r="Y100" s="1"/>
      <c r="Z100" s="5">
        <f t="shared" si="43"/>
        <v>-4.1666666666666664E-2</v>
      </c>
    </row>
    <row r="101" spans="1:26" s="24" customFormat="1" hidden="1" outlineLevel="2" x14ac:dyDescent="0.25">
      <c r="A101" s="29"/>
      <c r="B101" s="11" t="str">
        <f>CONCATENATE("          ", "6273", " - ", "RENT")</f>
        <v xml:space="preserve">          6273 - RENT</v>
      </c>
      <c r="C101" s="11"/>
      <c r="D101" s="7">
        <v>6900</v>
      </c>
      <c r="E101" s="2"/>
      <c r="F101" s="6">
        <f t="shared" si="36"/>
        <v>2.9725067679455722E-2</v>
      </c>
      <c r="G101" s="2"/>
      <c r="H101" s="7">
        <v>7200</v>
      </c>
      <c r="I101" s="2"/>
      <c r="J101" s="6">
        <f t="shared" si="37"/>
        <v>3.1283888732766572E-2</v>
      </c>
      <c r="K101" s="2"/>
      <c r="L101" s="7">
        <f t="shared" si="38"/>
        <v>-300</v>
      </c>
      <c r="M101" s="2"/>
      <c r="N101" s="6">
        <f t="shared" si="39"/>
        <v>-4.1666666666666664E-2</v>
      </c>
      <c r="O101" s="11"/>
      <c r="P101" s="7">
        <v>6900</v>
      </c>
      <c r="Q101" s="2"/>
      <c r="R101" s="6">
        <f t="shared" si="40"/>
        <v>2.9725067679455722E-2</v>
      </c>
      <c r="S101" s="2"/>
      <c r="T101" s="7">
        <v>7200</v>
      </c>
      <c r="U101" s="2"/>
      <c r="V101" s="6">
        <f t="shared" si="41"/>
        <v>3.1283888732766572E-2</v>
      </c>
      <c r="W101" s="2"/>
      <c r="X101" s="7">
        <f t="shared" si="42"/>
        <v>-300</v>
      </c>
      <c r="Y101" s="2"/>
      <c r="Z101" s="6">
        <f t="shared" si="43"/>
        <v>-4.1666666666666664E-2</v>
      </c>
    </row>
    <row r="102" spans="1:26" s="27" customFormat="1" outlineLevel="1" collapsed="1" x14ac:dyDescent="0.25">
      <c r="A102" s="28"/>
      <c r="B102" s="14" t="str">
        <f>CONCATENATE("     ","Repair and Maintenance                            ")</f>
        <v xml:space="preserve">     Repair and Maintenance                            </v>
      </c>
      <c r="C102" s="14"/>
      <c r="D102" s="1">
        <f>SUM(OSRRefD22_14x_0)</f>
        <v>0</v>
      </c>
      <c r="E102" s="1"/>
      <c r="F102" s="5">
        <f t="shared" si="36"/>
        <v>0</v>
      </c>
      <c r="G102" s="1"/>
      <c r="H102" s="1">
        <f>SUM(OSRRefH22_14x_0)</f>
        <v>150</v>
      </c>
      <c r="I102" s="1"/>
      <c r="J102" s="5">
        <f t="shared" si="37"/>
        <v>6.5174768193263682E-4</v>
      </c>
      <c r="K102" s="1"/>
      <c r="L102" s="1">
        <f t="shared" si="38"/>
        <v>-150</v>
      </c>
      <c r="M102" s="1"/>
      <c r="N102" s="5">
        <f t="shared" si="39"/>
        <v>-1</v>
      </c>
      <c r="O102" s="14"/>
      <c r="P102" s="1">
        <f>SUM(OSRRefP22_14x_0)</f>
        <v>0</v>
      </c>
      <c r="Q102" s="1"/>
      <c r="R102" s="5">
        <f t="shared" si="40"/>
        <v>0</v>
      </c>
      <c r="S102" s="1"/>
      <c r="T102" s="1">
        <f>SUM(OSRRefT22_14x_0)</f>
        <v>150</v>
      </c>
      <c r="U102" s="1"/>
      <c r="V102" s="5">
        <f t="shared" si="41"/>
        <v>6.5174768193263682E-4</v>
      </c>
      <c r="W102" s="1"/>
      <c r="X102" s="1">
        <f t="shared" si="42"/>
        <v>-150</v>
      </c>
      <c r="Y102" s="1"/>
      <c r="Z102" s="5">
        <f t="shared" si="43"/>
        <v>-1</v>
      </c>
    </row>
    <row r="103" spans="1:26" s="24" customFormat="1" hidden="1" outlineLevel="2" x14ac:dyDescent="0.25">
      <c r="A103" s="29"/>
      <c r="B103" s="11" t="str">
        <f>CONCATENATE("          ", "6373", " - ", "MAINTENANCE CONTRACTS")</f>
        <v xml:space="preserve">          6373 - MAINTENANCE CONTRACTS</v>
      </c>
      <c r="C103" s="11"/>
      <c r="D103" s="7"/>
      <c r="E103" s="2"/>
      <c r="F103" s="6">
        <f t="shared" si="36"/>
        <v>0</v>
      </c>
      <c r="G103" s="2"/>
      <c r="H103" s="7">
        <v>0</v>
      </c>
      <c r="I103" s="2"/>
      <c r="J103" s="6">
        <f t="shared" si="37"/>
        <v>0</v>
      </c>
      <c r="K103" s="2"/>
      <c r="L103" s="7">
        <f t="shared" si="38"/>
        <v>0</v>
      </c>
      <c r="M103" s="2"/>
      <c r="N103" s="6">
        <f t="shared" si="39"/>
        <v>0</v>
      </c>
      <c r="O103" s="11"/>
      <c r="P103" s="7"/>
      <c r="Q103" s="2"/>
      <c r="R103" s="6">
        <f t="shared" si="40"/>
        <v>0</v>
      </c>
      <c r="S103" s="2"/>
      <c r="T103" s="7">
        <v>0</v>
      </c>
      <c r="U103" s="2"/>
      <c r="V103" s="6">
        <f t="shared" si="41"/>
        <v>0</v>
      </c>
      <c r="W103" s="2"/>
      <c r="X103" s="7">
        <f t="shared" si="42"/>
        <v>0</v>
      </c>
      <c r="Y103" s="2"/>
      <c r="Z103" s="6">
        <f t="shared" si="43"/>
        <v>0</v>
      </c>
    </row>
    <row r="104" spans="1:26" s="24" customFormat="1" hidden="1" outlineLevel="2" x14ac:dyDescent="0.25">
      <c r="A104" s="29"/>
      <c r="B104" s="11" t="str">
        <f>CONCATENATE("          ", "6375", " - ", "OUTSIDE REPAIRS &amp; MAINTENANCE")</f>
        <v xml:space="preserve">          6375 - OUTSIDE REPAIRS &amp; MAINTENANCE</v>
      </c>
      <c r="C104" s="11"/>
      <c r="D104" s="7"/>
      <c r="E104" s="2"/>
      <c r="F104" s="6">
        <f t="shared" si="36"/>
        <v>0</v>
      </c>
      <c r="G104" s="2"/>
      <c r="H104" s="7">
        <v>150</v>
      </c>
      <c r="I104" s="2"/>
      <c r="J104" s="6">
        <f t="shared" si="37"/>
        <v>6.5174768193263682E-4</v>
      </c>
      <c r="K104" s="2"/>
      <c r="L104" s="7">
        <f t="shared" si="38"/>
        <v>-150</v>
      </c>
      <c r="M104" s="2"/>
      <c r="N104" s="6">
        <f t="shared" si="39"/>
        <v>-1</v>
      </c>
      <c r="O104" s="11"/>
      <c r="P104" s="7"/>
      <c r="Q104" s="2"/>
      <c r="R104" s="6">
        <f t="shared" si="40"/>
        <v>0</v>
      </c>
      <c r="S104" s="2"/>
      <c r="T104" s="7">
        <v>150</v>
      </c>
      <c r="U104" s="2"/>
      <c r="V104" s="6">
        <f t="shared" si="41"/>
        <v>6.5174768193263682E-4</v>
      </c>
      <c r="W104" s="2"/>
      <c r="X104" s="7">
        <f t="shared" si="42"/>
        <v>-150</v>
      </c>
      <c r="Y104" s="2"/>
      <c r="Z104" s="6">
        <f t="shared" si="43"/>
        <v>-1</v>
      </c>
    </row>
    <row r="105" spans="1:26" s="27" customFormat="1" outlineLevel="1" collapsed="1" x14ac:dyDescent="0.25">
      <c r="A105" s="28"/>
      <c r="B105" s="14" t="str">
        <f>CONCATENATE("     ","Royalty &amp; Commissions                             ")</f>
        <v xml:space="preserve">     Royalty &amp; Commissions                             </v>
      </c>
      <c r="C105" s="14"/>
      <c r="D105" s="1">
        <f>SUM(OSRRefD22_15x_0)</f>
        <v>4481.04</v>
      </c>
      <c r="E105" s="1"/>
      <c r="F105" s="5">
        <f t="shared" ref="F105:F108" si="44">IF(D$12=0,0,D105/D$12)</f>
        <v>1.9304234387586706E-2</v>
      </c>
      <c r="G105" s="1"/>
      <c r="H105" s="1">
        <f>SUM(OSRRefH22_15x_0)</f>
        <v>5485</v>
      </c>
      <c r="I105" s="1"/>
      <c r="J105" s="5">
        <f t="shared" ref="J105:J108" si="45">IF(H$12=0,0,H105/H$12)</f>
        <v>2.3832240236003419E-2</v>
      </c>
      <c r="K105" s="1"/>
      <c r="L105" s="1">
        <f t="shared" ref="L105:L108" si="46">+D105-H105</f>
        <v>-1003.96</v>
      </c>
      <c r="M105" s="1"/>
      <c r="N105" s="5">
        <f t="shared" ref="N105:N108" si="47">IF(H105=0,0,L105/H105)</f>
        <v>-0.18303737465815861</v>
      </c>
      <c r="O105" s="14"/>
      <c r="P105" s="1">
        <f>SUM(OSRRefP22_15x_0)</f>
        <v>4481.04</v>
      </c>
      <c r="Q105" s="1"/>
      <c r="R105" s="5">
        <f t="shared" ref="R105:R108" si="48">IF(P$12=0,0,P105/P$12)</f>
        <v>1.9304234387586706E-2</v>
      </c>
      <c r="S105" s="1"/>
      <c r="T105" s="1">
        <f>SUM(OSRRefT22_15x_0)</f>
        <v>5485</v>
      </c>
      <c r="U105" s="1"/>
      <c r="V105" s="5">
        <f t="shared" ref="V105:V108" si="49">IF(T$12=0,0,T105/T$12)</f>
        <v>2.3832240236003419E-2</v>
      </c>
      <c r="W105" s="1"/>
      <c r="X105" s="1">
        <f t="shared" ref="X105:X108" si="50">+P105-T105</f>
        <v>-1003.96</v>
      </c>
      <c r="Y105" s="1"/>
      <c r="Z105" s="5">
        <f t="shared" ref="Z105:Z108" si="51">IF(T105=0,0,X105/T105)</f>
        <v>-0.18303737465815861</v>
      </c>
    </row>
    <row r="106" spans="1:26" s="24" customFormat="1" hidden="1" outlineLevel="2" x14ac:dyDescent="0.25">
      <c r="A106" s="29"/>
      <c r="B106" s="11" t="str">
        <f>CONCATENATE("          ", "6252", " - ", "ROYALTY DUE CSTV")</f>
        <v xml:space="preserve">          6252 - ROYALTY DUE CSTV</v>
      </c>
      <c r="C106" s="11"/>
      <c r="D106" s="7"/>
      <c r="E106" s="2"/>
      <c r="F106" s="6">
        <f t="shared" si="44"/>
        <v>0</v>
      </c>
      <c r="G106" s="2"/>
      <c r="H106" s="7">
        <v>1085</v>
      </c>
      <c r="I106" s="2"/>
      <c r="J106" s="6">
        <f t="shared" si="45"/>
        <v>4.7143082326460729E-3</v>
      </c>
      <c r="K106" s="2"/>
      <c r="L106" s="7">
        <f t="shared" si="46"/>
        <v>-1085</v>
      </c>
      <c r="M106" s="2"/>
      <c r="N106" s="6">
        <f t="shared" si="47"/>
        <v>-1</v>
      </c>
      <c r="O106" s="11"/>
      <c r="P106" s="7"/>
      <c r="Q106" s="2"/>
      <c r="R106" s="6">
        <f t="shared" si="48"/>
        <v>0</v>
      </c>
      <c r="S106" s="2"/>
      <c r="T106" s="7">
        <v>1085</v>
      </c>
      <c r="U106" s="2"/>
      <c r="V106" s="6">
        <f t="shared" si="49"/>
        <v>4.7143082326460729E-3</v>
      </c>
      <c r="W106" s="2"/>
      <c r="X106" s="7">
        <f t="shared" si="50"/>
        <v>-1085</v>
      </c>
      <c r="Y106" s="2"/>
      <c r="Z106" s="6">
        <f t="shared" si="51"/>
        <v>-1</v>
      </c>
    </row>
    <row r="107" spans="1:26" s="24" customFormat="1" hidden="1" outlineLevel="2" x14ac:dyDescent="0.25">
      <c r="A107" s="29"/>
      <c r="B107" s="11" t="str">
        <f>CONCATENATE("          ", "6253", " - ", "ROYALTY DUE ATHLETICS-LRG")</f>
        <v xml:space="preserve">          6253 - ROYALTY DUE ATHLETICS-LRG</v>
      </c>
      <c r="C107" s="11"/>
      <c r="D107" s="7">
        <v>4366.95</v>
      </c>
      <c r="E107" s="2"/>
      <c r="F107" s="6">
        <f t="shared" si="44"/>
        <v>1.881273685547814E-2</v>
      </c>
      <c r="G107" s="2"/>
      <c r="H107" s="7">
        <v>3700</v>
      </c>
      <c r="I107" s="2"/>
      <c r="J107" s="6">
        <f t="shared" si="45"/>
        <v>1.6076442821005042E-2</v>
      </c>
      <c r="K107" s="2"/>
      <c r="L107" s="7">
        <f t="shared" si="46"/>
        <v>666.94999999999982</v>
      </c>
      <c r="M107" s="2"/>
      <c r="N107" s="6">
        <f t="shared" si="47"/>
        <v>0.1802567567567567</v>
      </c>
      <c r="O107" s="11"/>
      <c r="P107" s="7">
        <v>4366.95</v>
      </c>
      <c r="Q107" s="2"/>
      <c r="R107" s="6">
        <f t="shared" si="48"/>
        <v>1.881273685547814E-2</v>
      </c>
      <c r="S107" s="2"/>
      <c r="T107" s="7">
        <v>3700</v>
      </c>
      <c r="U107" s="2"/>
      <c r="V107" s="6">
        <f t="shared" si="49"/>
        <v>1.6076442821005042E-2</v>
      </c>
      <c r="W107" s="2"/>
      <c r="X107" s="7">
        <f t="shared" si="50"/>
        <v>666.94999999999982</v>
      </c>
      <c r="Y107" s="2"/>
      <c r="Z107" s="6">
        <f t="shared" si="51"/>
        <v>0.1802567567567567</v>
      </c>
    </row>
    <row r="108" spans="1:26" s="24" customFormat="1" hidden="1" outlineLevel="2" x14ac:dyDescent="0.25">
      <c r="A108" s="29"/>
      <c r="B108" s="11" t="str">
        <f>CONCATENATE("          ", "6254", " - ", "ROYALTY &amp; COMMISSIONS")</f>
        <v xml:space="preserve">          6254 - ROYALTY &amp; COMMISSIONS</v>
      </c>
      <c r="C108" s="11"/>
      <c r="D108" s="7">
        <v>114.09</v>
      </c>
      <c r="E108" s="2"/>
      <c r="F108" s="6">
        <f t="shared" si="44"/>
        <v>4.9149753210856568E-4</v>
      </c>
      <c r="G108" s="2"/>
      <c r="H108" s="7">
        <v>700</v>
      </c>
      <c r="I108" s="2"/>
      <c r="J108" s="6">
        <f t="shared" si="45"/>
        <v>3.0414891823523052E-3</v>
      </c>
      <c r="K108" s="2"/>
      <c r="L108" s="7">
        <f t="shared" si="46"/>
        <v>-585.91</v>
      </c>
      <c r="M108" s="2"/>
      <c r="N108" s="6">
        <f t="shared" si="47"/>
        <v>-0.83701428571428571</v>
      </c>
      <c r="O108" s="11"/>
      <c r="P108" s="7">
        <v>114.09</v>
      </c>
      <c r="Q108" s="2"/>
      <c r="R108" s="6">
        <f t="shared" si="48"/>
        <v>4.9149753210856568E-4</v>
      </c>
      <c r="S108" s="2"/>
      <c r="T108" s="7">
        <v>700</v>
      </c>
      <c r="U108" s="2"/>
      <c r="V108" s="6">
        <f t="shared" si="49"/>
        <v>3.0414891823523052E-3</v>
      </c>
      <c r="W108" s="2"/>
      <c r="X108" s="7">
        <f t="shared" si="50"/>
        <v>-585.91</v>
      </c>
      <c r="Y108" s="2"/>
      <c r="Z108" s="6">
        <f t="shared" si="51"/>
        <v>-0.83701428571428571</v>
      </c>
    </row>
    <row r="109" spans="1:26" s="27" customFormat="1" outlineLevel="1" collapsed="1" x14ac:dyDescent="0.25">
      <c r="A109" s="28"/>
      <c r="B109" s="14" t="str">
        <f>CONCATENATE("     ","Services                                          ")</f>
        <v xml:space="preserve">     Services                                          </v>
      </c>
      <c r="C109" s="14"/>
      <c r="D109" s="1">
        <f>SUM(OSRRefD22_16x_0)</f>
        <v>241.37</v>
      </c>
      <c r="E109" s="1"/>
      <c r="F109" s="5">
        <f t="shared" ref="F109:F112" si="52">IF(D$12=0,0,D109/D$12)</f>
        <v>1.0398173312739462E-3</v>
      </c>
      <c r="G109" s="1"/>
      <c r="H109" s="1">
        <f>SUM(OSRRefH22_16x_0)</f>
        <v>232.5</v>
      </c>
      <c r="I109" s="1"/>
      <c r="J109" s="5">
        <f t="shared" ref="J109:J112" si="53">IF(H$12=0,0,H109/H$12)</f>
        <v>1.0102089069955872E-3</v>
      </c>
      <c r="K109" s="1"/>
      <c r="L109" s="1">
        <f t="shared" ref="L109:L112" si="54">+D109-H109</f>
        <v>8.8700000000000045</v>
      </c>
      <c r="M109" s="1"/>
      <c r="N109" s="5">
        <f t="shared" ref="N109:N112" si="55">IF(H109=0,0,L109/H109)</f>
        <v>3.8150537634408621E-2</v>
      </c>
      <c r="O109" s="14"/>
      <c r="P109" s="1">
        <f>SUM(OSRRefP22_16x_0)</f>
        <v>241.37</v>
      </c>
      <c r="Q109" s="1"/>
      <c r="R109" s="5">
        <f t="shared" ref="R109:R112" si="56">IF(P$12=0,0,P109/P$12)</f>
        <v>1.0398173312739462E-3</v>
      </c>
      <c r="S109" s="1"/>
      <c r="T109" s="1">
        <f>SUM(OSRRefT22_16x_0)</f>
        <v>232.5</v>
      </c>
      <c r="U109" s="1"/>
      <c r="V109" s="5">
        <f t="shared" ref="V109:V112" si="57">IF(T$12=0,0,T109/T$12)</f>
        <v>1.0102089069955872E-3</v>
      </c>
      <c r="W109" s="1"/>
      <c r="X109" s="1">
        <f t="shared" ref="X109:X112" si="58">+P109-T109</f>
        <v>8.8700000000000045</v>
      </c>
      <c r="Y109" s="1"/>
      <c r="Z109" s="5">
        <f t="shared" ref="Z109:Z112" si="59">IF(T109=0,0,X109/T109)</f>
        <v>3.8150537634408621E-2</v>
      </c>
    </row>
    <row r="110" spans="1:26" s="24" customFormat="1" hidden="1" outlineLevel="2" x14ac:dyDescent="0.25">
      <c r="A110" s="29"/>
      <c r="B110" s="11" t="str">
        <f>CONCATENATE("          ", "6283", " - ", "PLANT SERVICE")</f>
        <v xml:space="preserve">          6283 - PLANT SERVICE</v>
      </c>
      <c r="C110" s="11"/>
      <c r="D110" s="7">
        <v>59.55</v>
      </c>
      <c r="E110" s="2"/>
      <c r="F110" s="6">
        <f t="shared" si="52"/>
        <v>2.5654025801617221E-4</v>
      </c>
      <c r="G110" s="2"/>
      <c r="H110" s="7">
        <v>60</v>
      </c>
      <c r="I110" s="2"/>
      <c r="J110" s="6">
        <f t="shared" si="53"/>
        <v>2.6069907277305476E-4</v>
      </c>
      <c r="K110" s="2"/>
      <c r="L110" s="7">
        <f t="shared" si="54"/>
        <v>-0.45000000000000284</v>
      </c>
      <c r="M110" s="2"/>
      <c r="N110" s="6">
        <f t="shared" si="55"/>
        <v>-7.5000000000000474E-3</v>
      </c>
      <c r="O110" s="11"/>
      <c r="P110" s="7">
        <v>59.55</v>
      </c>
      <c r="Q110" s="2"/>
      <c r="R110" s="6">
        <f t="shared" si="56"/>
        <v>2.5654025801617221E-4</v>
      </c>
      <c r="S110" s="2"/>
      <c r="T110" s="7">
        <v>60</v>
      </c>
      <c r="U110" s="2"/>
      <c r="V110" s="6">
        <f t="shared" si="57"/>
        <v>2.6069907277305476E-4</v>
      </c>
      <c r="W110" s="2"/>
      <c r="X110" s="7">
        <f t="shared" si="58"/>
        <v>-0.45000000000000284</v>
      </c>
      <c r="Y110" s="2"/>
      <c r="Z110" s="6">
        <f t="shared" si="59"/>
        <v>-7.5000000000000474E-3</v>
      </c>
    </row>
    <row r="111" spans="1:26" s="24" customFormat="1" hidden="1" outlineLevel="2" x14ac:dyDescent="0.25">
      <c r="A111" s="29"/>
      <c r="B111" s="11" t="str">
        <f>CONCATENATE("          ", "6284", " - ", "TRASH REMOVAL EXPENSE")</f>
        <v xml:space="preserve">          6284 - TRASH REMOVAL EXPENSE</v>
      </c>
      <c r="C111" s="11"/>
      <c r="D111" s="7">
        <v>134.82</v>
      </c>
      <c r="E111" s="2"/>
      <c r="F111" s="6">
        <f t="shared" si="52"/>
        <v>5.8080197457162613E-4</v>
      </c>
      <c r="G111" s="2"/>
      <c r="H111" s="7">
        <v>62.5</v>
      </c>
      <c r="I111" s="2"/>
      <c r="J111" s="6">
        <f t="shared" si="53"/>
        <v>2.7156153413859866E-4</v>
      </c>
      <c r="K111" s="2"/>
      <c r="L111" s="7">
        <f t="shared" si="54"/>
        <v>72.319999999999993</v>
      </c>
      <c r="M111" s="2"/>
      <c r="N111" s="6">
        <f t="shared" si="55"/>
        <v>1.1571199999999999</v>
      </c>
      <c r="O111" s="11"/>
      <c r="P111" s="7">
        <v>134.82</v>
      </c>
      <c r="Q111" s="2"/>
      <c r="R111" s="6">
        <f t="shared" si="56"/>
        <v>5.8080197457162613E-4</v>
      </c>
      <c r="S111" s="2"/>
      <c r="T111" s="7">
        <v>62.5</v>
      </c>
      <c r="U111" s="2"/>
      <c r="V111" s="6">
        <f t="shared" si="57"/>
        <v>2.7156153413859866E-4</v>
      </c>
      <c r="W111" s="2"/>
      <c r="X111" s="7">
        <f t="shared" si="58"/>
        <v>72.319999999999993</v>
      </c>
      <c r="Y111" s="2"/>
      <c r="Z111" s="6">
        <f t="shared" si="59"/>
        <v>1.1571199999999999</v>
      </c>
    </row>
    <row r="112" spans="1:26" s="24" customFormat="1" hidden="1" outlineLevel="2" x14ac:dyDescent="0.25">
      <c r="A112" s="29"/>
      <c r="B112" s="11" t="str">
        <f>CONCATENATE("          ", "6285", " - ", "JANITORIAL SERVICES")</f>
        <v xml:space="preserve">          6285 - JANITORIAL SERVICES</v>
      </c>
      <c r="C112" s="11"/>
      <c r="D112" s="7">
        <v>47</v>
      </c>
      <c r="E112" s="2"/>
      <c r="F112" s="6">
        <f t="shared" si="52"/>
        <v>2.0247509868614769E-4</v>
      </c>
      <c r="G112" s="2"/>
      <c r="H112" s="7">
        <v>110</v>
      </c>
      <c r="I112" s="2"/>
      <c r="J112" s="6">
        <f t="shared" si="53"/>
        <v>4.7794830008393368E-4</v>
      </c>
      <c r="K112" s="2"/>
      <c r="L112" s="7">
        <f t="shared" si="54"/>
        <v>-63</v>
      </c>
      <c r="M112" s="2"/>
      <c r="N112" s="6">
        <f t="shared" si="55"/>
        <v>-0.57272727272727275</v>
      </c>
      <c r="O112" s="11"/>
      <c r="P112" s="7">
        <v>47</v>
      </c>
      <c r="Q112" s="2"/>
      <c r="R112" s="6">
        <f t="shared" si="56"/>
        <v>2.0247509868614769E-4</v>
      </c>
      <c r="S112" s="2"/>
      <c r="T112" s="7">
        <v>110</v>
      </c>
      <c r="U112" s="2"/>
      <c r="V112" s="6">
        <f t="shared" si="57"/>
        <v>4.7794830008393368E-4</v>
      </c>
      <c r="W112" s="2"/>
      <c r="X112" s="7">
        <f t="shared" si="58"/>
        <v>-63</v>
      </c>
      <c r="Y112" s="2"/>
      <c r="Z112" s="6">
        <f t="shared" si="59"/>
        <v>-0.57272727272727275</v>
      </c>
    </row>
    <row r="113" spans="1:26" s="27" customFormat="1" outlineLevel="1" collapsed="1" x14ac:dyDescent="0.25">
      <c r="A113" s="28"/>
      <c r="B113" s="14" t="str">
        <f>CONCATENATE("     ","Subscriptions &amp; Dues                              ")</f>
        <v xml:space="preserve">     Subscriptions &amp; Dues                              </v>
      </c>
      <c r="C113" s="14"/>
      <c r="D113" s="1">
        <f>SUM(OSRRefD22_17x_0)</f>
        <v>13.42</v>
      </c>
      <c r="E113" s="1"/>
      <c r="F113" s="5">
        <f t="shared" ref="F113:F115" si="60">IF(D$12=0,0,D113/D$12)</f>
        <v>5.7813102646129827E-5</v>
      </c>
      <c r="G113" s="1"/>
      <c r="H113" s="1">
        <f>SUM(OSRRefH22_17x_0)</f>
        <v>2185</v>
      </c>
      <c r="I113" s="1"/>
      <c r="J113" s="5">
        <f t="shared" ref="J113:J115" si="61">IF(H$12=0,0,H113/H$12)</f>
        <v>9.4937912334854095E-3</v>
      </c>
      <c r="K113" s="1"/>
      <c r="L113" s="1">
        <f t="shared" ref="L113:L115" si="62">+D113-H113</f>
        <v>-2171.58</v>
      </c>
      <c r="M113" s="1"/>
      <c r="N113" s="5">
        <f t="shared" ref="N113:N115" si="63">IF(H113=0,0,L113/H113)</f>
        <v>-0.99385812356979397</v>
      </c>
      <c r="O113" s="14"/>
      <c r="P113" s="1">
        <f>SUM(OSRRefP22_17x_0)</f>
        <v>13.42</v>
      </c>
      <c r="Q113" s="1"/>
      <c r="R113" s="5">
        <f t="shared" ref="R113:R115" si="64">IF(P$12=0,0,P113/P$12)</f>
        <v>5.7813102646129827E-5</v>
      </c>
      <c r="S113" s="1"/>
      <c r="T113" s="1">
        <f>SUM(OSRRefT22_17x_0)</f>
        <v>2185</v>
      </c>
      <c r="U113" s="1"/>
      <c r="V113" s="5">
        <f t="shared" ref="V113:V115" si="65">IF(T$12=0,0,T113/T$12)</f>
        <v>9.4937912334854095E-3</v>
      </c>
      <c r="W113" s="1"/>
      <c r="X113" s="1">
        <f t="shared" ref="X113:X115" si="66">+P113-T113</f>
        <v>-2171.58</v>
      </c>
      <c r="Y113" s="1"/>
      <c r="Z113" s="5">
        <f t="shared" ref="Z113:Z115" si="67">IF(T113=0,0,X113/T113)</f>
        <v>-0.99385812356979397</v>
      </c>
    </row>
    <row r="114" spans="1:26" s="24" customFormat="1" hidden="1" outlineLevel="2" x14ac:dyDescent="0.25">
      <c r="A114" s="29"/>
      <c r="B114" s="11" t="str">
        <f>CONCATENATE("          ", "6258", " - ", "MEMBERSHIP DUES")</f>
        <v xml:space="preserve">          6258 - MEMBERSHIP DUES</v>
      </c>
      <c r="C114" s="11"/>
      <c r="D114" s="7"/>
      <c r="E114" s="2"/>
      <c r="F114" s="6">
        <f t="shared" si="60"/>
        <v>0</v>
      </c>
      <c r="G114" s="2"/>
      <c r="H114" s="7">
        <v>1395</v>
      </c>
      <c r="I114" s="2"/>
      <c r="J114" s="6">
        <f t="shared" si="61"/>
        <v>6.0612534419735228E-3</v>
      </c>
      <c r="K114" s="2"/>
      <c r="L114" s="7">
        <f t="shared" si="62"/>
        <v>-1395</v>
      </c>
      <c r="M114" s="2"/>
      <c r="N114" s="6">
        <f t="shared" si="63"/>
        <v>-1</v>
      </c>
      <c r="O114" s="11"/>
      <c r="P114" s="7"/>
      <c r="Q114" s="2"/>
      <c r="R114" s="6">
        <f t="shared" si="64"/>
        <v>0</v>
      </c>
      <c r="S114" s="2"/>
      <c r="T114" s="7">
        <v>1395</v>
      </c>
      <c r="U114" s="2"/>
      <c r="V114" s="6">
        <f t="shared" si="65"/>
        <v>6.0612534419735228E-3</v>
      </c>
      <c r="W114" s="2"/>
      <c r="X114" s="7">
        <f t="shared" si="66"/>
        <v>-1395</v>
      </c>
      <c r="Y114" s="2"/>
      <c r="Z114" s="6">
        <f t="shared" si="67"/>
        <v>-1</v>
      </c>
    </row>
    <row r="115" spans="1:26" s="24" customFormat="1" hidden="1" outlineLevel="2" x14ac:dyDescent="0.25">
      <c r="A115" s="29"/>
      <c r="B115" s="11" t="str">
        <f>CONCATENATE("          ", "6275", " - ", "SUBSCRIPTIONS")</f>
        <v xml:space="preserve">          6275 - SUBSCRIPTIONS</v>
      </c>
      <c r="C115" s="11"/>
      <c r="D115" s="7">
        <v>13.42</v>
      </c>
      <c r="E115" s="2"/>
      <c r="F115" s="6">
        <f t="shared" si="60"/>
        <v>5.7813102646129827E-5</v>
      </c>
      <c r="G115" s="2"/>
      <c r="H115" s="7">
        <v>790</v>
      </c>
      <c r="I115" s="2"/>
      <c r="J115" s="6">
        <f t="shared" si="61"/>
        <v>3.4325377915118875E-3</v>
      </c>
      <c r="K115" s="2"/>
      <c r="L115" s="7">
        <f t="shared" si="62"/>
        <v>-776.58</v>
      </c>
      <c r="M115" s="2"/>
      <c r="N115" s="6">
        <f t="shared" si="63"/>
        <v>-0.98301265822784811</v>
      </c>
      <c r="O115" s="11"/>
      <c r="P115" s="7">
        <v>13.42</v>
      </c>
      <c r="Q115" s="2"/>
      <c r="R115" s="6">
        <f t="shared" si="64"/>
        <v>5.7813102646129827E-5</v>
      </c>
      <c r="S115" s="2"/>
      <c r="T115" s="7">
        <v>790</v>
      </c>
      <c r="U115" s="2"/>
      <c r="V115" s="6">
        <f t="shared" si="65"/>
        <v>3.4325377915118875E-3</v>
      </c>
      <c r="W115" s="2"/>
      <c r="X115" s="7">
        <f t="shared" si="66"/>
        <v>-776.58</v>
      </c>
      <c r="Y115" s="2"/>
      <c r="Z115" s="6">
        <f t="shared" si="67"/>
        <v>-0.98301265822784811</v>
      </c>
    </row>
    <row r="116" spans="1:26" s="27" customFormat="1" outlineLevel="1" collapsed="1" x14ac:dyDescent="0.25">
      <c r="A116" s="28"/>
      <c r="B116" s="14" t="str">
        <f>CONCATENATE("     ","Supplies                                          ")</f>
        <v xml:space="preserve">     Supplies                                          </v>
      </c>
      <c r="C116" s="14"/>
      <c r="D116" s="1">
        <f>SUM(OSRRefD22_18x_0)</f>
        <v>1534.33</v>
      </c>
      <c r="E116" s="1"/>
      <c r="F116" s="5">
        <f t="shared" ref="F116:F121" si="68">IF(D$12=0,0,D116/D$12)</f>
        <v>6.6098642163216368E-3</v>
      </c>
      <c r="G116" s="1"/>
      <c r="H116" s="1">
        <f>SUM(OSRRefH22_18x_0)</f>
        <v>1860</v>
      </c>
      <c r="I116" s="1"/>
      <c r="J116" s="5">
        <f t="shared" ref="J116:J121" si="69">IF(H$12=0,0,H116/H$12)</f>
        <v>8.0816712559646977E-3</v>
      </c>
      <c r="K116" s="1"/>
      <c r="L116" s="1">
        <f t="shared" ref="L116:L121" si="70">+D116-H116</f>
        <v>-325.67000000000007</v>
      </c>
      <c r="M116" s="1"/>
      <c r="N116" s="5">
        <f t="shared" ref="N116:N121" si="71">IF(H116=0,0,L116/H116)</f>
        <v>-0.1750913978494624</v>
      </c>
      <c r="O116" s="14"/>
      <c r="P116" s="1">
        <f>SUM(OSRRefP22_18x_0)</f>
        <v>1534.33</v>
      </c>
      <c r="Q116" s="1"/>
      <c r="R116" s="5">
        <f t="shared" ref="R116:R121" si="72">IF(P$12=0,0,P116/P$12)</f>
        <v>6.6098642163216368E-3</v>
      </c>
      <c r="S116" s="1"/>
      <c r="T116" s="1">
        <f>SUM(OSRRefT22_18x_0)</f>
        <v>1860</v>
      </c>
      <c r="U116" s="1"/>
      <c r="V116" s="5">
        <f t="shared" ref="V116:V121" si="73">IF(T$12=0,0,T116/T$12)</f>
        <v>8.0816712559646977E-3</v>
      </c>
      <c r="W116" s="1"/>
      <c r="X116" s="1">
        <f t="shared" ref="X116:X121" si="74">+P116-T116</f>
        <v>-325.67000000000007</v>
      </c>
      <c r="Y116" s="1"/>
      <c r="Z116" s="5">
        <f t="shared" ref="Z116:Z121" si="75">IF(T116=0,0,X116/T116)</f>
        <v>-0.1750913978494624</v>
      </c>
    </row>
    <row r="117" spans="1:26" s="24" customFormat="1" hidden="1" outlineLevel="2" x14ac:dyDescent="0.25">
      <c r="A117" s="29"/>
      <c r="B117" s="11" t="str">
        <f>CONCATENATE("          ", "6234", " - ", "EXPENDABLE SUPPLIES &amp; EQUIPMEN")</f>
        <v xml:space="preserve">          6234 - EXPENDABLE SUPPLIES &amp; EQUIPMEN</v>
      </c>
      <c r="C117" s="11"/>
      <c r="D117" s="7">
        <v>-15.95</v>
      </c>
      <c r="E117" s="2"/>
      <c r="F117" s="6">
        <f t="shared" si="68"/>
        <v>-6.8712294128596928E-5</v>
      </c>
      <c r="G117" s="2"/>
      <c r="H117" s="7">
        <v>1300</v>
      </c>
      <c r="I117" s="2"/>
      <c r="J117" s="6">
        <f t="shared" si="69"/>
        <v>5.6484799100828525E-3</v>
      </c>
      <c r="K117" s="2"/>
      <c r="L117" s="7">
        <f t="shared" si="70"/>
        <v>-1315.95</v>
      </c>
      <c r="M117" s="2"/>
      <c r="N117" s="6">
        <f t="shared" si="71"/>
        <v>-1.0122692307692307</v>
      </c>
      <c r="O117" s="11"/>
      <c r="P117" s="7">
        <v>-15.95</v>
      </c>
      <c r="Q117" s="2"/>
      <c r="R117" s="6">
        <f t="shared" si="72"/>
        <v>-6.8712294128596928E-5</v>
      </c>
      <c r="S117" s="2"/>
      <c r="T117" s="7">
        <v>1300</v>
      </c>
      <c r="U117" s="2"/>
      <c r="V117" s="6">
        <f t="shared" si="73"/>
        <v>5.6484799100828525E-3</v>
      </c>
      <c r="W117" s="2"/>
      <c r="X117" s="7">
        <f t="shared" si="74"/>
        <v>-1315.95</v>
      </c>
      <c r="Y117" s="2"/>
      <c r="Z117" s="6">
        <f t="shared" si="75"/>
        <v>-1.0122692307692307</v>
      </c>
    </row>
    <row r="118" spans="1:26" s="24" customFormat="1" hidden="1" outlineLevel="2" x14ac:dyDescent="0.25">
      <c r="A118" s="29"/>
      <c r="B118" s="11" t="str">
        <f>CONCATENATE("          ", "6237", " - ", "JANITORIAL SUPPLIES")</f>
        <v xml:space="preserve">          6237 - JANITORIAL SUPPLIES</v>
      </c>
      <c r="C118" s="11"/>
      <c r="D118" s="7"/>
      <c r="E118" s="2"/>
      <c r="F118" s="6">
        <f t="shared" si="68"/>
        <v>0</v>
      </c>
      <c r="G118" s="2"/>
      <c r="H118" s="7">
        <v>35</v>
      </c>
      <c r="I118" s="2"/>
      <c r="J118" s="6">
        <f t="shared" si="69"/>
        <v>1.5207445911761527E-4</v>
      </c>
      <c r="K118" s="2"/>
      <c r="L118" s="7">
        <f t="shared" si="70"/>
        <v>-35</v>
      </c>
      <c r="M118" s="2"/>
      <c r="N118" s="6">
        <f t="shared" si="71"/>
        <v>-1</v>
      </c>
      <c r="O118" s="11"/>
      <c r="P118" s="7"/>
      <c r="Q118" s="2"/>
      <c r="R118" s="6">
        <f t="shared" si="72"/>
        <v>0</v>
      </c>
      <c r="S118" s="2"/>
      <c r="T118" s="7">
        <v>35</v>
      </c>
      <c r="U118" s="2"/>
      <c r="V118" s="6">
        <f t="shared" si="73"/>
        <v>1.5207445911761527E-4</v>
      </c>
      <c r="W118" s="2"/>
      <c r="X118" s="7">
        <f t="shared" si="74"/>
        <v>-35</v>
      </c>
      <c r="Y118" s="2"/>
      <c r="Z118" s="6">
        <f t="shared" si="75"/>
        <v>-1</v>
      </c>
    </row>
    <row r="119" spans="1:26" s="24" customFormat="1" hidden="1" outlineLevel="2" x14ac:dyDescent="0.25">
      <c r="A119" s="29"/>
      <c r="B119" s="11" t="str">
        <f>CONCATENATE("          ", "6241", " - ", "OFFICE EXPENSE")</f>
        <v xml:space="preserve">          6241 - OFFICE EXPENSE</v>
      </c>
      <c r="C119" s="11"/>
      <c r="D119" s="7">
        <v>1550.28</v>
      </c>
      <c r="E119" s="2"/>
      <c r="F119" s="6">
        <f t="shared" si="68"/>
        <v>6.6785765104502345E-3</v>
      </c>
      <c r="G119" s="2"/>
      <c r="H119" s="7">
        <v>300</v>
      </c>
      <c r="I119" s="2"/>
      <c r="J119" s="6">
        <f t="shared" si="69"/>
        <v>1.3034953638652736E-3</v>
      </c>
      <c r="K119" s="2"/>
      <c r="L119" s="7">
        <f t="shared" si="70"/>
        <v>1250.28</v>
      </c>
      <c r="M119" s="2"/>
      <c r="N119" s="6">
        <f t="shared" si="71"/>
        <v>4.1676000000000002</v>
      </c>
      <c r="O119" s="11"/>
      <c r="P119" s="7">
        <v>1550.28</v>
      </c>
      <c r="Q119" s="2"/>
      <c r="R119" s="6">
        <f t="shared" si="72"/>
        <v>6.6785765104502345E-3</v>
      </c>
      <c r="S119" s="2"/>
      <c r="T119" s="7">
        <v>300</v>
      </c>
      <c r="U119" s="2"/>
      <c r="V119" s="6">
        <f t="shared" si="73"/>
        <v>1.3034953638652736E-3</v>
      </c>
      <c r="W119" s="2"/>
      <c r="X119" s="7">
        <f t="shared" si="74"/>
        <v>1250.28</v>
      </c>
      <c r="Y119" s="2"/>
      <c r="Z119" s="6">
        <f t="shared" si="75"/>
        <v>4.1676000000000002</v>
      </c>
    </row>
    <row r="120" spans="1:26" s="24" customFormat="1" hidden="1" outlineLevel="2" x14ac:dyDescent="0.25">
      <c r="A120" s="29"/>
      <c r="B120" s="11" t="str">
        <f>CONCATENATE("          ", "6247", " - ", "STORE SUPPLIES")</f>
        <v xml:space="preserve">          6247 - STORE SUPPLIES</v>
      </c>
      <c r="C120" s="11"/>
      <c r="D120" s="7"/>
      <c r="E120" s="2"/>
      <c r="F120" s="6">
        <f t="shared" si="68"/>
        <v>0</v>
      </c>
      <c r="G120" s="2"/>
      <c r="H120" s="7">
        <v>225</v>
      </c>
      <c r="I120" s="2"/>
      <c r="J120" s="6">
        <f t="shared" si="69"/>
        <v>9.7762152289895539E-4</v>
      </c>
      <c r="K120" s="2"/>
      <c r="L120" s="7">
        <f t="shared" si="70"/>
        <v>-225</v>
      </c>
      <c r="M120" s="2"/>
      <c r="N120" s="6">
        <f t="shared" si="71"/>
        <v>-1</v>
      </c>
      <c r="O120" s="11"/>
      <c r="P120" s="7"/>
      <c r="Q120" s="2"/>
      <c r="R120" s="6">
        <f t="shared" si="72"/>
        <v>0</v>
      </c>
      <c r="S120" s="2"/>
      <c r="T120" s="7">
        <v>225</v>
      </c>
      <c r="U120" s="2"/>
      <c r="V120" s="6">
        <f t="shared" si="73"/>
        <v>9.7762152289895539E-4</v>
      </c>
      <c r="W120" s="2"/>
      <c r="X120" s="7">
        <f t="shared" si="74"/>
        <v>-225</v>
      </c>
      <c r="Y120" s="2"/>
      <c r="Z120" s="6">
        <f t="shared" si="75"/>
        <v>-1</v>
      </c>
    </row>
    <row r="121" spans="1:26" s="24" customFormat="1" hidden="1" outlineLevel="2" x14ac:dyDescent="0.25">
      <c r="A121" s="29"/>
      <c r="B121" s="11" t="str">
        <f>CONCATENATE("          ", "6248", " - ", "UNIFORMS")</f>
        <v xml:space="preserve">          6248 - UNIFORMS</v>
      </c>
      <c r="C121" s="11"/>
      <c r="D121" s="7"/>
      <c r="E121" s="2"/>
      <c r="F121" s="6">
        <f t="shared" si="68"/>
        <v>0</v>
      </c>
      <c r="G121" s="2"/>
      <c r="H121" s="7">
        <v>0</v>
      </c>
      <c r="I121" s="2"/>
      <c r="J121" s="6">
        <f t="shared" si="69"/>
        <v>0</v>
      </c>
      <c r="K121" s="2"/>
      <c r="L121" s="7">
        <f t="shared" si="70"/>
        <v>0</v>
      </c>
      <c r="M121" s="2"/>
      <c r="N121" s="6">
        <f t="shared" si="71"/>
        <v>0</v>
      </c>
      <c r="O121" s="11"/>
      <c r="P121" s="7"/>
      <c r="Q121" s="2"/>
      <c r="R121" s="6">
        <f t="shared" si="72"/>
        <v>0</v>
      </c>
      <c r="S121" s="2"/>
      <c r="T121" s="7">
        <v>0</v>
      </c>
      <c r="U121" s="2"/>
      <c r="V121" s="6">
        <f t="shared" si="73"/>
        <v>0</v>
      </c>
      <c r="W121" s="2"/>
      <c r="X121" s="7">
        <f t="shared" si="74"/>
        <v>0</v>
      </c>
      <c r="Y121" s="2"/>
      <c r="Z121" s="6">
        <f t="shared" si="75"/>
        <v>0</v>
      </c>
    </row>
    <row r="122" spans="1:26" s="27" customFormat="1" outlineLevel="1" collapsed="1" x14ac:dyDescent="0.25">
      <c r="A122" s="28"/>
      <c r="B122" s="14" t="str">
        <f>CONCATENATE("     ","Telephone/Data Lines                              ")</f>
        <v xml:space="preserve">     Telephone/Data Lines                              </v>
      </c>
      <c r="C122" s="14"/>
      <c r="D122" s="1">
        <f>SUM(OSRRefD22_19x_0)</f>
        <v>517.91</v>
      </c>
      <c r="E122" s="1"/>
      <c r="F122" s="5">
        <f t="shared" ref="F122:F124" si="76">IF(D$12=0,0,D122/D$12)</f>
        <v>2.2311463480966542E-3</v>
      </c>
      <c r="G122" s="1"/>
      <c r="H122" s="1">
        <f>SUM(OSRRefH22_19x_0)</f>
        <v>825</v>
      </c>
      <c r="I122" s="1"/>
      <c r="J122" s="5">
        <f t="shared" ref="J122:J124" si="77">IF(H$12=0,0,H122/H$12)</f>
        <v>3.5846122506295029E-3</v>
      </c>
      <c r="K122" s="1"/>
      <c r="L122" s="1">
        <f t="shared" ref="L122:L124" si="78">+D122-H122</f>
        <v>-307.09000000000003</v>
      </c>
      <c r="M122" s="1"/>
      <c r="N122" s="5">
        <f t="shared" ref="N122:N124" si="79">IF(H122=0,0,L122/H122)</f>
        <v>-0.37223030303030308</v>
      </c>
      <c r="O122" s="14"/>
      <c r="P122" s="1">
        <f>SUM(OSRRefP22_19x_0)</f>
        <v>517.91</v>
      </c>
      <c r="Q122" s="1"/>
      <c r="R122" s="5">
        <f t="shared" ref="R122:R124" si="80">IF(P$12=0,0,P122/P$12)</f>
        <v>2.2311463480966542E-3</v>
      </c>
      <c r="S122" s="1"/>
      <c r="T122" s="1">
        <f>SUM(OSRRefT22_19x_0)</f>
        <v>825</v>
      </c>
      <c r="U122" s="1"/>
      <c r="V122" s="5">
        <f t="shared" ref="V122:V124" si="81">IF(T$12=0,0,T122/T$12)</f>
        <v>3.5846122506295029E-3</v>
      </c>
      <c r="W122" s="1"/>
      <c r="X122" s="1">
        <f t="shared" ref="X122:X124" si="82">+P122-T122</f>
        <v>-307.09000000000003</v>
      </c>
      <c r="Y122" s="1"/>
      <c r="Z122" s="5">
        <f t="shared" ref="Z122:Z124" si="83">IF(T122=0,0,X122/T122)</f>
        <v>-0.37223030303030308</v>
      </c>
    </row>
    <row r="123" spans="1:26" s="24" customFormat="1" hidden="1" outlineLevel="2" x14ac:dyDescent="0.25">
      <c r="A123" s="29"/>
      <c r="B123" s="11" t="str">
        <f>CONCATENATE("          ", "6303", " - ", "DATA PHONE LINES")</f>
        <v xml:space="preserve">          6303 - DATA PHONE LINES</v>
      </c>
      <c r="C123" s="11"/>
      <c r="D123" s="7"/>
      <c r="E123" s="2"/>
      <c r="F123" s="6">
        <f t="shared" si="76"/>
        <v>0</v>
      </c>
      <c r="G123" s="2"/>
      <c r="H123" s="7">
        <v>350</v>
      </c>
      <c r="I123" s="2"/>
      <c r="J123" s="6">
        <f t="shared" si="77"/>
        <v>1.5207445911761526E-3</v>
      </c>
      <c r="K123" s="2"/>
      <c r="L123" s="7">
        <f t="shared" si="78"/>
        <v>-350</v>
      </c>
      <c r="M123" s="2"/>
      <c r="N123" s="6">
        <f t="shared" si="79"/>
        <v>-1</v>
      </c>
      <c r="O123" s="11"/>
      <c r="P123" s="7"/>
      <c r="Q123" s="2"/>
      <c r="R123" s="6">
        <f t="shared" si="80"/>
        <v>0</v>
      </c>
      <c r="S123" s="2"/>
      <c r="T123" s="7">
        <v>350</v>
      </c>
      <c r="U123" s="2"/>
      <c r="V123" s="6">
        <f t="shared" si="81"/>
        <v>1.5207445911761526E-3</v>
      </c>
      <c r="W123" s="2"/>
      <c r="X123" s="7">
        <f t="shared" si="82"/>
        <v>-350</v>
      </c>
      <c r="Y123" s="2"/>
      <c r="Z123" s="6">
        <f t="shared" si="83"/>
        <v>-1</v>
      </c>
    </row>
    <row r="124" spans="1:26" s="24" customFormat="1" hidden="1" outlineLevel="2" x14ac:dyDescent="0.25">
      <c r="A124" s="29"/>
      <c r="B124" s="11" t="str">
        <f>CONCATENATE("          ", "6309", " - ", "TELEPHONE")</f>
        <v xml:space="preserve">          6309 - TELEPHONE</v>
      </c>
      <c r="C124" s="11"/>
      <c r="D124" s="7">
        <v>517.91</v>
      </c>
      <c r="E124" s="2"/>
      <c r="F124" s="6">
        <f t="shared" si="76"/>
        <v>2.2311463480966542E-3</v>
      </c>
      <c r="G124" s="2"/>
      <c r="H124" s="7">
        <v>475</v>
      </c>
      <c r="I124" s="2"/>
      <c r="J124" s="6">
        <f t="shared" si="77"/>
        <v>2.06386765945335E-3</v>
      </c>
      <c r="K124" s="2"/>
      <c r="L124" s="7">
        <f t="shared" si="78"/>
        <v>42.909999999999968</v>
      </c>
      <c r="M124" s="2"/>
      <c r="N124" s="6">
        <f t="shared" si="79"/>
        <v>9.033684210526309E-2</v>
      </c>
      <c r="O124" s="11"/>
      <c r="P124" s="7">
        <v>517.91</v>
      </c>
      <c r="Q124" s="2"/>
      <c r="R124" s="6">
        <f t="shared" si="80"/>
        <v>2.2311463480966542E-3</v>
      </c>
      <c r="S124" s="2"/>
      <c r="T124" s="7">
        <v>475</v>
      </c>
      <c r="U124" s="2"/>
      <c r="V124" s="6">
        <f t="shared" si="81"/>
        <v>2.06386765945335E-3</v>
      </c>
      <c r="W124" s="2"/>
      <c r="X124" s="7">
        <f t="shared" si="82"/>
        <v>42.909999999999968</v>
      </c>
      <c r="Y124" s="2"/>
      <c r="Z124" s="6">
        <f t="shared" si="83"/>
        <v>9.033684210526309E-2</v>
      </c>
    </row>
    <row r="125" spans="1:26" s="27" customFormat="1" outlineLevel="1" collapsed="1" x14ac:dyDescent="0.25">
      <c r="A125" s="28"/>
      <c r="B125" s="14" t="str">
        <f>CONCATENATE("     ","Training                                          ")</f>
        <v xml:space="preserve">     Training                                          </v>
      </c>
      <c r="C125" s="14"/>
      <c r="D125" s="1">
        <f>SUM(OSRRefD22_20x_0)</f>
        <v>103.5</v>
      </c>
      <c r="E125" s="1"/>
      <c r="F125" s="5">
        <f t="shared" ref="F125:F130" si="84">IF(D$12=0,0,D125/D$12)</f>
        <v>4.4587601519183585E-4</v>
      </c>
      <c r="G125" s="1"/>
      <c r="H125" s="1">
        <f>SUM(OSRRefH22_20x_0)</f>
        <v>100</v>
      </c>
      <c r="I125" s="1"/>
      <c r="J125" s="5">
        <f t="shared" ref="J125:J130" si="85">IF(H$12=0,0,H125/H$12)</f>
        <v>4.344984546217579E-4</v>
      </c>
      <c r="K125" s="1"/>
      <c r="L125" s="1">
        <f t="shared" ref="L125:L130" si="86">+D125-H125</f>
        <v>3.5</v>
      </c>
      <c r="M125" s="1"/>
      <c r="N125" s="5">
        <f t="shared" ref="N125:N130" si="87">IF(H125=0,0,L125/H125)</f>
        <v>3.5000000000000003E-2</v>
      </c>
      <c r="O125" s="14"/>
      <c r="P125" s="1">
        <f>SUM(OSRRefP22_20x_0)</f>
        <v>103.5</v>
      </c>
      <c r="Q125" s="1"/>
      <c r="R125" s="5">
        <f t="shared" ref="R125:R130" si="88">IF(P$12=0,0,P125/P$12)</f>
        <v>4.4587601519183585E-4</v>
      </c>
      <c r="S125" s="1"/>
      <c r="T125" s="1">
        <f>SUM(OSRRefT22_20x_0)</f>
        <v>100</v>
      </c>
      <c r="U125" s="1"/>
      <c r="V125" s="5">
        <f t="shared" ref="V125:V130" si="89">IF(T$12=0,0,T125/T$12)</f>
        <v>4.344984546217579E-4</v>
      </c>
      <c r="W125" s="1"/>
      <c r="X125" s="1">
        <f t="shared" ref="X125:X130" si="90">+P125-T125</f>
        <v>3.5</v>
      </c>
      <c r="Y125" s="1"/>
      <c r="Z125" s="5">
        <f t="shared" ref="Z125:Z130" si="91">IF(T125=0,0,X125/T125)</f>
        <v>3.5000000000000003E-2</v>
      </c>
    </row>
    <row r="126" spans="1:26" s="24" customFormat="1" hidden="1" outlineLevel="2" x14ac:dyDescent="0.25">
      <c r="A126" s="29"/>
      <c r="B126" s="11" t="str">
        <f>CONCATENATE("          ", "6376", " - ", "TRAINING")</f>
        <v xml:space="preserve">          6376 - TRAINING</v>
      </c>
      <c r="C126" s="11"/>
      <c r="D126" s="7">
        <v>103.5</v>
      </c>
      <c r="E126" s="2"/>
      <c r="F126" s="6">
        <f t="shared" si="84"/>
        <v>4.4587601519183585E-4</v>
      </c>
      <c r="G126" s="2"/>
      <c r="H126" s="7">
        <v>100</v>
      </c>
      <c r="I126" s="2"/>
      <c r="J126" s="6">
        <f t="shared" si="85"/>
        <v>4.344984546217579E-4</v>
      </c>
      <c r="K126" s="2"/>
      <c r="L126" s="7">
        <f t="shared" si="86"/>
        <v>3.5</v>
      </c>
      <c r="M126" s="2"/>
      <c r="N126" s="6">
        <f t="shared" si="87"/>
        <v>3.5000000000000003E-2</v>
      </c>
      <c r="O126" s="11"/>
      <c r="P126" s="7">
        <v>103.5</v>
      </c>
      <c r="Q126" s="2"/>
      <c r="R126" s="6">
        <f t="shared" si="88"/>
        <v>4.4587601519183585E-4</v>
      </c>
      <c r="S126" s="2"/>
      <c r="T126" s="7">
        <v>100</v>
      </c>
      <c r="U126" s="2"/>
      <c r="V126" s="6">
        <f t="shared" si="89"/>
        <v>4.344984546217579E-4</v>
      </c>
      <c r="W126" s="2"/>
      <c r="X126" s="7">
        <f t="shared" si="90"/>
        <v>3.5</v>
      </c>
      <c r="Y126" s="2"/>
      <c r="Z126" s="6">
        <f t="shared" si="91"/>
        <v>3.5000000000000003E-2</v>
      </c>
    </row>
    <row r="127" spans="1:26" s="27" customFormat="1" outlineLevel="1" collapsed="1" x14ac:dyDescent="0.25">
      <c r="A127" s="28"/>
      <c r="B127" s="14" t="str">
        <f>CONCATENATE("     ","Travel                                            ")</f>
        <v xml:space="preserve">     Travel                                            </v>
      </c>
      <c r="C127" s="14"/>
      <c r="D127" s="1">
        <f>SUM(OSRRefD22_21x_0)</f>
        <v>0</v>
      </c>
      <c r="E127" s="1"/>
      <c r="F127" s="5">
        <f t="shared" si="84"/>
        <v>0</v>
      </c>
      <c r="G127" s="1"/>
      <c r="H127" s="1">
        <f>SUM(OSRRefH22_21x_0)</f>
        <v>110</v>
      </c>
      <c r="I127" s="1"/>
      <c r="J127" s="5">
        <f t="shared" si="85"/>
        <v>4.7794830008393368E-4</v>
      </c>
      <c r="K127" s="1"/>
      <c r="L127" s="1">
        <f t="shared" si="86"/>
        <v>-110</v>
      </c>
      <c r="M127" s="1"/>
      <c r="N127" s="5">
        <f t="shared" si="87"/>
        <v>-1</v>
      </c>
      <c r="O127" s="14"/>
      <c r="P127" s="1">
        <f>SUM(OSRRefP22_21x_0)</f>
        <v>0</v>
      </c>
      <c r="Q127" s="1"/>
      <c r="R127" s="5">
        <f t="shared" si="88"/>
        <v>0</v>
      </c>
      <c r="S127" s="1"/>
      <c r="T127" s="1">
        <f>SUM(OSRRefT22_21x_0)</f>
        <v>110</v>
      </c>
      <c r="U127" s="1"/>
      <c r="V127" s="5">
        <f t="shared" si="89"/>
        <v>4.7794830008393368E-4</v>
      </c>
      <c r="W127" s="1"/>
      <c r="X127" s="1">
        <f t="shared" si="90"/>
        <v>-110</v>
      </c>
      <c r="Y127" s="1"/>
      <c r="Z127" s="5">
        <f t="shared" si="91"/>
        <v>-1</v>
      </c>
    </row>
    <row r="128" spans="1:26" s="24" customFormat="1" hidden="1" outlineLevel="2" x14ac:dyDescent="0.25">
      <c r="A128" s="29"/>
      <c r="B128" s="11" t="str">
        <f>CONCATENATE("          ", "6294", " - ", "TRAVEL OPERATIONAL")</f>
        <v xml:space="preserve">          6294 - TRAVEL OPERATIONAL</v>
      </c>
      <c r="C128" s="11"/>
      <c r="D128" s="7"/>
      <c r="E128" s="2"/>
      <c r="F128" s="6">
        <f t="shared" si="84"/>
        <v>0</v>
      </c>
      <c r="G128" s="2"/>
      <c r="H128" s="7">
        <v>110</v>
      </c>
      <c r="I128" s="2"/>
      <c r="J128" s="6">
        <f t="shared" si="85"/>
        <v>4.7794830008393368E-4</v>
      </c>
      <c r="K128" s="2"/>
      <c r="L128" s="7">
        <f t="shared" si="86"/>
        <v>-110</v>
      </c>
      <c r="M128" s="2"/>
      <c r="N128" s="6">
        <f t="shared" si="87"/>
        <v>-1</v>
      </c>
      <c r="O128" s="11"/>
      <c r="P128" s="7"/>
      <c r="Q128" s="2"/>
      <c r="R128" s="6">
        <f t="shared" si="88"/>
        <v>0</v>
      </c>
      <c r="S128" s="2"/>
      <c r="T128" s="7">
        <v>110</v>
      </c>
      <c r="U128" s="2"/>
      <c r="V128" s="6">
        <f t="shared" si="89"/>
        <v>4.7794830008393368E-4</v>
      </c>
      <c r="W128" s="2"/>
      <c r="X128" s="7">
        <f t="shared" si="90"/>
        <v>-110</v>
      </c>
      <c r="Y128" s="2"/>
      <c r="Z128" s="6">
        <f t="shared" si="91"/>
        <v>-1</v>
      </c>
    </row>
    <row r="129" spans="1:26" s="27" customFormat="1" outlineLevel="1" collapsed="1" x14ac:dyDescent="0.25">
      <c r="A129" s="28"/>
      <c r="B129" s="14" t="str">
        <f>CONCATENATE("     ","Utilities                                         ")</f>
        <v xml:space="preserve">     Utilities                                         </v>
      </c>
      <c r="C129" s="14"/>
      <c r="D129" s="1">
        <f>SUM(OSRRefD22_22x_0)</f>
        <v>43</v>
      </c>
      <c r="E129" s="1"/>
      <c r="F129" s="5">
        <f t="shared" si="84"/>
        <v>1.8524317539370957E-4</v>
      </c>
      <c r="G129" s="1"/>
      <c r="H129" s="1">
        <f>SUM(OSRRefH22_22x_0)</f>
        <v>100</v>
      </c>
      <c r="I129" s="1"/>
      <c r="J129" s="5">
        <f t="shared" si="85"/>
        <v>4.344984546217579E-4</v>
      </c>
      <c r="K129" s="1"/>
      <c r="L129" s="1">
        <f t="shared" si="86"/>
        <v>-57</v>
      </c>
      <c r="M129" s="1"/>
      <c r="N129" s="5">
        <f t="shared" si="87"/>
        <v>-0.56999999999999995</v>
      </c>
      <c r="O129" s="14"/>
      <c r="P129" s="1">
        <f>SUM(OSRRefP22_22x_0)</f>
        <v>43</v>
      </c>
      <c r="Q129" s="1"/>
      <c r="R129" s="5">
        <f t="shared" si="88"/>
        <v>1.8524317539370957E-4</v>
      </c>
      <c r="S129" s="1"/>
      <c r="T129" s="1">
        <f>SUM(OSRRefT22_22x_0)</f>
        <v>100</v>
      </c>
      <c r="U129" s="1"/>
      <c r="V129" s="5">
        <f t="shared" si="89"/>
        <v>4.344984546217579E-4</v>
      </c>
      <c r="W129" s="1"/>
      <c r="X129" s="1">
        <f t="shared" si="90"/>
        <v>-57</v>
      </c>
      <c r="Y129" s="1"/>
      <c r="Z129" s="5">
        <f t="shared" si="91"/>
        <v>-0.56999999999999995</v>
      </c>
    </row>
    <row r="130" spans="1:26" s="24" customFormat="1" hidden="1" outlineLevel="2" x14ac:dyDescent="0.25">
      <c r="A130" s="29"/>
      <c r="B130" s="11" t="str">
        <f>CONCATENATE("          ", "6274", " - ", "UTILITIES")</f>
        <v xml:space="preserve">          6274 - UTILITIES</v>
      </c>
      <c r="C130" s="11"/>
      <c r="D130" s="7">
        <v>43</v>
      </c>
      <c r="E130" s="2"/>
      <c r="F130" s="6">
        <f t="shared" si="84"/>
        <v>1.8524317539370957E-4</v>
      </c>
      <c r="G130" s="2"/>
      <c r="H130" s="7">
        <v>100</v>
      </c>
      <c r="I130" s="2"/>
      <c r="J130" s="6">
        <f t="shared" si="85"/>
        <v>4.344984546217579E-4</v>
      </c>
      <c r="K130" s="2"/>
      <c r="L130" s="7">
        <f t="shared" si="86"/>
        <v>-57</v>
      </c>
      <c r="M130" s="2"/>
      <c r="N130" s="6">
        <f t="shared" si="87"/>
        <v>-0.56999999999999995</v>
      </c>
      <c r="O130" s="11"/>
      <c r="P130" s="7">
        <v>43</v>
      </c>
      <c r="Q130" s="2"/>
      <c r="R130" s="6">
        <f t="shared" si="88"/>
        <v>1.8524317539370957E-4</v>
      </c>
      <c r="S130" s="2"/>
      <c r="T130" s="7">
        <v>100</v>
      </c>
      <c r="U130" s="2"/>
      <c r="V130" s="6">
        <f t="shared" si="89"/>
        <v>4.344984546217579E-4</v>
      </c>
      <c r="W130" s="2"/>
      <c r="X130" s="7">
        <f t="shared" si="90"/>
        <v>-57</v>
      </c>
      <c r="Y130" s="2"/>
      <c r="Z130" s="6">
        <f t="shared" si="91"/>
        <v>-0.56999999999999995</v>
      </c>
    </row>
    <row r="131" spans="1:26" s="57" customFormat="1" x14ac:dyDescent="0.25">
      <c r="A131" s="36"/>
      <c r="B131" s="36"/>
      <c r="C131" s="36"/>
      <c r="D131" s="1"/>
      <c r="E131" s="1"/>
      <c r="F131" s="5"/>
      <c r="G131" s="1"/>
      <c r="H131" s="1"/>
      <c r="I131" s="1"/>
      <c r="J131" s="5"/>
      <c r="K131" s="1"/>
      <c r="L131" s="1"/>
      <c r="M131" s="1"/>
      <c r="N131" s="5"/>
      <c r="O131" s="36"/>
      <c r="P131" s="1"/>
      <c r="Q131" s="1"/>
      <c r="R131" s="5"/>
      <c r="S131" s="1"/>
      <c r="T131" s="1"/>
      <c r="U131" s="1"/>
      <c r="V131" s="5"/>
      <c r="W131" s="1"/>
      <c r="X131" s="1"/>
      <c r="Y131" s="1"/>
      <c r="Z131" s="5"/>
    </row>
    <row r="132" spans="1:26" s="23" customFormat="1" collapsed="1" x14ac:dyDescent="0.25">
      <c r="A132" s="10"/>
      <c r="B132" s="25" t="s">
        <v>0</v>
      </c>
      <c r="C132" s="10"/>
      <c r="D132" s="4">
        <f>SUM(OSRRefD25x_0)</f>
        <v>9374.82</v>
      </c>
      <c r="E132" s="4"/>
      <c r="F132" s="12">
        <f t="shared" ref="F132:F135" si="92">IF(D$12=0,0,D132/D$12)</f>
        <v>4.0386544780103638E-2</v>
      </c>
      <c r="G132" s="4"/>
      <c r="H132" s="4">
        <f>SUM(OSRRefH25x_0)</f>
        <v>8625</v>
      </c>
      <c r="I132" s="4"/>
      <c r="J132" s="12">
        <f t="shared" ref="J132:J135" si="93">IF(H$12=0,0,H132/H$12)</f>
        <v>3.7475491711126616E-2</v>
      </c>
      <c r="K132" s="4"/>
      <c r="L132" s="4">
        <f t="shared" ref="L132:L135" si="94">+D132-H132</f>
        <v>749.81999999999971</v>
      </c>
      <c r="M132" s="4"/>
      <c r="N132" s="12">
        <f t="shared" ref="N132:N135" si="95">IF(H132=0,0,L132/H132)</f>
        <v>8.6935652173913011E-2</v>
      </c>
      <c r="O132" s="10"/>
      <c r="P132" s="4">
        <f>SUM(OSRRefP25x_0)</f>
        <v>9374.82</v>
      </c>
      <c r="Q132" s="4"/>
      <c r="R132" s="12">
        <f t="shared" ref="R132:R135" si="96">IF(P$12=0,0,P132/P$12)</f>
        <v>4.0386544780103638E-2</v>
      </c>
      <c r="S132" s="4"/>
      <c r="T132" s="4">
        <f>SUM(OSRRefT25x_0)</f>
        <v>8625</v>
      </c>
      <c r="U132" s="4"/>
      <c r="V132" s="12">
        <f t="shared" ref="V132:V135" si="97">IF(T$12=0,0,T132/T$12)</f>
        <v>3.7475491711126616E-2</v>
      </c>
      <c r="W132" s="4"/>
      <c r="X132" s="4">
        <f t="shared" ref="X132:X135" si="98">+P132-T132</f>
        <v>749.81999999999971</v>
      </c>
      <c r="Y132" s="4"/>
      <c r="Z132" s="12">
        <f t="shared" ref="Z132:Z135" si="99">IF(T132=0,0,X132/T132)</f>
        <v>8.6935652173913011E-2</v>
      </c>
    </row>
    <row r="133" spans="1:26" s="24" customFormat="1" hidden="1" outlineLevel="1" x14ac:dyDescent="0.25">
      <c r="A133" s="51"/>
      <c r="B133" s="11" t="str">
        <f>CONCATENATE("          ", "9150", " - ", "MISC. INCOME")</f>
        <v xml:space="preserve">          9150 - MISC. INCOME</v>
      </c>
      <c r="C133" s="11"/>
      <c r="D133" s="2">
        <f>--9374.82</f>
        <v>9374.82</v>
      </c>
      <c r="E133" s="2"/>
      <c r="F133" s="22">
        <f t="shared" si="92"/>
        <v>4.0386544780103638E-2</v>
      </c>
      <c r="G133" s="2"/>
      <c r="H133" s="2">
        <v>7725</v>
      </c>
      <c r="I133" s="2"/>
      <c r="J133" s="22">
        <f t="shared" si="93"/>
        <v>3.3565005619530797E-2</v>
      </c>
      <c r="K133" s="2"/>
      <c r="L133" s="2">
        <f t="shared" si="94"/>
        <v>1649.8199999999997</v>
      </c>
      <c r="M133" s="2"/>
      <c r="N133" s="22">
        <f t="shared" si="95"/>
        <v>0.21356893203883492</v>
      </c>
      <c r="O133" s="11"/>
      <c r="P133" s="2">
        <f>--9374.82</f>
        <v>9374.82</v>
      </c>
      <c r="Q133" s="2"/>
      <c r="R133" s="22">
        <f t="shared" si="96"/>
        <v>4.0386544780103638E-2</v>
      </c>
      <c r="S133" s="2"/>
      <c r="T133" s="2">
        <v>7725</v>
      </c>
      <c r="U133" s="2"/>
      <c r="V133" s="22">
        <f t="shared" si="97"/>
        <v>3.3565005619530797E-2</v>
      </c>
      <c r="W133" s="2"/>
      <c r="X133" s="2">
        <f t="shared" si="98"/>
        <v>1649.8199999999997</v>
      </c>
      <c r="Y133" s="2"/>
      <c r="Z133" s="22">
        <f t="shared" si="99"/>
        <v>0.21356893203883492</v>
      </c>
    </row>
    <row r="134" spans="1:26" s="24" customFormat="1" hidden="1" outlineLevel="1" x14ac:dyDescent="0.25">
      <c r="A134" s="51"/>
      <c r="B134" s="11" t="str">
        <f>CONCATENATE("          ", "9151", " - ", "MISC. INCOME")</f>
        <v xml:space="preserve">          9151 - MISC. INCOME</v>
      </c>
      <c r="C134" s="11"/>
      <c r="D134" s="2">
        <f t="shared" ref="D134:D135" si="100">0</f>
        <v>0</v>
      </c>
      <c r="E134" s="2"/>
      <c r="F134" s="22">
        <f t="shared" si="92"/>
        <v>0</v>
      </c>
      <c r="G134" s="2"/>
      <c r="H134" s="2">
        <v>100</v>
      </c>
      <c r="I134" s="2"/>
      <c r="J134" s="22">
        <f t="shared" si="93"/>
        <v>4.344984546217579E-4</v>
      </c>
      <c r="K134" s="2"/>
      <c r="L134" s="2">
        <f t="shared" si="94"/>
        <v>-100</v>
      </c>
      <c r="M134" s="2"/>
      <c r="N134" s="22">
        <f t="shared" si="95"/>
        <v>-1</v>
      </c>
      <c r="O134" s="11"/>
      <c r="P134" s="2">
        <f t="shared" ref="P134:P135" si="101">0</f>
        <v>0</v>
      </c>
      <c r="Q134" s="2"/>
      <c r="R134" s="22">
        <f t="shared" si="96"/>
        <v>0</v>
      </c>
      <c r="S134" s="2"/>
      <c r="T134" s="2">
        <v>100</v>
      </c>
      <c r="U134" s="2"/>
      <c r="V134" s="22">
        <f t="shared" si="97"/>
        <v>4.344984546217579E-4</v>
      </c>
      <c r="W134" s="2"/>
      <c r="X134" s="2">
        <f t="shared" si="98"/>
        <v>-100</v>
      </c>
      <c r="Y134" s="2"/>
      <c r="Z134" s="22">
        <f t="shared" si="99"/>
        <v>-1</v>
      </c>
    </row>
    <row r="135" spans="1:26" s="24" customFormat="1" hidden="1" outlineLevel="1" x14ac:dyDescent="0.25">
      <c r="A135" s="51"/>
      <c r="B135" s="11" t="str">
        <f>CONCATENATE("          ", "9160", " - ", "MISC. INCOME")</f>
        <v xml:space="preserve">          9160 - MISC. INCOME</v>
      </c>
      <c r="C135" s="11"/>
      <c r="D135" s="2">
        <f t="shared" si="100"/>
        <v>0</v>
      </c>
      <c r="E135" s="2"/>
      <c r="F135" s="22">
        <f t="shared" si="92"/>
        <v>0</v>
      </c>
      <c r="G135" s="2"/>
      <c r="H135" s="2">
        <v>800</v>
      </c>
      <c r="I135" s="2"/>
      <c r="J135" s="22">
        <f t="shared" si="93"/>
        <v>3.4759876369740632E-3</v>
      </c>
      <c r="K135" s="2"/>
      <c r="L135" s="2">
        <f t="shared" si="94"/>
        <v>-800</v>
      </c>
      <c r="M135" s="2"/>
      <c r="N135" s="22">
        <f t="shared" si="95"/>
        <v>-1</v>
      </c>
      <c r="O135" s="11"/>
      <c r="P135" s="2">
        <f t="shared" si="101"/>
        <v>0</v>
      </c>
      <c r="Q135" s="2"/>
      <c r="R135" s="22">
        <f t="shared" si="96"/>
        <v>0</v>
      </c>
      <c r="S135" s="2"/>
      <c r="T135" s="2">
        <v>800</v>
      </c>
      <c r="U135" s="2"/>
      <c r="V135" s="22">
        <f t="shared" si="97"/>
        <v>3.4759876369740632E-3</v>
      </c>
      <c r="W135" s="2"/>
      <c r="X135" s="2">
        <f t="shared" si="98"/>
        <v>-800</v>
      </c>
      <c r="Y135" s="2"/>
      <c r="Z135" s="22">
        <f t="shared" si="99"/>
        <v>-1</v>
      </c>
    </row>
    <row r="136" spans="1:26" x14ac:dyDescent="0.25">
      <c r="A136" s="9"/>
      <c r="B136" s="10"/>
      <c r="C136" s="10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0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x14ac:dyDescent="0.25">
      <c r="A137" s="10"/>
      <c r="B137" s="26" t="s">
        <v>3</v>
      </c>
      <c r="C137" s="26"/>
      <c r="D137" s="21">
        <f>+D53-D55+D132</f>
        <v>49954.500000000007</v>
      </c>
      <c r="E137" s="13"/>
      <c r="F137" s="19">
        <f>IF(D$12=0,0,D137/D$12)</f>
        <v>0.2152030280280248</v>
      </c>
      <c r="G137" s="13"/>
      <c r="H137" s="21">
        <f>+H53-H55+H132</f>
        <v>46621.418923031248</v>
      </c>
      <c r="I137" s="13"/>
      <c r="J137" s="19">
        <f>IF(H$12=0,0,H137/H$12)</f>
        <v>0.20256934474330657</v>
      </c>
      <c r="K137" s="15"/>
      <c r="L137" s="21">
        <f>+D137-H137</f>
        <v>3333.0810769687596</v>
      </c>
      <c r="M137" s="15"/>
      <c r="N137" s="19">
        <f>IF(H137=0,0,L137/H137)</f>
        <v>7.1492484655420865E-2</v>
      </c>
      <c r="O137" s="25"/>
      <c r="P137" s="21">
        <f>+P53-P55+P132</f>
        <v>49954.500000000007</v>
      </c>
      <c r="Q137" s="13"/>
      <c r="R137" s="19">
        <f>IF(P$12=0,0,P137/P$12)</f>
        <v>0.2152030280280248</v>
      </c>
      <c r="S137" s="13"/>
      <c r="T137" s="21">
        <f>+T53-T55+T132</f>
        <v>46621.418923031248</v>
      </c>
      <c r="U137" s="13"/>
      <c r="V137" s="19">
        <f>IF(T$12=0,0,T137/T$12)</f>
        <v>0.20256934474330657</v>
      </c>
      <c r="W137" s="15"/>
      <c r="X137" s="21">
        <f>+P137-T137</f>
        <v>3333.0810769687596</v>
      </c>
      <c r="Y137" s="15"/>
      <c r="Z137" s="19">
        <f>IF(T137=0,0,X137/T137)</f>
        <v>7.1492484655420865E-2</v>
      </c>
    </row>
    <row r="138" spans="1:26" x14ac:dyDescent="0.25">
      <c r="A138" s="9"/>
      <c r="B138" s="10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25">
      <c r="A139" s="52"/>
      <c r="B139" s="10" t="s">
        <v>14</v>
      </c>
      <c r="C139" s="10"/>
      <c r="D139" s="4">
        <v>48266.11</v>
      </c>
      <c r="E139" s="4"/>
      <c r="F139" s="12">
        <f>IF(D$12=0,0,D139/D$12)</f>
        <v>0.20792947628609487</v>
      </c>
      <c r="G139" s="4"/>
      <c r="H139" s="4">
        <v>56089</v>
      </c>
      <c r="I139" s="4"/>
      <c r="J139" s="12">
        <f>IF(H$12=0,0,H139/H$12)</f>
        <v>0.24370583821279779</v>
      </c>
      <c r="K139" s="4"/>
      <c r="L139" s="4">
        <f>+D139-H139</f>
        <v>-7822.8899999999994</v>
      </c>
      <c r="M139" s="4"/>
      <c r="N139" s="12">
        <f>IF(H139=0,0,L139/H139)</f>
        <v>-0.13947280215371996</v>
      </c>
      <c r="O139" s="10"/>
      <c r="P139" s="4">
        <v>48266.11</v>
      </c>
      <c r="Q139" s="4"/>
      <c r="R139" s="12">
        <f>IF(P$12=0,0,P139/P$12)</f>
        <v>0.20792947628609487</v>
      </c>
      <c r="S139" s="4"/>
      <c r="T139" s="4">
        <v>56089</v>
      </c>
      <c r="U139" s="4"/>
      <c r="V139" s="12">
        <f>IF(T$12=0,0,T139/T$12)</f>
        <v>0.24370583821279779</v>
      </c>
      <c r="W139" s="4"/>
      <c r="X139" s="4">
        <f>+P139-T139</f>
        <v>-7822.8899999999994</v>
      </c>
      <c r="Y139" s="4"/>
      <c r="Z139" s="12">
        <f>IF(T139=0,0,X139/T139)</f>
        <v>-0.13947280215371996</v>
      </c>
    </row>
    <row r="140" spans="1:26" x14ac:dyDescent="0.25">
      <c r="A140" s="9"/>
      <c r="B140" s="10"/>
      <c r="C140" s="10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0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6" t="s">
        <v>4</v>
      </c>
      <c r="C141" s="26"/>
      <c r="D141" s="32">
        <f>+D137-D139</f>
        <v>1688.3900000000067</v>
      </c>
      <c r="E141" s="13"/>
      <c r="F141" s="31">
        <f>IF(D$12=0,0,D141/D$12)</f>
        <v>7.2735517419299199E-3</v>
      </c>
      <c r="G141" s="13"/>
      <c r="H141" s="32">
        <f>+H137-H139</f>
        <v>-9467.5810769687523</v>
      </c>
      <c r="I141" s="13"/>
      <c r="J141" s="31">
        <f>IF(H$12=0,0,H141/H$12)</f>
        <v>-4.1136493469491213E-2</v>
      </c>
      <c r="K141" s="15"/>
      <c r="L141" s="32">
        <f>D141-H141</f>
        <v>11155.971076968759</v>
      </c>
      <c r="M141" s="15"/>
      <c r="N141" s="31">
        <f>IF(H141=0,0,L141/H141)</f>
        <v>-1.1783338306029676</v>
      </c>
      <c r="O141" s="25"/>
      <c r="P141" s="32">
        <f>+P137-P139</f>
        <v>1688.3900000000067</v>
      </c>
      <c r="Q141" s="13"/>
      <c r="R141" s="31">
        <f>IF(P$12=0,0,P141/P$12)</f>
        <v>7.2735517419299199E-3</v>
      </c>
      <c r="S141" s="13"/>
      <c r="T141" s="32">
        <f>+T137-T139</f>
        <v>-9467.5810769687523</v>
      </c>
      <c r="U141" s="13"/>
      <c r="V141" s="31">
        <f>IF(T$12=0,0,T141/T$12)</f>
        <v>-4.1136493469491213E-2</v>
      </c>
      <c r="W141" s="15"/>
      <c r="X141" s="32">
        <f>P141-T141</f>
        <v>11155.971076968759</v>
      </c>
      <c r="Y141" s="15"/>
      <c r="Z141" s="31">
        <f>IF(T141=0,0,X141/T141)</f>
        <v>-1.1783338306029676</v>
      </c>
    </row>
    <row r="142" spans="1:26" ht="15.75" thickTop="1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x14ac:dyDescent="0.25">
      <c r="A143" s="9"/>
      <c r="B143" s="9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ht="15.75" thickBot="1" x14ac:dyDescent="0.3">
      <c r="A144" s="10"/>
      <c r="B144" s="26" t="s">
        <v>5</v>
      </c>
      <c r="C144" s="26"/>
      <c r="D144" s="33">
        <f>SUM(D141:D143)</f>
        <v>1688.3900000000067</v>
      </c>
      <c r="E144" s="13"/>
      <c r="F144" s="34">
        <f>IF(D$12=0,0,D144/D$12)</f>
        <v>7.2735517419299199E-3</v>
      </c>
      <c r="G144" s="13"/>
      <c r="H144" s="33">
        <f>SUM(H141:H143)</f>
        <v>-9467.5810769687523</v>
      </c>
      <c r="I144" s="13"/>
      <c r="J144" s="34">
        <f>IF(H$12=0,0,H144/H$12)</f>
        <v>-4.1136493469491213E-2</v>
      </c>
      <c r="K144" s="15"/>
      <c r="L144" s="33">
        <f>+D144-H144</f>
        <v>11155.971076968759</v>
      </c>
      <c r="M144" s="15"/>
      <c r="N144" s="34">
        <f>IF(H144=0,0,L144/H144)</f>
        <v>-1.1783338306029676</v>
      </c>
      <c r="O144" s="25"/>
      <c r="P144" s="33">
        <f>SUM(P141:P143)</f>
        <v>1688.3900000000067</v>
      </c>
      <c r="Q144" s="13"/>
      <c r="R144" s="34">
        <f>IF(P$12=0,0,P144/P$12)</f>
        <v>7.2735517419299199E-3</v>
      </c>
      <c r="S144" s="13"/>
      <c r="T144" s="33">
        <f>SUM(T141:T143)</f>
        <v>-9467.5810769687523</v>
      </c>
      <c r="U144" s="13"/>
      <c r="V144" s="34">
        <f>IF(T$12=0,0,T144/T$12)</f>
        <v>-4.1136493469491213E-2</v>
      </c>
      <c r="W144" s="15"/>
      <c r="X144" s="33">
        <f>+P144-T144</f>
        <v>11155.971076968759</v>
      </c>
      <c r="Y144" s="15"/>
      <c r="Z144" s="34">
        <f>IF(T144=0,0,X144/T144)</f>
        <v>-1.1783338306029676</v>
      </c>
    </row>
    <row r="145" spans="1:24" ht="15.75" thickTop="1" x14ac:dyDescent="0.25">
      <c r="A145" s="9"/>
      <c r="C145" s="9"/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25">
      <c r="A146" s="9"/>
      <c r="B146" s="61">
        <v>43726.67824105324</v>
      </c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  <row r="147" spans="1:24" x14ac:dyDescent="0.25">
      <c r="A147" s="9"/>
      <c r="B147" s="56" t="s">
        <v>314</v>
      </c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4" x14ac:dyDescent="0.25">
      <c r="A148" s="9"/>
      <c r="B148" s="53"/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  <row r="149" spans="1:24" x14ac:dyDescent="0.25">
      <c r="D149" s="17"/>
      <c r="E149" s="17"/>
      <c r="G149" s="17"/>
      <c r="H149" s="17"/>
      <c r="I149" s="17"/>
      <c r="J149" s="42"/>
      <c r="K149" s="17"/>
      <c r="L149" s="17"/>
      <c r="M149" s="17"/>
      <c r="P149" s="17"/>
      <c r="Q149" s="17"/>
      <c r="R149" s="42"/>
      <c r="S149" s="17"/>
      <c r="T149" s="17"/>
      <c r="U149" s="17"/>
      <c r="V149" s="42"/>
      <c r="W149" s="17"/>
      <c r="X149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","315", " - ", "Beach Shop")</f>
        <v>Department 315 - Beach Shop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180645.16</v>
      </c>
      <c r="E12" s="4"/>
      <c r="F12" s="12"/>
      <c r="G12" s="4"/>
      <c r="H12" s="4">
        <f>SUM(OSRRefH13x_0)</f>
        <v>173033</v>
      </c>
      <c r="I12" s="4"/>
      <c r="J12" s="12"/>
      <c r="K12" s="4"/>
      <c r="L12" s="4">
        <f t="shared" ref="L12:L28" si="0">+D12-H12</f>
        <v>7612.1600000000035</v>
      </c>
      <c r="M12" s="4"/>
      <c r="N12" s="12">
        <f t="shared" ref="N12:N28" si="1">IF(H12=0,0,L12/H12)</f>
        <v>4.399253321620733E-2</v>
      </c>
      <c r="O12" s="10"/>
      <c r="P12" s="4">
        <f>SUM(OSRRefP13x_0)</f>
        <v>180645.16</v>
      </c>
      <c r="Q12" s="4"/>
      <c r="R12" s="12"/>
      <c r="S12" s="4"/>
      <c r="T12" s="4">
        <f>SUM(OSRRefT13x_0)</f>
        <v>173033</v>
      </c>
      <c r="U12" s="4"/>
      <c r="V12" s="12"/>
      <c r="W12" s="4"/>
      <c r="X12" s="4">
        <f t="shared" ref="X12:X28" si="2">+P12-T12</f>
        <v>7612.1600000000035</v>
      </c>
      <c r="Y12" s="4"/>
      <c r="Z12" s="12">
        <f t="shared" ref="Z12:Z28" si="3">IF(T12=0,0,X12/T12)</f>
        <v>4.399253321620733E-2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173033</v>
      </c>
      <c r="I13" s="2"/>
      <c r="J13" s="22"/>
      <c r="K13" s="2"/>
      <c r="L13" s="2">
        <f t="shared" si="0"/>
        <v>-173033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173033</v>
      </c>
      <c r="U13" s="2"/>
      <c r="V13" s="22"/>
      <c r="W13" s="2"/>
      <c r="X13" s="2">
        <f t="shared" si="2"/>
        <v>-173033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"4040", " - ", "TAXABLE SALES-LOGO CLOTHING")</f>
        <v xml:space="preserve">          4040 - TAXABLE SALES-LOGO CLOTHING</v>
      </c>
      <c r="C14" s="11"/>
      <c r="D14" s="2">
        <f>--126559.61</f>
        <v>126559.61</v>
      </c>
      <c r="E14" s="2"/>
      <c r="F14" s="22"/>
      <c r="G14" s="2"/>
      <c r="H14" s="2"/>
      <c r="I14" s="2"/>
      <c r="J14" s="22"/>
      <c r="K14" s="2"/>
      <c r="L14" s="2">
        <f t="shared" si="0"/>
        <v>126559.61</v>
      </c>
      <c r="M14" s="2"/>
      <c r="N14" s="22">
        <f t="shared" si="1"/>
        <v>0</v>
      </c>
      <c r="O14" s="11"/>
      <c r="P14" s="2">
        <f>--126559.61</f>
        <v>126559.61</v>
      </c>
      <c r="Q14" s="2"/>
      <c r="R14" s="22"/>
      <c r="S14" s="2"/>
      <c r="T14" s="2"/>
      <c r="U14" s="2"/>
      <c r="V14" s="22"/>
      <c r="W14" s="2"/>
      <c r="X14" s="2">
        <f t="shared" si="2"/>
        <v>126559.61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"4041", " - ", "TAXABLE SALES-LOGO GIFTS")</f>
        <v xml:space="preserve">          4041 - TAXABLE SALES-LOGO GIFTS</v>
      </c>
      <c r="C15" s="11"/>
      <c r="D15" s="2">
        <f>--24352.36</f>
        <v>24352.36</v>
      </c>
      <c r="E15" s="2"/>
      <c r="F15" s="22"/>
      <c r="G15" s="2"/>
      <c r="H15" s="2"/>
      <c r="I15" s="2"/>
      <c r="J15" s="22"/>
      <c r="K15" s="2"/>
      <c r="L15" s="2">
        <f t="shared" si="0"/>
        <v>24352.36</v>
      </c>
      <c r="M15" s="2"/>
      <c r="N15" s="22">
        <f t="shared" si="1"/>
        <v>0</v>
      </c>
      <c r="O15" s="11"/>
      <c r="P15" s="2">
        <f>--24352.36</f>
        <v>24352.36</v>
      </c>
      <c r="Q15" s="2"/>
      <c r="R15" s="22"/>
      <c r="S15" s="2"/>
      <c r="T15" s="2"/>
      <c r="U15" s="2"/>
      <c r="V15" s="22"/>
      <c r="W15" s="2"/>
      <c r="X15" s="2">
        <f t="shared" si="2"/>
        <v>24352.36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--9099.52</f>
        <v>9099.52</v>
      </c>
      <c r="E16" s="2"/>
      <c r="F16" s="22"/>
      <c r="G16" s="2"/>
      <c r="H16" s="2"/>
      <c r="I16" s="2"/>
      <c r="J16" s="22"/>
      <c r="K16" s="2"/>
      <c r="L16" s="2">
        <f t="shared" si="0"/>
        <v>9099.52</v>
      </c>
      <c r="M16" s="2"/>
      <c r="N16" s="22">
        <f t="shared" si="1"/>
        <v>0</v>
      </c>
      <c r="O16" s="11"/>
      <c r="P16" s="2">
        <f>--9099.52</f>
        <v>9099.52</v>
      </c>
      <c r="Q16" s="2"/>
      <c r="R16" s="22"/>
      <c r="S16" s="2"/>
      <c r="T16" s="2"/>
      <c r="U16" s="2"/>
      <c r="V16" s="22"/>
      <c r="W16" s="2"/>
      <c r="X16" s="2">
        <f t="shared" si="2"/>
        <v>9099.52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"4043", " - ", "TAXABLE SALES-CARDS")</f>
        <v xml:space="preserve">          4043 - TAXABLE SALES-CARDS</v>
      </c>
      <c r="C17" s="11"/>
      <c r="D17" s="2">
        <f>--40.85</f>
        <v>40.85</v>
      </c>
      <c r="E17" s="2"/>
      <c r="F17" s="22"/>
      <c r="G17" s="2"/>
      <c r="H17" s="2"/>
      <c r="I17" s="2"/>
      <c r="J17" s="22"/>
      <c r="K17" s="2"/>
      <c r="L17" s="2">
        <f t="shared" si="0"/>
        <v>40.85</v>
      </c>
      <c r="M17" s="2"/>
      <c r="N17" s="22">
        <f t="shared" si="1"/>
        <v>0</v>
      </c>
      <c r="O17" s="11"/>
      <c r="P17" s="2">
        <f>--40.85</f>
        <v>40.85</v>
      </c>
      <c r="Q17" s="2"/>
      <c r="R17" s="22"/>
      <c r="S17" s="2"/>
      <c r="T17" s="2"/>
      <c r="U17" s="2"/>
      <c r="V17" s="22"/>
      <c r="W17" s="2"/>
      <c r="X17" s="2">
        <f t="shared" si="2"/>
        <v>40.85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"4044", " - ", "TAXABLE SALES-ACCESSORIES")</f>
        <v xml:space="preserve">          4044 - TAXABLE SALES-ACCESSORIES</v>
      </c>
      <c r="C18" s="11"/>
      <c r="D18" s="2">
        <f>--2094.45</f>
        <v>2094.4499999999998</v>
      </c>
      <c r="E18" s="2"/>
      <c r="F18" s="22"/>
      <c r="G18" s="2"/>
      <c r="H18" s="2"/>
      <c r="I18" s="2"/>
      <c r="J18" s="22"/>
      <c r="K18" s="2"/>
      <c r="L18" s="2">
        <f t="shared" si="0"/>
        <v>2094.4499999999998</v>
      </c>
      <c r="M18" s="2"/>
      <c r="N18" s="22">
        <f t="shared" si="1"/>
        <v>0</v>
      </c>
      <c r="O18" s="11"/>
      <c r="P18" s="2">
        <f>--2094.45</f>
        <v>2094.4499999999998</v>
      </c>
      <c r="Q18" s="2"/>
      <c r="R18" s="22"/>
      <c r="S18" s="2"/>
      <c r="T18" s="2"/>
      <c r="U18" s="2"/>
      <c r="V18" s="22"/>
      <c r="W18" s="2"/>
      <c r="X18" s="2">
        <f t="shared" si="2"/>
        <v>2094.4499999999998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--19182.83</f>
        <v>19182.830000000002</v>
      </c>
      <c r="E19" s="2"/>
      <c r="F19" s="22"/>
      <c r="G19" s="2"/>
      <c r="H19" s="2"/>
      <c r="I19" s="2"/>
      <c r="J19" s="22"/>
      <c r="K19" s="2"/>
      <c r="L19" s="2">
        <f t="shared" si="0"/>
        <v>19182.830000000002</v>
      </c>
      <c r="M19" s="2"/>
      <c r="N19" s="22">
        <f t="shared" si="1"/>
        <v>0</v>
      </c>
      <c r="O19" s="11"/>
      <c r="P19" s="2">
        <f>--19182.83</f>
        <v>19182.830000000002</v>
      </c>
      <c r="Q19" s="2"/>
      <c r="R19" s="22"/>
      <c r="S19" s="2"/>
      <c r="T19" s="2"/>
      <c r="U19" s="2"/>
      <c r="V19" s="22"/>
      <c r="W19" s="2"/>
      <c r="X19" s="2">
        <f t="shared" si="2"/>
        <v>19182.830000000002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--3163.67</f>
        <v>3163.67</v>
      </c>
      <c r="E20" s="2"/>
      <c r="F20" s="22"/>
      <c r="G20" s="2"/>
      <c r="H20" s="2"/>
      <c r="I20" s="2"/>
      <c r="J20" s="22"/>
      <c r="K20" s="2"/>
      <c r="L20" s="2">
        <f t="shared" si="0"/>
        <v>3163.67</v>
      </c>
      <c r="M20" s="2"/>
      <c r="N20" s="22">
        <f t="shared" si="1"/>
        <v>0</v>
      </c>
      <c r="O20" s="11"/>
      <c r="P20" s="2">
        <f>--3163.67</f>
        <v>3163.67</v>
      </c>
      <c r="Q20" s="2"/>
      <c r="R20" s="22"/>
      <c r="S20" s="2"/>
      <c r="T20" s="2"/>
      <c r="U20" s="2"/>
      <c r="V20" s="22"/>
      <c r="W20" s="2"/>
      <c r="X20" s="2">
        <f t="shared" si="2"/>
        <v>3163.67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--254.2</f>
        <v>254.2</v>
      </c>
      <c r="E21" s="2"/>
      <c r="F21" s="22"/>
      <c r="G21" s="2"/>
      <c r="H21" s="2"/>
      <c r="I21" s="2"/>
      <c r="J21" s="22"/>
      <c r="K21" s="2"/>
      <c r="L21" s="2">
        <f t="shared" si="0"/>
        <v>254.2</v>
      </c>
      <c r="M21" s="2"/>
      <c r="N21" s="22">
        <f t="shared" si="1"/>
        <v>0</v>
      </c>
      <c r="O21" s="11"/>
      <c r="P21" s="2">
        <f>--254.2</f>
        <v>254.2</v>
      </c>
      <c r="Q21" s="2"/>
      <c r="R21" s="22"/>
      <c r="S21" s="2"/>
      <c r="T21" s="2"/>
      <c r="U21" s="2"/>
      <c r="V21" s="22"/>
      <c r="W21" s="2"/>
      <c r="X21" s="2">
        <f t="shared" si="2"/>
        <v>254.2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--151.52</f>
        <v>151.52000000000001</v>
      </c>
      <c r="E22" s="2"/>
      <c r="F22" s="22"/>
      <c r="G22" s="2"/>
      <c r="H22" s="2"/>
      <c r="I22" s="2"/>
      <c r="J22" s="22"/>
      <c r="K22" s="2"/>
      <c r="L22" s="2">
        <f t="shared" si="0"/>
        <v>151.52000000000001</v>
      </c>
      <c r="M22" s="2"/>
      <c r="N22" s="22">
        <f t="shared" si="1"/>
        <v>0</v>
      </c>
      <c r="O22" s="11"/>
      <c r="P22" s="2">
        <f>--151.52</f>
        <v>151.52000000000001</v>
      </c>
      <c r="Q22" s="2"/>
      <c r="R22" s="22"/>
      <c r="S22" s="2"/>
      <c r="T22" s="2"/>
      <c r="U22" s="2"/>
      <c r="V22" s="22"/>
      <c r="W22" s="2"/>
      <c r="X22" s="2">
        <f t="shared" si="2"/>
        <v>151.52000000000001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>--21.9</f>
        <v>21.9</v>
      </c>
      <c r="E23" s="2"/>
      <c r="F23" s="22"/>
      <c r="G23" s="2"/>
      <c r="H23" s="2"/>
      <c r="I23" s="2"/>
      <c r="J23" s="22"/>
      <c r="K23" s="2"/>
      <c r="L23" s="2">
        <f t="shared" si="0"/>
        <v>21.9</v>
      </c>
      <c r="M23" s="2"/>
      <c r="N23" s="22">
        <f t="shared" si="1"/>
        <v>0</v>
      </c>
      <c r="O23" s="11"/>
      <c r="P23" s="2">
        <f>--21.9</f>
        <v>21.9</v>
      </c>
      <c r="Q23" s="2"/>
      <c r="R23" s="22"/>
      <c r="S23" s="2"/>
      <c r="T23" s="2"/>
      <c r="U23" s="2"/>
      <c r="V23" s="22"/>
      <c r="W23" s="2"/>
      <c r="X23" s="2">
        <f t="shared" si="2"/>
        <v>21.9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"4240", " - ", "SALES RETURN TAXABLE-LOGO CLOT")</f>
        <v xml:space="preserve">          4240 - SALES RETURN TAXABLE-LOGO CLOT</v>
      </c>
      <c r="C24" s="11"/>
      <c r="D24" s="2">
        <f>-3088.89</f>
        <v>-3088.89</v>
      </c>
      <c r="E24" s="2"/>
      <c r="F24" s="22"/>
      <c r="G24" s="2"/>
      <c r="H24" s="2"/>
      <c r="I24" s="2"/>
      <c r="J24" s="22"/>
      <c r="K24" s="2"/>
      <c r="L24" s="2">
        <f t="shared" si="0"/>
        <v>-3088.89</v>
      </c>
      <c r="M24" s="2"/>
      <c r="N24" s="22">
        <f t="shared" si="1"/>
        <v>0</v>
      </c>
      <c r="O24" s="11"/>
      <c r="P24" s="2">
        <f>-3088.89</f>
        <v>-3088.89</v>
      </c>
      <c r="Q24" s="2"/>
      <c r="R24" s="22"/>
      <c r="S24" s="2"/>
      <c r="T24" s="2"/>
      <c r="U24" s="2"/>
      <c r="V24" s="22"/>
      <c r="W24" s="2"/>
      <c r="X24" s="2">
        <f t="shared" si="2"/>
        <v>-3088.89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-541.69</f>
        <v>-541.69000000000005</v>
      </c>
      <c r="E25" s="2"/>
      <c r="F25" s="22"/>
      <c r="G25" s="2"/>
      <c r="H25" s="2"/>
      <c r="I25" s="2"/>
      <c r="J25" s="22"/>
      <c r="K25" s="2"/>
      <c r="L25" s="2">
        <f t="shared" si="0"/>
        <v>-541.69000000000005</v>
      </c>
      <c r="M25" s="2"/>
      <c r="N25" s="22">
        <f t="shared" si="1"/>
        <v>0</v>
      </c>
      <c r="O25" s="11"/>
      <c r="P25" s="2">
        <f>-541.69</f>
        <v>-541.69000000000005</v>
      </c>
      <c r="Q25" s="2"/>
      <c r="R25" s="22"/>
      <c r="S25" s="2"/>
      <c r="T25" s="2"/>
      <c r="U25" s="2"/>
      <c r="V25" s="22"/>
      <c r="W25" s="2"/>
      <c r="X25" s="2">
        <f t="shared" si="2"/>
        <v>-541.69000000000005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-314.83</f>
        <v>-314.83</v>
      </c>
      <c r="E26" s="2"/>
      <c r="F26" s="22"/>
      <c r="G26" s="2"/>
      <c r="H26" s="2"/>
      <c r="I26" s="2"/>
      <c r="J26" s="22"/>
      <c r="K26" s="2"/>
      <c r="L26" s="2">
        <f t="shared" si="0"/>
        <v>-314.83</v>
      </c>
      <c r="M26" s="2"/>
      <c r="N26" s="22">
        <f t="shared" si="1"/>
        <v>0</v>
      </c>
      <c r="O26" s="11"/>
      <c r="P26" s="2">
        <f>-314.83</f>
        <v>-314.83</v>
      </c>
      <c r="Q26" s="2"/>
      <c r="R26" s="22"/>
      <c r="S26" s="2"/>
      <c r="T26" s="2"/>
      <c r="U26" s="2"/>
      <c r="V26" s="22"/>
      <c r="W26" s="2"/>
      <c r="X26" s="2">
        <f t="shared" si="2"/>
        <v>-314.83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"4244", " - ", "SALES RETURN TAXABLE-ACCESSORI")</f>
        <v xml:space="preserve">          4244 - SALES RETURN TAXABLE-ACCESSORI</v>
      </c>
      <c r="C27" s="11"/>
      <c r="D27" s="2">
        <f>-106.79</f>
        <v>-106.79</v>
      </c>
      <c r="E27" s="2"/>
      <c r="F27" s="22"/>
      <c r="G27" s="2"/>
      <c r="H27" s="2"/>
      <c r="I27" s="2"/>
      <c r="J27" s="22"/>
      <c r="K27" s="2"/>
      <c r="L27" s="2">
        <f t="shared" si="0"/>
        <v>-106.79</v>
      </c>
      <c r="M27" s="2"/>
      <c r="N27" s="22">
        <f t="shared" si="1"/>
        <v>0</v>
      </c>
      <c r="O27" s="11"/>
      <c r="P27" s="2">
        <f>-106.79</f>
        <v>-106.79</v>
      </c>
      <c r="Q27" s="2"/>
      <c r="R27" s="22"/>
      <c r="S27" s="2"/>
      <c r="T27" s="2"/>
      <c r="U27" s="2"/>
      <c r="V27" s="22"/>
      <c r="W27" s="2"/>
      <c r="X27" s="2">
        <f t="shared" si="2"/>
        <v>-106.79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"4340", " - ", "SALES RETURN NON TAXABLE-LOGO")</f>
        <v xml:space="preserve">          4340 - SALES RETURN NON TAXABLE-LOGO</v>
      </c>
      <c r="C28" s="11"/>
      <c r="D28" s="2">
        <f>-223.55</f>
        <v>-223.55</v>
      </c>
      <c r="E28" s="2"/>
      <c r="F28" s="22"/>
      <c r="G28" s="2"/>
      <c r="H28" s="2"/>
      <c r="I28" s="2"/>
      <c r="J28" s="22"/>
      <c r="K28" s="2"/>
      <c r="L28" s="2">
        <f t="shared" si="0"/>
        <v>-223.55</v>
      </c>
      <c r="M28" s="2"/>
      <c r="N28" s="22">
        <f t="shared" si="1"/>
        <v>0</v>
      </c>
      <c r="O28" s="11"/>
      <c r="P28" s="2">
        <f>-223.55</f>
        <v>-223.55</v>
      </c>
      <c r="Q28" s="2"/>
      <c r="R28" s="22"/>
      <c r="S28" s="2"/>
      <c r="T28" s="2"/>
      <c r="U28" s="2"/>
      <c r="V28" s="22"/>
      <c r="W28" s="2"/>
      <c r="X28" s="2">
        <f t="shared" si="2"/>
        <v>-223.55</v>
      </c>
      <c r="Y28" s="2"/>
      <c r="Z28" s="22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5" t="s">
        <v>8</v>
      </c>
      <c r="C30" s="10"/>
      <c r="D30" s="4">
        <f>SUM(OSRRefD16x_0)</f>
        <v>85846.780000000013</v>
      </c>
      <c r="E30" s="4"/>
      <c r="F30" s="12">
        <f t="shared" ref="F30:F44" si="4">IF(D$12=0,0,D30/D$12)</f>
        <v>0.47522324982302327</v>
      </c>
      <c r="G30" s="4"/>
      <c r="H30" s="4">
        <f>SUM(OSRRefH16x_0)</f>
        <v>84103</v>
      </c>
      <c r="I30" s="4"/>
      <c r="J30" s="12">
        <f t="shared" ref="J30:J44" si="5">IF(H$12=0,0,H30/H$12)</f>
        <v>0.48605179358850625</v>
      </c>
      <c r="K30" s="4"/>
      <c r="L30" s="4">
        <f t="shared" ref="L30:L44" si="6">+D30-H30</f>
        <v>1743.7800000000134</v>
      </c>
      <c r="M30" s="4"/>
      <c r="N30" s="12">
        <f t="shared" ref="N30:N44" si="7">IF(H30=0,0,L30/H30)</f>
        <v>2.0733862050105387E-2</v>
      </c>
      <c r="O30" s="10"/>
      <c r="P30" s="4">
        <f>SUM(OSRRefP16x_0)</f>
        <v>85846.780000000013</v>
      </c>
      <c r="Q30" s="4"/>
      <c r="R30" s="12">
        <f t="shared" ref="R30:R44" si="8">IF(P$12=0,0,P30/P$12)</f>
        <v>0.47522324982302327</v>
      </c>
      <c r="S30" s="4"/>
      <c r="T30" s="4">
        <f>SUM(OSRRefT16x_0)</f>
        <v>84103</v>
      </c>
      <c r="U30" s="4"/>
      <c r="V30" s="12">
        <f t="shared" ref="V30:V44" si="9">IF(T$12=0,0,T30/T$12)</f>
        <v>0.48605179358850625</v>
      </c>
      <c r="W30" s="4"/>
      <c r="X30" s="4">
        <f t="shared" ref="X30:X44" si="10">+P30-T30</f>
        <v>1743.7800000000134</v>
      </c>
      <c r="Y30" s="4"/>
      <c r="Z30" s="12">
        <f t="shared" ref="Z30:Z44" si="11">IF(T30=0,0,X30/T30)</f>
        <v>2.0733862050105387E-2</v>
      </c>
    </row>
    <row r="31" spans="1:26" s="24" customFormat="1" hidden="1" outlineLevel="1" x14ac:dyDescent="0.25">
      <c r="A31" s="51"/>
      <c r="B31" s="11" t="str">
        <f>CONCATENATE("          ", "5000", " - ", "PURCHASES @ COST")</f>
        <v xml:space="preserve">          5000 - PURCHASES @ COST</v>
      </c>
      <c r="C31" s="11"/>
      <c r="D31" s="2"/>
      <c r="E31" s="2"/>
      <c r="F31" s="22">
        <f t="shared" si="4"/>
        <v>0</v>
      </c>
      <c r="G31" s="2"/>
      <c r="H31" s="2">
        <v>84103</v>
      </c>
      <c r="I31" s="2"/>
      <c r="J31" s="22">
        <f t="shared" si="5"/>
        <v>0.48605179358850625</v>
      </c>
      <c r="K31" s="2"/>
      <c r="L31" s="2">
        <f t="shared" si="6"/>
        <v>-84103</v>
      </c>
      <c r="M31" s="2"/>
      <c r="N31" s="22">
        <f t="shared" si="7"/>
        <v>-1</v>
      </c>
      <c r="O31" s="11"/>
      <c r="P31" s="2"/>
      <c r="Q31" s="2"/>
      <c r="R31" s="22">
        <f t="shared" si="8"/>
        <v>0</v>
      </c>
      <c r="S31" s="2"/>
      <c r="T31" s="2">
        <v>84103</v>
      </c>
      <c r="U31" s="2"/>
      <c r="V31" s="22">
        <f t="shared" si="9"/>
        <v>0.48605179358850625</v>
      </c>
      <c r="W31" s="2"/>
      <c r="X31" s="2">
        <f t="shared" si="10"/>
        <v>-84103</v>
      </c>
      <c r="Y31" s="2"/>
      <c r="Z31" s="22">
        <f t="shared" si="11"/>
        <v>-1</v>
      </c>
    </row>
    <row r="32" spans="1:26" s="24" customFormat="1" hidden="1" outlineLevel="1" x14ac:dyDescent="0.25">
      <c r="A32" s="51"/>
      <c r="B32" s="11" t="str">
        <f>CONCATENATE("          ", "5040", " - ", "PURCHASES @ COST-LOGO CLOTHING")</f>
        <v xml:space="preserve">          5040 - PURCHASES @ COST-LOGO CLOTHING</v>
      </c>
      <c r="C32" s="11"/>
      <c r="D32" s="2">
        <v>54136.990000000005</v>
      </c>
      <c r="E32" s="2"/>
      <c r="F32" s="22">
        <f t="shared" si="4"/>
        <v>0.29968691106919226</v>
      </c>
      <c r="G32" s="2"/>
      <c r="H32" s="2"/>
      <c r="I32" s="2"/>
      <c r="J32" s="22">
        <f t="shared" si="5"/>
        <v>0</v>
      </c>
      <c r="K32" s="2"/>
      <c r="L32" s="2">
        <f t="shared" si="6"/>
        <v>54136.990000000005</v>
      </c>
      <c r="M32" s="2"/>
      <c r="N32" s="22">
        <f t="shared" si="7"/>
        <v>0</v>
      </c>
      <c r="O32" s="11"/>
      <c r="P32" s="2">
        <v>54136.990000000005</v>
      </c>
      <c r="Q32" s="2"/>
      <c r="R32" s="22">
        <f t="shared" si="8"/>
        <v>0.29968691106919226</v>
      </c>
      <c r="S32" s="2"/>
      <c r="T32" s="2"/>
      <c r="U32" s="2"/>
      <c r="V32" s="22">
        <f t="shared" si="9"/>
        <v>0</v>
      </c>
      <c r="W32" s="2"/>
      <c r="X32" s="2">
        <f t="shared" si="10"/>
        <v>54136.990000000005</v>
      </c>
      <c r="Y32" s="2"/>
      <c r="Z32" s="22">
        <f t="shared" si="11"/>
        <v>0</v>
      </c>
    </row>
    <row r="33" spans="1:26" s="24" customFormat="1" hidden="1" outlineLevel="1" x14ac:dyDescent="0.25">
      <c r="A33" s="51"/>
      <c r="B33" s="11" t="str">
        <f>CONCATENATE("          ", "5041", " - ", "PURCHASES @ COST-LOGO GIFTS")</f>
        <v xml:space="preserve">          5041 - PURCHASES @ COST-LOGO GIFTS</v>
      </c>
      <c r="C33" s="11"/>
      <c r="D33" s="2">
        <v>6767.51</v>
      </c>
      <c r="E33" s="2"/>
      <c r="F33" s="22">
        <f t="shared" si="4"/>
        <v>3.7463002053307159E-2</v>
      </c>
      <c r="G33" s="2"/>
      <c r="H33" s="2"/>
      <c r="I33" s="2"/>
      <c r="J33" s="22">
        <f t="shared" si="5"/>
        <v>0</v>
      </c>
      <c r="K33" s="2"/>
      <c r="L33" s="2">
        <f t="shared" si="6"/>
        <v>6767.51</v>
      </c>
      <c r="M33" s="2"/>
      <c r="N33" s="22">
        <f t="shared" si="7"/>
        <v>0</v>
      </c>
      <c r="O33" s="11"/>
      <c r="P33" s="2">
        <v>6767.51</v>
      </c>
      <c r="Q33" s="2"/>
      <c r="R33" s="22">
        <f t="shared" si="8"/>
        <v>3.7463002053307159E-2</v>
      </c>
      <c r="S33" s="2"/>
      <c r="T33" s="2"/>
      <c r="U33" s="2"/>
      <c r="V33" s="22">
        <f t="shared" si="9"/>
        <v>0</v>
      </c>
      <c r="W33" s="2"/>
      <c r="X33" s="2">
        <f t="shared" si="10"/>
        <v>6767.51</v>
      </c>
      <c r="Y33" s="2"/>
      <c r="Z33" s="22">
        <f t="shared" si="11"/>
        <v>0</v>
      </c>
    </row>
    <row r="34" spans="1:26" s="24" customFormat="1" hidden="1" outlineLevel="1" x14ac:dyDescent="0.25">
      <c r="A34" s="51"/>
      <c r="B34" s="11" t="str">
        <f>CONCATENATE("          ", "5042", " - ", "PURCHASES @ COST-EVERYDAY GIFT")</f>
        <v xml:space="preserve">          5042 - PURCHASES @ COST-EVERYDAY GIFT</v>
      </c>
      <c r="C34" s="11"/>
      <c r="D34" s="2">
        <v>5133.04</v>
      </c>
      <c r="E34" s="2"/>
      <c r="F34" s="22">
        <f t="shared" si="4"/>
        <v>2.8415043060107451E-2</v>
      </c>
      <c r="G34" s="2"/>
      <c r="H34" s="2"/>
      <c r="I34" s="2"/>
      <c r="J34" s="22">
        <f t="shared" si="5"/>
        <v>0</v>
      </c>
      <c r="K34" s="2"/>
      <c r="L34" s="2">
        <f t="shared" si="6"/>
        <v>5133.04</v>
      </c>
      <c r="M34" s="2"/>
      <c r="N34" s="22">
        <f t="shared" si="7"/>
        <v>0</v>
      </c>
      <c r="O34" s="11"/>
      <c r="P34" s="2">
        <v>5133.04</v>
      </c>
      <c r="Q34" s="2"/>
      <c r="R34" s="22">
        <f t="shared" si="8"/>
        <v>2.8415043060107451E-2</v>
      </c>
      <c r="S34" s="2"/>
      <c r="T34" s="2"/>
      <c r="U34" s="2"/>
      <c r="V34" s="22">
        <f t="shared" si="9"/>
        <v>0</v>
      </c>
      <c r="W34" s="2"/>
      <c r="X34" s="2">
        <f t="shared" si="10"/>
        <v>5133.04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"5043", " - ", "PURCHASES @ COST-CARDS")</f>
        <v xml:space="preserve">          5043 - PURCHASES @ COST-CARDS</v>
      </c>
      <c r="C35" s="11"/>
      <c r="D35" s="2">
        <v>498.26</v>
      </c>
      <c r="E35" s="2"/>
      <c r="F35" s="22">
        <f t="shared" si="4"/>
        <v>2.7582250197016071E-3</v>
      </c>
      <c r="G35" s="2"/>
      <c r="H35" s="2"/>
      <c r="I35" s="2"/>
      <c r="J35" s="22">
        <f t="shared" si="5"/>
        <v>0</v>
      </c>
      <c r="K35" s="2"/>
      <c r="L35" s="2">
        <f t="shared" si="6"/>
        <v>498.26</v>
      </c>
      <c r="M35" s="2"/>
      <c r="N35" s="22">
        <f t="shared" si="7"/>
        <v>0</v>
      </c>
      <c r="O35" s="11"/>
      <c r="P35" s="2">
        <v>498.26</v>
      </c>
      <c r="Q35" s="2"/>
      <c r="R35" s="22">
        <f t="shared" si="8"/>
        <v>2.7582250197016071E-3</v>
      </c>
      <c r="S35" s="2"/>
      <c r="T35" s="2"/>
      <c r="U35" s="2"/>
      <c r="V35" s="22">
        <f t="shared" si="9"/>
        <v>0</v>
      </c>
      <c r="W35" s="2"/>
      <c r="X35" s="2">
        <f t="shared" si="10"/>
        <v>498.26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"5044", " - ", "PURCHASES @ COST-ACCESSORIES")</f>
        <v xml:space="preserve">          5044 - PURCHASES @ COST-ACCESSORIES</v>
      </c>
      <c r="C36" s="11"/>
      <c r="D36" s="2">
        <v>4504.8900000000003</v>
      </c>
      <c r="E36" s="2"/>
      <c r="F36" s="22">
        <f t="shared" si="4"/>
        <v>2.493778410669846E-2</v>
      </c>
      <c r="G36" s="2"/>
      <c r="H36" s="2"/>
      <c r="I36" s="2"/>
      <c r="J36" s="22">
        <f t="shared" si="5"/>
        <v>0</v>
      </c>
      <c r="K36" s="2"/>
      <c r="L36" s="2">
        <f t="shared" si="6"/>
        <v>4504.8900000000003</v>
      </c>
      <c r="M36" s="2"/>
      <c r="N36" s="22">
        <f t="shared" si="7"/>
        <v>0</v>
      </c>
      <c r="O36" s="11"/>
      <c r="P36" s="2">
        <v>4504.8900000000003</v>
      </c>
      <c r="Q36" s="2"/>
      <c r="R36" s="22">
        <f t="shared" si="8"/>
        <v>2.493778410669846E-2</v>
      </c>
      <c r="S36" s="2"/>
      <c r="T36" s="2"/>
      <c r="U36" s="2"/>
      <c r="V36" s="22">
        <f t="shared" si="9"/>
        <v>0</v>
      </c>
      <c r="W36" s="2"/>
      <c r="X36" s="2">
        <f t="shared" si="10"/>
        <v>4504.8900000000003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"5045", " - ", "PURCHASES @ COST-SPECIAL ORDER")</f>
        <v xml:space="preserve">          5045 - PURCHASES @ COST-SPECIAL ORDER</v>
      </c>
      <c r="C37" s="11"/>
      <c r="D37" s="2">
        <v>15947.849999999999</v>
      </c>
      <c r="E37" s="2"/>
      <c r="F37" s="22">
        <f t="shared" si="4"/>
        <v>8.8282741702019579E-2</v>
      </c>
      <c r="G37" s="2"/>
      <c r="H37" s="2"/>
      <c r="I37" s="2"/>
      <c r="J37" s="22">
        <f t="shared" si="5"/>
        <v>0</v>
      </c>
      <c r="K37" s="2"/>
      <c r="L37" s="2">
        <f t="shared" si="6"/>
        <v>15947.849999999999</v>
      </c>
      <c r="M37" s="2"/>
      <c r="N37" s="22">
        <f t="shared" si="7"/>
        <v>0</v>
      </c>
      <c r="O37" s="11"/>
      <c r="P37" s="2">
        <v>15947.849999999999</v>
      </c>
      <c r="Q37" s="2"/>
      <c r="R37" s="22">
        <f t="shared" si="8"/>
        <v>8.8282741702019579E-2</v>
      </c>
      <c r="S37" s="2"/>
      <c r="T37" s="2"/>
      <c r="U37" s="2"/>
      <c r="V37" s="22">
        <f t="shared" si="9"/>
        <v>0</v>
      </c>
      <c r="W37" s="2"/>
      <c r="X37" s="2">
        <f t="shared" si="10"/>
        <v>15947.849999999999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"5200", " - ", "PURCHASES OFFSET")</f>
        <v xml:space="preserve">          5200 - PURCHASES OFFSET</v>
      </c>
      <c r="C38" s="11"/>
      <c r="D38" s="2">
        <v>-87972</v>
      </c>
      <c r="E38" s="2"/>
      <c r="F38" s="22">
        <f t="shared" si="4"/>
        <v>-0.48698786062134186</v>
      </c>
      <c r="G38" s="2"/>
      <c r="H38" s="2"/>
      <c r="I38" s="2"/>
      <c r="J38" s="22">
        <f t="shared" si="5"/>
        <v>0</v>
      </c>
      <c r="K38" s="2"/>
      <c r="L38" s="2">
        <f t="shared" si="6"/>
        <v>-87972</v>
      </c>
      <c r="M38" s="2"/>
      <c r="N38" s="22">
        <f t="shared" si="7"/>
        <v>0</v>
      </c>
      <c r="O38" s="11"/>
      <c r="P38" s="2">
        <v>-87972</v>
      </c>
      <c r="Q38" s="2"/>
      <c r="R38" s="22">
        <f t="shared" si="8"/>
        <v>-0.48698786062134186</v>
      </c>
      <c r="S38" s="2"/>
      <c r="T38" s="2"/>
      <c r="U38" s="2"/>
      <c r="V38" s="22">
        <f t="shared" si="9"/>
        <v>0</v>
      </c>
      <c r="W38" s="2"/>
      <c r="X38" s="2">
        <f t="shared" si="10"/>
        <v>-87972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"5300", " - ", "COG$ OFFSET")</f>
        <v xml:space="preserve">          5300 - COG$ OFFSET</v>
      </c>
      <c r="C39" s="11"/>
      <c r="D39" s="2">
        <v>85847</v>
      </c>
      <c r="E39" s="2"/>
      <c r="F39" s="22">
        <f t="shared" si="4"/>
        <v>0.47522446768017473</v>
      </c>
      <c r="G39" s="2"/>
      <c r="H39" s="2"/>
      <c r="I39" s="2"/>
      <c r="J39" s="22">
        <f t="shared" si="5"/>
        <v>0</v>
      </c>
      <c r="K39" s="2"/>
      <c r="L39" s="2">
        <f t="shared" si="6"/>
        <v>85847</v>
      </c>
      <c r="M39" s="2"/>
      <c r="N39" s="22">
        <f t="shared" si="7"/>
        <v>0</v>
      </c>
      <c r="O39" s="11"/>
      <c r="P39" s="2">
        <v>85847</v>
      </c>
      <c r="Q39" s="2"/>
      <c r="R39" s="22">
        <f t="shared" si="8"/>
        <v>0.47522446768017473</v>
      </c>
      <c r="S39" s="2"/>
      <c r="T39" s="2"/>
      <c r="U39" s="2"/>
      <c r="V39" s="22">
        <f t="shared" si="9"/>
        <v>0</v>
      </c>
      <c r="W39" s="2"/>
      <c r="X39" s="2">
        <f t="shared" si="10"/>
        <v>85847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"5540", " - ", "FREIGHT-IN-LOGO CLOTHING")</f>
        <v xml:space="preserve">          5540 - FREIGHT-IN-LOGO CLOTHING</v>
      </c>
      <c r="C40" s="11"/>
      <c r="D40" s="2">
        <v>395.22</v>
      </c>
      <c r="E40" s="2"/>
      <c r="F40" s="22">
        <f t="shared" si="4"/>
        <v>2.1878250156273215E-3</v>
      </c>
      <c r="G40" s="2"/>
      <c r="H40" s="2"/>
      <c r="I40" s="2"/>
      <c r="J40" s="22">
        <f t="shared" si="5"/>
        <v>0</v>
      </c>
      <c r="K40" s="2"/>
      <c r="L40" s="2">
        <f t="shared" si="6"/>
        <v>395.22</v>
      </c>
      <c r="M40" s="2"/>
      <c r="N40" s="22">
        <f t="shared" si="7"/>
        <v>0</v>
      </c>
      <c r="O40" s="11"/>
      <c r="P40" s="2">
        <v>395.22</v>
      </c>
      <c r="Q40" s="2"/>
      <c r="R40" s="22">
        <f t="shared" si="8"/>
        <v>2.1878250156273215E-3</v>
      </c>
      <c r="S40" s="2"/>
      <c r="T40" s="2"/>
      <c r="U40" s="2"/>
      <c r="V40" s="22">
        <f t="shared" si="9"/>
        <v>0</v>
      </c>
      <c r="W40" s="2"/>
      <c r="X40" s="2">
        <f t="shared" si="10"/>
        <v>395.22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"5541", " - ", "FREIGHT-IN-LOGO GIFTS")</f>
        <v xml:space="preserve">          5541 - FREIGHT-IN-LOGO GIFTS</v>
      </c>
      <c r="C41" s="11"/>
      <c r="D41" s="2">
        <v>314.49</v>
      </c>
      <c r="E41" s="2"/>
      <c r="F41" s="22">
        <f t="shared" si="4"/>
        <v>1.7409267981494771E-3</v>
      </c>
      <c r="G41" s="2"/>
      <c r="H41" s="2"/>
      <c r="I41" s="2"/>
      <c r="J41" s="22">
        <f t="shared" si="5"/>
        <v>0</v>
      </c>
      <c r="K41" s="2"/>
      <c r="L41" s="2">
        <f t="shared" si="6"/>
        <v>314.49</v>
      </c>
      <c r="M41" s="2"/>
      <c r="N41" s="22">
        <f t="shared" si="7"/>
        <v>0</v>
      </c>
      <c r="O41" s="11"/>
      <c r="P41" s="2">
        <v>314.49</v>
      </c>
      <c r="Q41" s="2"/>
      <c r="R41" s="22">
        <f t="shared" si="8"/>
        <v>1.7409267981494771E-3</v>
      </c>
      <c r="S41" s="2"/>
      <c r="T41" s="2"/>
      <c r="U41" s="2"/>
      <c r="V41" s="22">
        <f t="shared" si="9"/>
        <v>0</v>
      </c>
      <c r="W41" s="2"/>
      <c r="X41" s="2">
        <f t="shared" si="10"/>
        <v>314.49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"5542", " - ", "FREIGHT-IN-EVERYDAY GIFTS")</f>
        <v xml:space="preserve">          5542 - FREIGHT-IN-EVERYDAY GIFTS</v>
      </c>
      <c r="C42" s="11"/>
      <c r="D42" s="2">
        <v>29.72</v>
      </c>
      <c r="E42" s="2"/>
      <c r="F42" s="22">
        <f t="shared" si="4"/>
        <v>1.6452142974658163E-4</v>
      </c>
      <c r="G42" s="2"/>
      <c r="H42" s="2"/>
      <c r="I42" s="2"/>
      <c r="J42" s="22">
        <f t="shared" si="5"/>
        <v>0</v>
      </c>
      <c r="K42" s="2"/>
      <c r="L42" s="2">
        <f t="shared" si="6"/>
        <v>29.72</v>
      </c>
      <c r="M42" s="2"/>
      <c r="N42" s="22">
        <f t="shared" si="7"/>
        <v>0</v>
      </c>
      <c r="O42" s="11"/>
      <c r="P42" s="2">
        <v>29.72</v>
      </c>
      <c r="Q42" s="2"/>
      <c r="R42" s="22">
        <f t="shared" si="8"/>
        <v>1.6452142974658163E-4</v>
      </c>
      <c r="S42" s="2"/>
      <c r="T42" s="2"/>
      <c r="U42" s="2"/>
      <c r="V42" s="22">
        <f t="shared" si="9"/>
        <v>0</v>
      </c>
      <c r="W42" s="2"/>
      <c r="X42" s="2">
        <f t="shared" si="10"/>
        <v>29.72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"5544", " - ", "FREIGHT-IN-ACCESSORIES")</f>
        <v xml:space="preserve">          5544 - FREIGHT-IN-ACCESSORIES</v>
      </c>
      <c r="C43" s="11"/>
      <c r="D43" s="2">
        <v>16.73</v>
      </c>
      <c r="E43" s="2"/>
      <c r="F43" s="22">
        <f t="shared" si="4"/>
        <v>9.2612500661517859E-5</v>
      </c>
      <c r="G43" s="2"/>
      <c r="H43" s="2"/>
      <c r="I43" s="2"/>
      <c r="J43" s="22">
        <f t="shared" si="5"/>
        <v>0</v>
      </c>
      <c r="K43" s="2"/>
      <c r="L43" s="2">
        <f t="shared" si="6"/>
        <v>16.73</v>
      </c>
      <c r="M43" s="2"/>
      <c r="N43" s="22">
        <f t="shared" si="7"/>
        <v>0</v>
      </c>
      <c r="O43" s="11"/>
      <c r="P43" s="2">
        <v>16.73</v>
      </c>
      <c r="Q43" s="2"/>
      <c r="R43" s="22">
        <f t="shared" si="8"/>
        <v>9.2612500661517859E-5</v>
      </c>
      <c r="S43" s="2"/>
      <c r="T43" s="2"/>
      <c r="U43" s="2"/>
      <c r="V43" s="22">
        <f t="shared" si="9"/>
        <v>0</v>
      </c>
      <c r="W43" s="2"/>
      <c r="X43" s="2">
        <f t="shared" si="10"/>
        <v>16.73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"5545", " - ", "FREIGHT-IN-SPECIAL ORDERS")</f>
        <v xml:space="preserve">          5545 - FREIGHT-IN-SPECIAL ORDERS</v>
      </c>
      <c r="C44" s="11"/>
      <c r="D44" s="2">
        <v>227.08</v>
      </c>
      <c r="E44" s="2"/>
      <c r="F44" s="22">
        <f t="shared" si="4"/>
        <v>1.2570500089789287E-3</v>
      </c>
      <c r="G44" s="2"/>
      <c r="H44" s="2"/>
      <c r="I44" s="2"/>
      <c r="J44" s="22">
        <f t="shared" si="5"/>
        <v>0</v>
      </c>
      <c r="K44" s="2"/>
      <c r="L44" s="2">
        <f t="shared" si="6"/>
        <v>227.08</v>
      </c>
      <c r="M44" s="2"/>
      <c r="N44" s="22">
        <f t="shared" si="7"/>
        <v>0</v>
      </c>
      <c r="O44" s="11"/>
      <c r="P44" s="2">
        <v>227.08</v>
      </c>
      <c r="Q44" s="2"/>
      <c r="R44" s="22">
        <f t="shared" si="8"/>
        <v>1.2570500089789287E-3</v>
      </c>
      <c r="S44" s="2"/>
      <c r="T44" s="2"/>
      <c r="U44" s="2"/>
      <c r="V44" s="22">
        <f t="shared" si="9"/>
        <v>0</v>
      </c>
      <c r="W44" s="2"/>
      <c r="X44" s="2">
        <f t="shared" si="10"/>
        <v>227.08</v>
      </c>
      <c r="Y44" s="2"/>
      <c r="Z44" s="22">
        <f t="shared" si="11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6" t="s">
        <v>6</v>
      </c>
      <c r="C46" s="26"/>
      <c r="D46" s="21">
        <f>D12-D30</f>
        <v>94798.37999999999</v>
      </c>
      <c r="E46" s="13"/>
      <c r="F46" s="19">
        <f>IF(D$12=0,0,D46/D$12)</f>
        <v>0.52477675017697667</v>
      </c>
      <c r="G46" s="13"/>
      <c r="H46" s="21">
        <f>H12-H30</f>
        <v>88930</v>
      </c>
      <c r="I46" s="13"/>
      <c r="J46" s="19">
        <f>IF(H$12=0,0,H46/H$12)</f>
        <v>0.51394820641149375</v>
      </c>
      <c r="K46" s="15"/>
      <c r="L46" s="21">
        <f>+D46-H46</f>
        <v>5868.3799999999901</v>
      </c>
      <c r="M46" s="15"/>
      <c r="N46" s="19">
        <f>IF(H46=0,0,L46/H46)</f>
        <v>6.5988755200719562E-2</v>
      </c>
      <c r="O46" s="25"/>
      <c r="P46" s="21">
        <f>P12-P30</f>
        <v>94798.37999999999</v>
      </c>
      <c r="Q46" s="13"/>
      <c r="R46" s="19">
        <f>IF(P$12=0,0,P46/P$12)</f>
        <v>0.52477675017697667</v>
      </c>
      <c r="S46" s="13"/>
      <c r="T46" s="21">
        <f>T12-T30</f>
        <v>88930</v>
      </c>
      <c r="U46" s="13"/>
      <c r="V46" s="19">
        <f>IF(T$12=0,0,T46/T$12)</f>
        <v>0.51394820641149375</v>
      </c>
      <c r="W46" s="15"/>
      <c r="X46" s="21">
        <f>+P46-T46</f>
        <v>5868.3799999999901</v>
      </c>
      <c r="Y46" s="15"/>
      <c r="Z46" s="19">
        <f>IF(T46=0,0,X46/T46)</f>
        <v>6.5988755200719562E-2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5" t="s">
        <v>9</v>
      </c>
      <c r="C48" s="10"/>
      <c r="D48" s="20">
        <f>SUM(OSRRefD22x_0)</f>
        <v>56733.22</v>
      </c>
      <c r="E48" s="20"/>
      <c r="F48" s="30">
        <f t="shared" ref="F48:F58" si="12">IF(D$12=0,0,D48/D$12)</f>
        <v>0.31405889867184927</v>
      </c>
      <c r="G48" s="20"/>
      <c r="H48" s="20">
        <f>SUM(OSRRefH22x_0)</f>
        <v>54692.159530305289</v>
      </c>
      <c r="I48" s="20"/>
      <c r="J48" s="30">
        <f t="shared" ref="J48:J58" si="13">IF(H$12=0,0,H48/H$12)</f>
        <v>0.31607935786991664</v>
      </c>
      <c r="K48" s="4"/>
      <c r="L48" s="20">
        <f t="shared" ref="L48:L58" si="14">+D48-H48</f>
        <v>2041.0604696947121</v>
      </c>
      <c r="M48" s="4"/>
      <c r="N48" s="30">
        <f t="shared" ref="N48:N58" si="15">IF(H48=0,0,L48/H48)</f>
        <v>3.7319068898051956E-2</v>
      </c>
      <c r="O48" s="10"/>
      <c r="P48" s="20">
        <f>SUM(OSRRefP22x_0)</f>
        <v>56733.22</v>
      </c>
      <c r="Q48" s="20"/>
      <c r="R48" s="30">
        <f t="shared" ref="R48:R58" si="16">IF(P$12=0,0,P48/P$12)</f>
        <v>0.31405889867184927</v>
      </c>
      <c r="S48" s="20"/>
      <c r="T48" s="20">
        <f>SUM(OSRRefT22x_0)</f>
        <v>54692.159530305289</v>
      </c>
      <c r="U48" s="20"/>
      <c r="V48" s="30">
        <f t="shared" ref="V48:V58" si="17">IF(T$12=0,0,T48/T$12)</f>
        <v>0.31607935786991664</v>
      </c>
      <c r="W48" s="4"/>
      <c r="X48" s="20">
        <f t="shared" ref="X48:X58" si="18">+P48-T48</f>
        <v>2041.0604696947121</v>
      </c>
      <c r="Y48" s="4"/>
      <c r="Z48" s="30">
        <f t="shared" ref="Z48:Z58" si="19">IF(T48=0,0,X48/T48)</f>
        <v>3.7319068898051956E-2</v>
      </c>
    </row>
    <row r="49" spans="1:26" s="27" customFormat="1" outlineLevel="1" collapsed="1" x14ac:dyDescent="0.25">
      <c r="A49" s="28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8618.5499999999993</v>
      </c>
      <c r="E49" s="1"/>
      <c r="F49" s="5">
        <f t="shared" si="12"/>
        <v>4.7709830697927356E-2</v>
      </c>
      <c r="G49" s="1"/>
      <c r="H49" s="1">
        <f>SUM(OSRRefH22_0x_0)</f>
        <v>5373.2497105937518</v>
      </c>
      <c r="I49" s="1"/>
      <c r="J49" s="5">
        <f t="shared" si="13"/>
        <v>3.1053323415728515E-2</v>
      </c>
      <c r="K49" s="1"/>
      <c r="L49" s="1">
        <f t="shared" si="14"/>
        <v>3245.3002894062474</v>
      </c>
      <c r="M49" s="1"/>
      <c r="N49" s="5">
        <f t="shared" si="15"/>
        <v>0.60397347307494431</v>
      </c>
      <c r="O49" s="14"/>
      <c r="P49" s="1">
        <f>SUM(OSRRefP22_0x_0)</f>
        <v>8618.5499999999993</v>
      </c>
      <c r="Q49" s="1"/>
      <c r="R49" s="5">
        <f t="shared" si="16"/>
        <v>4.7709830697927356E-2</v>
      </c>
      <c r="S49" s="1"/>
      <c r="T49" s="1">
        <f>SUM(OSRRefT22_0x_0)</f>
        <v>5373.2497105937518</v>
      </c>
      <c r="U49" s="1"/>
      <c r="V49" s="5">
        <f t="shared" si="17"/>
        <v>3.1053323415728515E-2</v>
      </c>
      <c r="W49" s="1"/>
      <c r="X49" s="1">
        <f t="shared" si="18"/>
        <v>3245.3002894062474</v>
      </c>
      <c r="Y49" s="1"/>
      <c r="Z49" s="5">
        <f t="shared" si="19"/>
        <v>0.60397347307494431</v>
      </c>
    </row>
    <row r="50" spans="1:26" s="24" customFormat="1" hidden="1" outlineLevel="2" x14ac:dyDescent="0.25">
      <c r="A50" s="29"/>
      <c r="B50" s="11" t="str">
        <f>CONCATENATE("          ", "6111", " - ", "F.I.C.A.")</f>
        <v xml:space="preserve">          6111 - F.I.C.A.</v>
      </c>
      <c r="C50" s="11"/>
      <c r="D50" s="7">
        <v>1622.58</v>
      </c>
      <c r="E50" s="2"/>
      <c r="F50" s="6">
        <f t="shared" si="12"/>
        <v>8.9821393498724228E-3</v>
      </c>
      <c r="G50" s="2"/>
      <c r="H50" s="7">
        <v>1685.71562155529</v>
      </c>
      <c r="I50" s="2"/>
      <c r="J50" s="6">
        <f t="shared" si="13"/>
        <v>9.7421626022509578E-3</v>
      </c>
      <c r="K50" s="2"/>
      <c r="L50" s="7">
        <f t="shared" si="14"/>
        <v>-63.135621555290072</v>
      </c>
      <c r="M50" s="2"/>
      <c r="N50" s="6">
        <f t="shared" si="15"/>
        <v>-3.745330514113604E-2</v>
      </c>
      <c r="O50" s="11"/>
      <c r="P50" s="7">
        <v>1622.58</v>
      </c>
      <c r="Q50" s="2"/>
      <c r="R50" s="6">
        <f t="shared" si="16"/>
        <v>8.9821393498724228E-3</v>
      </c>
      <c r="S50" s="2"/>
      <c r="T50" s="7">
        <v>1685.71562155529</v>
      </c>
      <c r="U50" s="2"/>
      <c r="V50" s="6">
        <f t="shared" si="17"/>
        <v>9.7421626022509578E-3</v>
      </c>
      <c r="W50" s="2"/>
      <c r="X50" s="7">
        <f t="shared" si="18"/>
        <v>-63.135621555290072</v>
      </c>
      <c r="Y50" s="2"/>
      <c r="Z50" s="6">
        <f t="shared" si="19"/>
        <v>-3.745330514113604E-2</v>
      </c>
    </row>
    <row r="51" spans="1:26" s="24" customFormat="1" hidden="1" outlineLevel="2" x14ac:dyDescent="0.25">
      <c r="A51" s="29"/>
      <c r="B51" s="11" t="str">
        <f>CONCATENATE("          ", "6112", " - ", "COMPENSATION INSURANCE")</f>
        <v xml:space="preserve">          6112 - COMPENSATION INSURANCE</v>
      </c>
      <c r="C51" s="11"/>
      <c r="D51" s="7">
        <v>356.48</v>
      </c>
      <c r="E51" s="2"/>
      <c r="F51" s="6">
        <f t="shared" si="12"/>
        <v>1.9733714426669389E-3</v>
      </c>
      <c r="G51" s="2"/>
      <c r="H51" s="7">
        <v>418.51034639423096</v>
      </c>
      <c r="I51" s="2"/>
      <c r="J51" s="6">
        <f t="shared" si="13"/>
        <v>2.4186735847741814E-3</v>
      </c>
      <c r="K51" s="2"/>
      <c r="L51" s="7">
        <f t="shared" si="14"/>
        <v>-62.030346394230946</v>
      </c>
      <c r="M51" s="2"/>
      <c r="N51" s="6">
        <f t="shared" si="15"/>
        <v>-0.14821699613562053</v>
      </c>
      <c r="O51" s="11"/>
      <c r="P51" s="7">
        <v>356.48</v>
      </c>
      <c r="Q51" s="2"/>
      <c r="R51" s="6">
        <f t="shared" si="16"/>
        <v>1.9733714426669389E-3</v>
      </c>
      <c r="S51" s="2"/>
      <c r="T51" s="7">
        <v>418.51034639423096</v>
      </c>
      <c r="U51" s="2"/>
      <c r="V51" s="6">
        <f t="shared" si="17"/>
        <v>2.4186735847741814E-3</v>
      </c>
      <c r="W51" s="2"/>
      <c r="X51" s="7">
        <f t="shared" si="18"/>
        <v>-62.030346394230946</v>
      </c>
      <c r="Y51" s="2"/>
      <c r="Z51" s="6">
        <f t="shared" si="19"/>
        <v>-0.14821699613562053</v>
      </c>
    </row>
    <row r="52" spans="1:26" s="24" customFormat="1" hidden="1" outlineLevel="2" x14ac:dyDescent="0.25">
      <c r="A52" s="29"/>
      <c r="B52" s="11" t="str">
        <f>CONCATENATE("          ", "6113", " - ", "GROUP INSURANCE")</f>
        <v xml:space="preserve">          6113 - GROUP INSURANCE</v>
      </c>
      <c r="C52" s="11"/>
      <c r="D52" s="7">
        <v>2753.98</v>
      </c>
      <c r="E52" s="2"/>
      <c r="F52" s="6">
        <f t="shared" si="12"/>
        <v>1.5245246537466046E-2</v>
      </c>
      <c r="G52" s="2"/>
      <c r="H52" s="7">
        <v>1875.25</v>
      </c>
      <c r="I52" s="2"/>
      <c r="J52" s="6">
        <f t="shared" si="13"/>
        <v>1.0837528101576E-2</v>
      </c>
      <c r="K52" s="2"/>
      <c r="L52" s="7">
        <f t="shared" si="14"/>
        <v>878.73</v>
      </c>
      <c r="M52" s="2"/>
      <c r="N52" s="6">
        <f t="shared" si="15"/>
        <v>0.46859352086388484</v>
      </c>
      <c r="O52" s="11"/>
      <c r="P52" s="7">
        <v>2753.98</v>
      </c>
      <c r="Q52" s="2"/>
      <c r="R52" s="6">
        <f t="shared" si="16"/>
        <v>1.5245246537466046E-2</v>
      </c>
      <c r="S52" s="2"/>
      <c r="T52" s="7">
        <v>1875.25</v>
      </c>
      <c r="U52" s="2"/>
      <c r="V52" s="6">
        <f t="shared" si="17"/>
        <v>1.0837528101576E-2</v>
      </c>
      <c r="W52" s="2"/>
      <c r="X52" s="7">
        <f t="shared" si="18"/>
        <v>878.73</v>
      </c>
      <c r="Y52" s="2"/>
      <c r="Z52" s="6">
        <f t="shared" si="19"/>
        <v>0.46859352086388484</v>
      </c>
    </row>
    <row r="53" spans="1:26" s="24" customFormat="1" hidden="1" outlineLevel="2" x14ac:dyDescent="0.25">
      <c r="A53" s="29"/>
      <c r="B53" s="11" t="str">
        <f>CONCATENATE("          ", "6114", " - ", "STATE UNEMPLOYMENT INSURANCE")</f>
        <v xml:space="preserve">          6114 - STATE UNEMPLOYMENT INSURANCE</v>
      </c>
      <c r="C53" s="11"/>
      <c r="D53" s="7">
        <v>48.78</v>
      </c>
      <c r="E53" s="2"/>
      <c r="F53" s="6">
        <f t="shared" si="12"/>
        <v>2.7003214478594389E-4</v>
      </c>
      <c r="G53" s="2"/>
      <c r="H53" s="7">
        <v>57.269836875000003</v>
      </c>
      <c r="I53" s="2"/>
      <c r="J53" s="6">
        <f t="shared" si="13"/>
        <v>3.3097638528488789E-4</v>
      </c>
      <c r="K53" s="2"/>
      <c r="L53" s="7">
        <f t="shared" si="14"/>
        <v>-8.4898368750000017</v>
      </c>
      <c r="M53" s="2"/>
      <c r="N53" s="6">
        <f t="shared" si="15"/>
        <v>-0.14824272842841063</v>
      </c>
      <c r="O53" s="11"/>
      <c r="P53" s="7">
        <v>48.78</v>
      </c>
      <c r="Q53" s="2"/>
      <c r="R53" s="6">
        <f t="shared" si="16"/>
        <v>2.7003214478594389E-4</v>
      </c>
      <c r="S53" s="2"/>
      <c r="T53" s="7">
        <v>57.269836875000003</v>
      </c>
      <c r="U53" s="2"/>
      <c r="V53" s="6">
        <f t="shared" si="17"/>
        <v>3.3097638528488789E-4</v>
      </c>
      <c r="W53" s="2"/>
      <c r="X53" s="7">
        <f t="shared" si="18"/>
        <v>-8.4898368750000017</v>
      </c>
      <c r="Y53" s="2"/>
      <c r="Z53" s="6">
        <f t="shared" si="19"/>
        <v>-0.14824272842841063</v>
      </c>
    </row>
    <row r="54" spans="1:26" s="24" customFormat="1" hidden="1" outlineLevel="2" x14ac:dyDescent="0.25">
      <c r="A54" s="29"/>
      <c r="B54" s="11" t="str">
        <f>CONCATENATE("          ", "6115", " - ", "P.E.R.S.")</f>
        <v xml:space="preserve">          6115 - P.E.R.S.</v>
      </c>
      <c r="C54" s="11"/>
      <c r="D54" s="7">
        <v>672.87</v>
      </c>
      <c r="E54" s="2"/>
      <c r="F54" s="6">
        <f t="shared" si="12"/>
        <v>3.7248160980344006E-3</v>
      </c>
      <c r="G54" s="2"/>
      <c r="H54" s="7">
        <v>761.87488894230808</v>
      </c>
      <c r="I54" s="2"/>
      <c r="J54" s="6">
        <f t="shared" si="13"/>
        <v>4.4030612018650089E-3</v>
      </c>
      <c r="K54" s="2"/>
      <c r="L54" s="7">
        <f t="shared" si="14"/>
        <v>-89.004888942308071</v>
      </c>
      <c r="M54" s="2"/>
      <c r="N54" s="6">
        <f t="shared" si="15"/>
        <v>-0.11682349718320725</v>
      </c>
      <c r="O54" s="11"/>
      <c r="P54" s="7">
        <v>672.87</v>
      </c>
      <c r="Q54" s="2"/>
      <c r="R54" s="6">
        <f t="shared" si="16"/>
        <v>3.7248160980344006E-3</v>
      </c>
      <c r="S54" s="2"/>
      <c r="T54" s="7">
        <v>761.87488894230808</v>
      </c>
      <c r="U54" s="2"/>
      <c r="V54" s="6">
        <f t="shared" si="17"/>
        <v>4.4030612018650089E-3</v>
      </c>
      <c r="W54" s="2"/>
      <c r="X54" s="7">
        <f t="shared" si="18"/>
        <v>-89.004888942308071</v>
      </c>
      <c r="Y54" s="2"/>
      <c r="Z54" s="6">
        <f t="shared" si="19"/>
        <v>-0.11682349718320725</v>
      </c>
    </row>
    <row r="55" spans="1:26" s="24" customFormat="1" hidden="1" outlineLevel="2" x14ac:dyDescent="0.25">
      <c r="A55" s="29"/>
      <c r="B55" s="11" t="str">
        <f>CONCATENATE("          ", "6116", " - ", "EDUCATIONAL BENEFITS")</f>
        <v xml:space="preserve">          6116 - EDUCATIONAL BENEFITS</v>
      </c>
      <c r="C55" s="11"/>
      <c r="D55" s="7"/>
      <c r="E55" s="2"/>
      <c r="F55" s="6">
        <f t="shared" si="12"/>
        <v>0</v>
      </c>
      <c r="G55" s="2"/>
      <c r="H55" s="7">
        <v>0</v>
      </c>
      <c r="I55" s="2"/>
      <c r="J55" s="6">
        <f t="shared" si="13"/>
        <v>0</v>
      </c>
      <c r="K55" s="2"/>
      <c r="L55" s="7">
        <f t="shared" si="14"/>
        <v>0</v>
      </c>
      <c r="M55" s="2"/>
      <c r="N55" s="6">
        <f t="shared" si="15"/>
        <v>0</v>
      </c>
      <c r="O55" s="11"/>
      <c r="P55" s="7"/>
      <c r="Q55" s="2"/>
      <c r="R55" s="6">
        <f t="shared" si="16"/>
        <v>0</v>
      </c>
      <c r="S55" s="2"/>
      <c r="T55" s="7">
        <v>0</v>
      </c>
      <c r="U55" s="2"/>
      <c r="V55" s="6">
        <f t="shared" si="17"/>
        <v>0</v>
      </c>
      <c r="W55" s="2"/>
      <c r="X55" s="7">
        <f t="shared" si="18"/>
        <v>0</v>
      </c>
      <c r="Y55" s="2"/>
      <c r="Z55" s="6">
        <f t="shared" si="19"/>
        <v>0</v>
      </c>
    </row>
    <row r="56" spans="1:26" s="24" customFormat="1" hidden="1" outlineLevel="2" x14ac:dyDescent="0.25">
      <c r="A56" s="29"/>
      <c r="B56" s="11" t="str">
        <f>CONCATENATE("          ", "6118", " - ", "VACATION")</f>
        <v xml:space="preserve">          6118 - VACATION</v>
      </c>
      <c r="C56" s="11"/>
      <c r="D56" s="7">
        <v>962.15</v>
      </c>
      <c r="E56" s="2"/>
      <c r="F56" s="6">
        <f t="shared" si="12"/>
        <v>5.3261875380441965E-3</v>
      </c>
      <c r="G56" s="2"/>
      <c r="H56" s="7">
        <v>265.77031009615399</v>
      </c>
      <c r="I56" s="2"/>
      <c r="J56" s="6">
        <f t="shared" si="13"/>
        <v>1.5359515820459334E-3</v>
      </c>
      <c r="K56" s="2"/>
      <c r="L56" s="7">
        <f t="shared" si="14"/>
        <v>696.37968990384593</v>
      </c>
      <c r="M56" s="2"/>
      <c r="N56" s="6">
        <f t="shared" si="15"/>
        <v>2.6202313179824346</v>
      </c>
      <c r="O56" s="11"/>
      <c r="P56" s="7">
        <v>962.15</v>
      </c>
      <c r="Q56" s="2"/>
      <c r="R56" s="6">
        <f t="shared" si="16"/>
        <v>5.3261875380441965E-3</v>
      </c>
      <c r="S56" s="2"/>
      <c r="T56" s="7">
        <v>265.77031009615399</v>
      </c>
      <c r="U56" s="2"/>
      <c r="V56" s="6">
        <f t="shared" si="17"/>
        <v>1.5359515820459334E-3</v>
      </c>
      <c r="W56" s="2"/>
      <c r="X56" s="7">
        <f t="shared" si="18"/>
        <v>696.37968990384593</v>
      </c>
      <c r="Y56" s="2"/>
      <c r="Z56" s="6">
        <f t="shared" si="19"/>
        <v>2.6202313179824346</v>
      </c>
    </row>
    <row r="57" spans="1:26" s="24" customFormat="1" hidden="1" outlineLevel="2" x14ac:dyDescent="0.25">
      <c r="A57" s="29"/>
      <c r="B57" s="11" t="str">
        <f>CONCATENATE("          ", "6119", " - ", "SICK LEAVE")</f>
        <v xml:space="preserve">          6119 - SICK LEAVE</v>
      </c>
      <c r="C57" s="11"/>
      <c r="D57" s="7">
        <v>2053.61</v>
      </c>
      <c r="E57" s="2"/>
      <c r="F57" s="6">
        <f t="shared" si="12"/>
        <v>1.1368198295487131E-2</v>
      </c>
      <c r="G57" s="2"/>
      <c r="H57" s="7">
        <v>308.85870673076897</v>
      </c>
      <c r="I57" s="2"/>
      <c r="J57" s="6">
        <f t="shared" si="13"/>
        <v>1.7849699579315446E-3</v>
      </c>
      <c r="K57" s="2"/>
      <c r="L57" s="7">
        <f t="shared" si="14"/>
        <v>1744.7512932692312</v>
      </c>
      <c r="M57" s="2"/>
      <c r="N57" s="6">
        <f t="shared" si="15"/>
        <v>5.6490273877567088</v>
      </c>
      <c r="O57" s="11"/>
      <c r="P57" s="7">
        <v>2053.61</v>
      </c>
      <c r="Q57" s="2"/>
      <c r="R57" s="6">
        <f t="shared" si="16"/>
        <v>1.1368198295487131E-2</v>
      </c>
      <c r="S57" s="2"/>
      <c r="T57" s="7">
        <v>308.85870673076897</v>
      </c>
      <c r="U57" s="2"/>
      <c r="V57" s="6">
        <f t="shared" si="17"/>
        <v>1.7849699579315446E-3</v>
      </c>
      <c r="W57" s="2"/>
      <c r="X57" s="7">
        <f t="shared" si="18"/>
        <v>1744.7512932692312</v>
      </c>
      <c r="Y57" s="2"/>
      <c r="Z57" s="6">
        <f t="shared" si="19"/>
        <v>5.6490273877567088</v>
      </c>
    </row>
    <row r="58" spans="1:26" s="24" customFormat="1" hidden="1" outlineLevel="2" x14ac:dyDescent="0.25">
      <c r="A58" s="29"/>
      <c r="B58" s="11" t="str">
        <f>CONCATENATE("          ", "6156", " - ", "EMPLOYEE MEALS")</f>
        <v xml:space="preserve">          6156 - EMPLOYEE MEALS</v>
      </c>
      <c r="C58" s="11"/>
      <c r="D58" s="7">
        <v>148.1</v>
      </c>
      <c r="E58" s="2"/>
      <c r="F58" s="6">
        <f t="shared" si="12"/>
        <v>8.1983929157028056E-4</v>
      </c>
      <c r="G58" s="2"/>
      <c r="H58" s="7"/>
      <c r="I58" s="2"/>
      <c r="J58" s="6">
        <f t="shared" si="13"/>
        <v>0</v>
      </c>
      <c r="K58" s="2"/>
      <c r="L58" s="7">
        <f t="shared" si="14"/>
        <v>148.1</v>
      </c>
      <c r="M58" s="2"/>
      <c r="N58" s="6">
        <f t="shared" si="15"/>
        <v>0</v>
      </c>
      <c r="O58" s="11"/>
      <c r="P58" s="7">
        <v>148.1</v>
      </c>
      <c r="Q58" s="2"/>
      <c r="R58" s="6">
        <f t="shared" si="16"/>
        <v>8.1983929157028056E-4</v>
      </c>
      <c r="S58" s="2"/>
      <c r="T58" s="7"/>
      <c r="U58" s="2"/>
      <c r="V58" s="6">
        <f t="shared" si="17"/>
        <v>0</v>
      </c>
      <c r="W58" s="2"/>
      <c r="X58" s="7">
        <f t="shared" si="18"/>
        <v>148.1</v>
      </c>
      <c r="Y58" s="2"/>
      <c r="Z58" s="6">
        <f t="shared" si="19"/>
        <v>0</v>
      </c>
    </row>
    <row r="59" spans="1:26" s="27" customFormat="1" outlineLevel="1" collapsed="1" x14ac:dyDescent="0.25">
      <c r="A59" s="28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25179.64</v>
      </c>
      <c r="E59" s="1"/>
      <c r="F59" s="5">
        <f t="shared" ref="F59:F69" si="20">IF(D$12=0,0,D59/D$12)</f>
        <v>0.13938729385276638</v>
      </c>
      <c r="G59" s="1"/>
      <c r="H59" s="1">
        <f>SUM(OSRRefH22_1x_0)</f>
        <v>21583.909819711538</v>
      </c>
      <c r="I59" s="1"/>
      <c r="J59" s="5">
        <f t="shared" ref="J59:J69" si="21">IF(H$12=0,0,H59/H$12)</f>
        <v>0.12473869042154698</v>
      </c>
      <c r="K59" s="1"/>
      <c r="L59" s="1">
        <f t="shared" ref="L59:L69" si="22">+D59-H59</f>
        <v>3595.7301802884613</v>
      </c>
      <c r="M59" s="1"/>
      <c r="N59" s="5">
        <f t="shared" ref="N59:N69" si="23">IF(H59=0,0,L59/H59)</f>
        <v>0.16659308764367869</v>
      </c>
      <c r="O59" s="14"/>
      <c r="P59" s="1">
        <f>SUM(OSRRefP22_1x_0)</f>
        <v>25179.64</v>
      </c>
      <c r="Q59" s="1"/>
      <c r="R59" s="5">
        <f t="shared" ref="R59:R69" si="24">IF(P$12=0,0,P59/P$12)</f>
        <v>0.13938729385276638</v>
      </c>
      <c r="S59" s="1"/>
      <c r="T59" s="1">
        <f>SUM(OSRRefT22_1x_0)</f>
        <v>21583.909819711538</v>
      </c>
      <c r="U59" s="1"/>
      <c r="V59" s="5">
        <f t="shared" ref="V59:V69" si="25">IF(T$12=0,0,T59/T$12)</f>
        <v>0.12473869042154698</v>
      </c>
      <c r="W59" s="1"/>
      <c r="X59" s="1">
        <f t="shared" ref="X59:X69" si="26">+P59-T59</f>
        <v>3595.7301802884613</v>
      </c>
      <c r="Y59" s="1"/>
      <c r="Z59" s="5">
        <f t="shared" ref="Z59:Z69" si="27">IF(T59=0,0,X59/T59)</f>
        <v>0.16659308764367869</v>
      </c>
    </row>
    <row r="60" spans="1:26" s="24" customFormat="1" hidden="1" outlineLevel="2" x14ac:dyDescent="0.25">
      <c r="A60" s="29"/>
      <c r="B60" s="11" t="str">
        <f>CONCATENATE("          ", "6001", " - ", "ADMINISTRATIVE SALARIES")</f>
        <v xml:space="preserve">          6001 - ADMINISTRATIVE SALARIES</v>
      </c>
      <c r="C60" s="11"/>
      <c r="D60" s="7"/>
      <c r="E60" s="2"/>
      <c r="F60" s="6">
        <f t="shared" si="20"/>
        <v>0</v>
      </c>
      <c r="G60" s="2"/>
      <c r="H60" s="7">
        <v>0</v>
      </c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/>
      <c r="Q60" s="2"/>
      <c r="R60" s="6">
        <f t="shared" si="24"/>
        <v>0</v>
      </c>
      <c r="S60" s="2"/>
      <c r="T60" s="7">
        <v>0</v>
      </c>
      <c r="U60" s="2"/>
      <c r="V60" s="6">
        <f t="shared" si="25"/>
        <v>0</v>
      </c>
      <c r="W60" s="2"/>
      <c r="X60" s="7">
        <f t="shared" si="26"/>
        <v>0</v>
      </c>
      <c r="Y60" s="2"/>
      <c r="Z60" s="6">
        <f t="shared" si="27"/>
        <v>0</v>
      </c>
    </row>
    <row r="61" spans="1:26" s="24" customFormat="1" hidden="1" outlineLevel="2" x14ac:dyDescent="0.25">
      <c r="A61" s="29"/>
      <c r="B61" s="11" t="str">
        <f>CONCATENATE("          ", "6002", " - ", "STAFF SALARIES")</f>
        <v xml:space="preserve">          6002 - STAFF SALARIES</v>
      </c>
      <c r="C61" s="11"/>
      <c r="D61" s="7">
        <v>8761.74</v>
      </c>
      <c r="E61" s="2"/>
      <c r="F61" s="6">
        <f t="shared" si="20"/>
        <v>4.8502489632160639E-2</v>
      </c>
      <c r="G61" s="2"/>
      <c r="H61" s="7">
        <v>8416.0598197115396</v>
      </c>
      <c r="I61" s="2"/>
      <c r="J61" s="6">
        <f t="shared" si="21"/>
        <v>4.863846676478787E-2</v>
      </c>
      <c r="K61" s="2"/>
      <c r="L61" s="7">
        <f t="shared" si="22"/>
        <v>345.68018028846018</v>
      </c>
      <c r="M61" s="2"/>
      <c r="N61" s="6">
        <f t="shared" si="23"/>
        <v>4.1073873961640681E-2</v>
      </c>
      <c r="O61" s="11"/>
      <c r="P61" s="7">
        <v>8761.74</v>
      </c>
      <c r="Q61" s="2"/>
      <c r="R61" s="6">
        <f t="shared" si="24"/>
        <v>4.8502489632160639E-2</v>
      </c>
      <c r="S61" s="2"/>
      <c r="T61" s="7">
        <v>8416.0598197115396</v>
      </c>
      <c r="U61" s="2"/>
      <c r="V61" s="6">
        <f t="shared" si="25"/>
        <v>4.863846676478787E-2</v>
      </c>
      <c r="W61" s="2"/>
      <c r="X61" s="7">
        <f t="shared" si="26"/>
        <v>345.68018028846018</v>
      </c>
      <c r="Y61" s="2"/>
      <c r="Z61" s="6">
        <f t="shared" si="27"/>
        <v>4.1073873961640681E-2</v>
      </c>
    </row>
    <row r="62" spans="1:26" s="24" customFormat="1" hidden="1" outlineLevel="2" x14ac:dyDescent="0.25">
      <c r="A62" s="29"/>
      <c r="B62" s="11" t="str">
        <f>CONCATENATE("          ", "6003", " - ", "STAFF HOURLY-9 MONTH")</f>
        <v xml:space="preserve">          6003 - STAFF HOURLY-9 MONTH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25">
      <c r="A63" s="29"/>
      <c r="B63" s="11" t="str">
        <f>CONCATENATE("          ", "6004", " - ", "STAFF HOURLY")</f>
        <v xml:space="preserve">          6004 - STAFF HOURLY</v>
      </c>
      <c r="C63" s="11"/>
      <c r="D63" s="7"/>
      <c r="E63" s="2"/>
      <c r="F63" s="6">
        <f t="shared" si="20"/>
        <v>0</v>
      </c>
      <c r="G63" s="2"/>
      <c r="H63" s="7">
        <v>2389.6</v>
      </c>
      <c r="I63" s="2"/>
      <c r="J63" s="6">
        <f t="shared" si="21"/>
        <v>1.3810082469817896E-2</v>
      </c>
      <c r="K63" s="2"/>
      <c r="L63" s="7">
        <f t="shared" si="22"/>
        <v>-2389.6</v>
      </c>
      <c r="M63" s="2"/>
      <c r="N63" s="6">
        <f t="shared" si="23"/>
        <v>-1</v>
      </c>
      <c r="O63" s="11"/>
      <c r="P63" s="7"/>
      <c r="Q63" s="2"/>
      <c r="R63" s="6">
        <f t="shared" si="24"/>
        <v>0</v>
      </c>
      <c r="S63" s="2"/>
      <c r="T63" s="7">
        <v>2389.6</v>
      </c>
      <c r="U63" s="2"/>
      <c r="V63" s="6">
        <f t="shared" si="25"/>
        <v>1.3810082469817896E-2</v>
      </c>
      <c r="W63" s="2"/>
      <c r="X63" s="7">
        <f t="shared" si="26"/>
        <v>-2389.6</v>
      </c>
      <c r="Y63" s="2"/>
      <c r="Z63" s="6">
        <f t="shared" si="27"/>
        <v>-1</v>
      </c>
    </row>
    <row r="64" spans="1:26" s="24" customFormat="1" hidden="1" outlineLevel="2" x14ac:dyDescent="0.25">
      <c r="A64" s="29"/>
      <c r="B64" s="11" t="str">
        <f>CONCATENATE("          ", "6005", " - ", "TEMPORARY WAGES-HOURLY")</f>
        <v xml:space="preserve">          6005 - TEMPORARY WAGES-HOURLY</v>
      </c>
      <c r="C64" s="11"/>
      <c r="D64" s="7">
        <v>4193.37</v>
      </c>
      <c r="E64" s="2"/>
      <c r="F64" s="6">
        <f t="shared" si="20"/>
        <v>2.3213298380094987E-2</v>
      </c>
      <c r="G64" s="2"/>
      <c r="H64" s="7">
        <v>0</v>
      </c>
      <c r="I64" s="2"/>
      <c r="J64" s="6">
        <f t="shared" si="21"/>
        <v>0</v>
      </c>
      <c r="K64" s="2"/>
      <c r="L64" s="7">
        <f t="shared" si="22"/>
        <v>4193.37</v>
      </c>
      <c r="M64" s="2"/>
      <c r="N64" s="6">
        <f t="shared" si="23"/>
        <v>0</v>
      </c>
      <c r="O64" s="11"/>
      <c r="P64" s="7">
        <v>4193.37</v>
      </c>
      <c r="Q64" s="2"/>
      <c r="R64" s="6">
        <f t="shared" si="24"/>
        <v>2.3213298380094987E-2</v>
      </c>
      <c r="S64" s="2"/>
      <c r="T64" s="7">
        <v>0</v>
      </c>
      <c r="U64" s="2"/>
      <c r="V64" s="6">
        <f t="shared" si="25"/>
        <v>0</v>
      </c>
      <c r="W64" s="2"/>
      <c r="X64" s="7">
        <f t="shared" si="26"/>
        <v>4193.37</v>
      </c>
      <c r="Y64" s="2"/>
      <c r="Z64" s="6">
        <f t="shared" si="27"/>
        <v>0</v>
      </c>
    </row>
    <row r="65" spans="1:26" s="24" customFormat="1" hidden="1" outlineLevel="2" x14ac:dyDescent="0.25">
      <c r="A65" s="29"/>
      <c r="B65" s="11" t="str">
        <f>CONCATENATE("          ", "6006", " - ", "TEMPORARY PART TIME")</f>
        <v xml:space="preserve">          6006 - TEMPORARY PART TIME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4" customFormat="1" hidden="1" outlineLevel="2" x14ac:dyDescent="0.25">
      <c r="A66" s="29"/>
      <c r="B66" s="11" t="str">
        <f>CONCATENATE("          ", "6007", " - ", "STUDENT HOURLY")</f>
        <v xml:space="preserve">          6007 - STUDENT HOURLY</v>
      </c>
      <c r="C66" s="11"/>
      <c r="D66" s="7">
        <v>12224.53</v>
      </c>
      <c r="E66" s="2"/>
      <c r="F66" s="6">
        <f t="shared" si="20"/>
        <v>6.7671505840510765E-2</v>
      </c>
      <c r="G66" s="2"/>
      <c r="H66" s="7">
        <v>10778.25</v>
      </c>
      <c r="I66" s="2"/>
      <c r="J66" s="6">
        <f t="shared" si="21"/>
        <v>6.229014118694122E-2</v>
      </c>
      <c r="K66" s="2"/>
      <c r="L66" s="7">
        <f t="shared" si="22"/>
        <v>1446.2800000000007</v>
      </c>
      <c r="M66" s="2"/>
      <c r="N66" s="6">
        <f t="shared" si="23"/>
        <v>0.1341850485932318</v>
      </c>
      <c r="O66" s="11"/>
      <c r="P66" s="7">
        <v>12224.53</v>
      </c>
      <c r="Q66" s="2"/>
      <c r="R66" s="6">
        <f t="shared" si="24"/>
        <v>6.7671505840510765E-2</v>
      </c>
      <c r="S66" s="2"/>
      <c r="T66" s="7">
        <v>10778.25</v>
      </c>
      <c r="U66" s="2"/>
      <c r="V66" s="6">
        <f t="shared" si="25"/>
        <v>6.229014118694122E-2</v>
      </c>
      <c r="W66" s="2"/>
      <c r="X66" s="7">
        <f t="shared" si="26"/>
        <v>1446.2800000000007</v>
      </c>
      <c r="Y66" s="2"/>
      <c r="Z66" s="6">
        <f t="shared" si="27"/>
        <v>0.1341850485932318</v>
      </c>
    </row>
    <row r="67" spans="1:26" s="24" customFormat="1" hidden="1" outlineLevel="2" x14ac:dyDescent="0.25">
      <c r="A67" s="29"/>
      <c r="B67" s="11" t="str">
        <f>CONCATENATE("          ", "6008", " - ", "STUDENT HOURLY-FICA EXEMPT")</f>
        <v xml:space="preserve">          6008 - STUDENT HOURLY-FICA EXEMPT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/>
      <c r="Q67" s="2"/>
      <c r="R67" s="6">
        <f t="shared" si="24"/>
        <v>0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0</v>
      </c>
      <c r="Y67" s="2"/>
      <c r="Z67" s="6">
        <f t="shared" si="27"/>
        <v>0</v>
      </c>
    </row>
    <row r="68" spans="1:26" s="24" customFormat="1" hidden="1" outlineLevel="2" x14ac:dyDescent="0.25">
      <c r="A68" s="29"/>
      <c r="B68" s="11" t="str">
        <f>CONCATENATE("          ", "6009", " - ", "TEMPORARY-SEASONAL")</f>
        <v xml:space="preserve">          6009 - TEMPORARY-SEASONAL</v>
      </c>
      <c r="C68" s="11"/>
      <c r="D68" s="7"/>
      <c r="E68" s="2"/>
      <c r="F68" s="6">
        <f t="shared" si="20"/>
        <v>0</v>
      </c>
      <c r="G68" s="2"/>
      <c r="H68" s="7">
        <v>0</v>
      </c>
      <c r="I68" s="2"/>
      <c r="J68" s="6">
        <f t="shared" si="21"/>
        <v>0</v>
      </c>
      <c r="K68" s="2"/>
      <c r="L68" s="7">
        <f t="shared" si="22"/>
        <v>0</v>
      </c>
      <c r="M68" s="2"/>
      <c r="N68" s="6">
        <f t="shared" si="23"/>
        <v>0</v>
      </c>
      <c r="O68" s="11"/>
      <c r="P68" s="7"/>
      <c r="Q68" s="2"/>
      <c r="R68" s="6">
        <f t="shared" si="24"/>
        <v>0</v>
      </c>
      <c r="S68" s="2"/>
      <c r="T68" s="7">
        <v>0</v>
      </c>
      <c r="U68" s="2"/>
      <c r="V68" s="6">
        <f t="shared" si="25"/>
        <v>0</v>
      </c>
      <c r="W68" s="2"/>
      <c r="X68" s="7">
        <f t="shared" si="26"/>
        <v>0</v>
      </c>
      <c r="Y68" s="2"/>
      <c r="Z68" s="6">
        <f t="shared" si="27"/>
        <v>0</v>
      </c>
    </row>
    <row r="69" spans="1:26" s="24" customFormat="1" hidden="1" outlineLevel="2" x14ac:dyDescent="0.25">
      <c r="A69" s="29"/>
      <c r="B69" s="11" t="str">
        <f>CONCATENATE("          ", "6010", " - ", "GRATUITY")</f>
        <v xml:space="preserve">          6010 - GRATUITY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7" customFormat="1" outlineLevel="1" collapsed="1" x14ac:dyDescent="0.25">
      <c r="A70" s="28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192</v>
      </c>
      <c r="E70" s="1"/>
      <c r="F70" s="5">
        <f t="shared" ref="F70:F89" si="28">IF(D$12=0,0,D70/D$12)</f>
        <v>1.0628571504489796E-3</v>
      </c>
      <c r="G70" s="1"/>
      <c r="H70" s="1">
        <f>SUM(OSRRefH22_2x_0)</f>
        <v>400</v>
      </c>
      <c r="I70" s="1"/>
      <c r="J70" s="5">
        <f t="shared" ref="J70:J89" si="29">IF(H$12=0,0,H70/H$12)</f>
        <v>2.3116977686337289E-3</v>
      </c>
      <c r="K70" s="1"/>
      <c r="L70" s="1">
        <f t="shared" ref="L70:L89" si="30">+D70-H70</f>
        <v>-208</v>
      </c>
      <c r="M70" s="1"/>
      <c r="N70" s="5">
        <f t="shared" ref="N70:N89" si="31">IF(H70=0,0,L70/H70)</f>
        <v>-0.52</v>
      </c>
      <c r="O70" s="14"/>
      <c r="P70" s="1">
        <f>SUM(OSRRefP22_2x_0)</f>
        <v>192</v>
      </c>
      <c r="Q70" s="1"/>
      <c r="R70" s="5">
        <f t="shared" ref="R70:R89" si="32">IF(P$12=0,0,P70/P$12)</f>
        <v>1.0628571504489796E-3</v>
      </c>
      <c r="S70" s="1"/>
      <c r="T70" s="1">
        <f>SUM(OSRRefT22_2x_0)</f>
        <v>400</v>
      </c>
      <c r="U70" s="1"/>
      <c r="V70" s="5">
        <f t="shared" ref="V70:V89" si="33">IF(T$12=0,0,T70/T$12)</f>
        <v>2.3116977686337289E-3</v>
      </c>
      <c r="W70" s="1"/>
      <c r="X70" s="1">
        <f t="shared" ref="X70:X89" si="34">+P70-T70</f>
        <v>-208</v>
      </c>
      <c r="Y70" s="1"/>
      <c r="Z70" s="5">
        <f t="shared" ref="Z70:Z89" si="35">IF(T70=0,0,X70/T70)</f>
        <v>-0.52</v>
      </c>
    </row>
    <row r="71" spans="1:26" s="24" customFormat="1" hidden="1" outlineLevel="2" x14ac:dyDescent="0.25">
      <c r="A71" s="29"/>
      <c r="B71" s="11" t="str">
        <f>CONCATENATE("          ", "6362", " - ", "ADVERTISING EXPENSE")</f>
        <v xml:space="preserve">          6362 - ADVERTISING EXPENSE</v>
      </c>
      <c r="C71" s="11"/>
      <c r="D71" s="7">
        <v>192</v>
      </c>
      <c r="E71" s="2"/>
      <c r="F71" s="6">
        <f t="shared" si="28"/>
        <v>1.0628571504489796E-3</v>
      </c>
      <c r="G71" s="2"/>
      <c r="H71" s="7">
        <v>400</v>
      </c>
      <c r="I71" s="2"/>
      <c r="J71" s="6">
        <f t="shared" si="29"/>
        <v>2.3116977686337289E-3</v>
      </c>
      <c r="K71" s="2"/>
      <c r="L71" s="7">
        <f t="shared" si="30"/>
        <v>-208</v>
      </c>
      <c r="M71" s="2"/>
      <c r="N71" s="6">
        <f t="shared" si="31"/>
        <v>-0.52</v>
      </c>
      <c r="O71" s="11"/>
      <c r="P71" s="7">
        <v>192</v>
      </c>
      <c r="Q71" s="2"/>
      <c r="R71" s="6">
        <f t="shared" si="32"/>
        <v>1.0628571504489796E-3</v>
      </c>
      <c r="S71" s="2"/>
      <c r="T71" s="7">
        <v>400</v>
      </c>
      <c r="U71" s="2"/>
      <c r="V71" s="6">
        <f t="shared" si="33"/>
        <v>2.3116977686337289E-3</v>
      </c>
      <c r="W71" s="2"/>
      <c r="X71" s="7">
        <f t="shared" si="34"/>
        <v>-208</v>
      </c>
      <c r="Y71" s="2"/>
      <c r="Z71" s="6">
        <f t="shared" si="35"/>
        <v>-0.52</v>
      </c>
    </row>
    <row r="72" spans="1:26" s="27" customFormat="1" outlineLevel="1" collapsed="1" x14ac:dyDescent="0.25">
      <c r="A72" s="28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SUM(OSRRefD22_3x_0)</f>
        <v>13837.64</v>
      </c>
      <c r="E72" s="1"/>
      <c r="F72" s="5">
        <f t="shared" si="28"/>
        <v>7.6601221975723013E-2</v>
      </c>
      <c r="G72" s="1"/>
      <c r="H72" s="1">
        <f>SUM(OSRRefH22_3x_0)</f>
        <v>13500</v>
      </c>
      <c r="I72" s="1"/>
      <c r="J72" s="5">
        <f t="shared" si="29"/>
        <v>7.801979969138835E-2</v>
      </c>
      <c r="K72" s="1"/>
      <c r="L72" s="1">
        <f t="shared" si="30"/>
        <v>337.63999999999942</v>
      </c>
      <c r="M72" s="1"/>
      <c r="N72" s="5">
        <f t="shared" si="31"/>
        <v>2.5010370370370329E-2</v>
      </c>
      <c r="O72" s="14"/>
      <c r="P72" s="1">
        <f>SUM(OSRRefP22_3x_0)</f>
        <v>13837.64</v>
      </c>
      <c r="Q72" s="1"/>
      <c r="R72" s="5">
        <f t="shared" si="32"/>
        <v>7.6601221975723013E-2</v>
      </c>
      <c r="S72" s="1"/>
      <c r="T72" s="1">
        <f>SUM(OSRRefT22_3x_0)</f>
        <v>13500</v>
      </c>
      <c r="U72" s="1"/>
      <c r="V72" s="5">
        <f t="shared" si="33"/>
        <v>7.801979969138835E-2</v>
      </c>
      <c r="W72" s="1"/>
      <c r="X72" s="1">
        <f t="shared" si="34"/>
        <v>337.63999999999942</v>
      </c>
      <c r="Y72" s="1"/>
      <c r="Z72" s="5">
        <f t="shared" si="35"/>
        <v>2.5010370370370329E-2</v>
      </c>
    </row>
    <row r="73" spans="1:26" s="24" customFormat="1" hidden="1" outlineLevel="2" x14ac:dyDescent="0.25">
      <c r="A73" s="29"/>
      <c r="B73" s="11" t="str">
        <f>CONCATENATE("          ", "6382", " - ", "DISCOUNTS/MARK DOWNS")</f>
        <v xml:space="preserve">          6382 - DISCOUNTS/MARK DOWNS</v>
      </c>
      <c r="C73" s="11"/>
      <c r="D73" s="7">
        <v>13837.64</v>
      </c>
      <c r="E73" s="2"/>
      <c r="F73" s="6">
        <f t="shared" si="28"/>
        <v>7.6601221975723013E-2</v>
      </c>
      <c r="G73" s="2"/>
      <c r="H73" s="7">
        <v>13500</v>
      </c>
      <c r="I73" s="2"/>
      <c r="J73" s="6">
        <f t="shared" si="29"/>
        <v>7.801979969138835E-2</v>
      </c>
      <c r="K73" s="2"/>
      <c r="L73" s="7">
        <f t="shared" si="30"/>
        <v>337.63999999999942</v>
      </c>
      <c r="M73" s="2"/>
      <c r="N73" s="6">
        <f t="shared" si="31"/>
        <v>2.5010370370370329E-2</v>
      </c>
      <c r="O73" s="11"/>
      <c r="P73" s="7">
        <v>13837.64</v>
      </c>
      <c r="Q73" s="2"/>
      <c r="R73" s="6">
        <f t="shared" si="32"/>
        <v>7.6601221975723013E-2</v>
      </c>
      <c r="S73" s="2"/>
      <c r="T73" s="7">
        <v>13500</v>
      </c>
      <c r="U73" s="2"/>
      <c r="V73" s="6">
        <f t="shared" si="33"/>
        <v>7.801979969138835E-2</v>
      </c>
      <c r="W73" s="2"/>
      <c r="X73" s="7">
        <f t="shared" si="34"/>
        <v>337.63999999999942</v>
      </c>
      <c r="Y73" s="2"/>
      <c r="Z73" s="6">
        <f t="shared" si="35"/>
        <v>2.5010370370370329E-2</v>
      </c>
    </row>
    <row r="74" spans="1:26" s="27" customFormat="1" outlineLevel="1" collapsed="1" x14ac:dyDescent="0.25">
      <c r="A74" s="28"/>
      <c r="B74" s="14" t="str">
        <f>CONCATENATE("     ","Employees' Appreciation                           ")</f>
        <v xml:space="preserve">     Employees' Appreciation                           </v>
      </c>
      <c r="C74" s="14"/>
      <c r="D74" s="1">
        <f>SUM(OSRRefD22_4x_0)</f>
        <v>12.98</v>
      </c>
      <c r="E74" s="1"/>
      <c r="F74" s="5">
        <f t="shared" si="28"/>
        <v>7.1853571941811231E-5</v>
      </c>
      <c r="G74" s="1"/>
      <c r="H74" s="1">
        <f>SUM(OSRRefH22_4x_0)</f>
        <v>150</v>
      </c>
      <c r="I74" s="1"/>
      <c r="J74" s="5">
        <f t="shared" si="29"/>
        <v>8.6688666323764827E-4</v>
      </c>
      <c r="K74" s="1"/>
      <c r="L74" s="1">
        <f t="shared" si="30"/>
        <v>-137.02000000000001</v>
      </c>
      <c r="M74" s="1"/>
      <c r="N74" s="5">
        <f t="shared" si="31"/>
        <v>-0.91346666666666676</v>
      </c>
      <c r="O74" s="14"/>
      <c r="P74" s="1">
        <f>SUM(OSRRefP22_4x_0)</f>
        <v>12.98</v>
      </c>
      <c r="Q74" s="1"/>
      <c r="R74" s="5">
        <f t="shared" si="32"/>
        <v>7.1853571941811231E-5</v>
      </c>
      <c r="S74" s="1"/>
      <c r="T74" s="1">
        <f>SUM(OSRRefT22_4x_0)</f>
        <v>150</v>
      </c>
      <c r="U74" s="1"/>
      <c r="V74" s="5">
        <f t="shared" si="33"/>
        <v>8.6688666323764827E-4</v>
      </c>
      <c r="W74" s="1"/>
      <c r="X74" s="1">
        <f t="shared" si="34"/>
        <v>-137.02000000000001</v>
      </c>
      <c r="Y74" s="1"/>
      <c r="Z74" s="5">
        <f t="shared" si="35"/>
        <v>-0.91346666666666676</v>
      </c>
    </row>
    <row r="75" spans="1:26" s="24" customFormat="1" hidden="1" outlineLevel="2" x14ac:dyDescent="0.25">
      <c r="A75" s="29"/>
      <c r="B75" s="11" t="str">
        <f>CONCATENATE("          ", "6277", " - ", "EMPLOYEE APPRECIATION")</f>
        <v xml:space="preserve">          6277 - EMPLOYEE APPRECIATION</v>
      </c>
      <c r="C75" s="11"/>
      <c r="D75" s="7">
        <v>12.98</v>
      </c>
      <c r="E75" s="2"/>
      <c r="F75" s="6">
        <f t="shared" si="28"/>
        <v>7.1853571941811231E-5</v>
      </c>
      <c r="G75" s="2"/>
      <c r="H75" s="7">
        <v>150</v>
      </c>
      <c r="I75" s="2"/>
      <c r="J75" s="6">
        <f t="shared" si="29"/>
        <v>8.6688666323764827E-4</v>
      </c>
      <c r="K75" s="2"/>
      <c r="L75" s="7">
        <f t="shared" si="30"/>
        <v>-137.02000000000001</v>
      </c>
      <c r="M75" s="2"/>
      <c r="N75" s="6">
        <f t="shared" si="31"/>
        <v>-0.91346666666666676</v>
      </c>
      <c r="O75" s="11"/>
      <c r="P75" s="7">
        <v>12.98</v>
      </c>
      <c r="Q75" s="2"/>
      <c r="R75" s="6">
        <f t="shared" si="32"/>
        <v>7.1853571941811231E-5</v>
      </c>
      <c r="S75" s="2"/>
      <c r="T75" s="7">
        <v>150</v>
      </c>
      <c r="U75" s="2"/>
      <c r="V75" s="6">
        <f t="shared" si="33"/>
        <v>8.6688666323764827E-4</v>
      </c>
      <c r="W75" s="2"/>
      <c r="X75" s="7">
        <f t="shared" si="34"/>
        <v>-137.02000000000001</v>
      </c>
      <c r="Y75" s="2"/>
      <c r="Z75" s="6">
        <f t="shared" si="35"/>
        <v>-0.91346666666666676</v>
      </c>
    </row>
    <row r="76" spans="1:26" s="27" customFormat="1" outlineLevel="1" collapsed="1" x14ac:dyDescent="0.25">
      <c r="A76" s="28"/>
      <c r="B76" s="14" t="str">
        <f>CONCATENATE("     ","Freight out/Postage                               ")</f>
        <v xml:space="preserve">     Freight out/Postage                               </v>
      </c>
      <c r="C76" s="14"/>
      <c r="D76" s="1">
        <f>SUM(OSRRefD22_5x_0)</f>
        <v>0</v>
      </c>
      <c r="E76" s="1"/>
      <c r="F76" s="5">
        <f t="shared" si="28"/>
        <v>0</v>
      </c>
      <c r="G76" s="1"/>
      <c r="H76" s="1">
        <f>SUM(OSRRefH22_5x_0)</f>
        <v>50</v>
      </c>
      <c r="I76" s="1"/>
      <c r="J76" s="5">
        <f t="shared" si="29"/>
        <v>2.8896222107921611E-4</v>
      </c>
      <c r="K76" s="1"/>
      <c r="L76" s="1">
        <f t="shared" si="30"/>
        <v>-50</v>
      </c>
      <c r="M76" s="1"/>
      <c r="N76" s="5">
        <f t="shared" si="31"/>
        <v>-1</v>
      </c>
      <c r="O76" s="14"/>
      <c r="P76" s="1">
        <f>SUM(OSRRefP22_5x_0)</f>
        <v>0</v>
      </c>
      <c r="Q76" s="1"/>
      <c r="R76" s="5">
        <f t="shared" si="32"/>
        <v>0</v>
      </c>
      <c r="S76" s="1"/>
      <c r="T76" s="1">
        <f>SUM(OSRRefT22_5x_0)</f>
        <v>50</v>
      </c>
      <c r="U76" s="1"/>
      <c r="V76" s="5">
        <f t="shared" si="33"/>
        <v>2.8896222107921611E-4</v>
      </c>
      <c r="W76" s="1"/>
      <c r="X76" s="1">
        <f t="shared" si="34"/>
        <v>-50</v>
      </c>
      <c r="Y76" s="1"/>
      <c r="Z76" s="5">
        <f t="shared" si="35"/>
        <v>-1</v>
      </c>
    </row>
    <row r="77" spans="1:26" s="24" customFormat="1" hidden="1" outlineLevel="2" x14ac:dyDescent="0.25">
      <c r="A77" s="29"/>
      <c r="B77" s="11" t="str">
        <f>CONCATENATE("          ", "6305", " - ", "FREIGHT OUT")</f>
        <v xml:space="preserve">          6305 - FREIGHT OUT</v>
      </c>
      <c r="C77" s="11"/>
      <c r="D77" s="7"/>
      <c r="E77" s="2"/>
      <c r="F77" s="6">
        <f t="shared" si="28"/>
        <v>0</v>
      </c>
      <c r="G77" s="2"/>
      <c r="H77" s="7">
        <v>50</v>
      </c>
      <c r="I77" s="2"/>
      <c r="J77" s="6">
        <f t="shared" si="29"/>
        <v>2.8896222107921611E-4</v>
      </c>
      <c r="K77" s="2"/>
      <c r="L77" s="7">
        <f t="shared" si="30"/>
        <v>-50</v>
      </c>
      <c r="M77" s="2"/>
      <c r="N77" s="6">
        <f t="shared" si="31"/>
        <v>-1</v>
      </c>
      <c r="O77" s="11"/>
      <c r="P77" s="7"/>
      <c r="Q77" s="2"/>
      <c r="R77" s="6">
        <f t="shared" si="32"/>
        <v>0</v>
      </c>
      <c r="S77" s="2"/>
      <c r="T77" s="7">
        <v>50</v>
      </c>
      <c r="U77" s="2"/>
      <c r="V77" s="6">
        <f t="shared" si="33"/>
        <v>2.8896222107921611E-4</v>
      </c>
      <c r="W77" s="2"/>
      <c r="X77" s="7">
        <f t="shared" si="34"/>
        <v>-50</v>
      </c>
      <c r="Y77" s="2"/>
      <c r="Z77" s="6">
        <f t="shared" si="35"/>
        <v>-1</v>
      </c>
    </row>
    <row r="78" spans="1:26" s="27" customFormat="1" outlineLevel="1" collapsed="1" x14ac:dyDescent="0.25">
      <c r="A78" s="28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SUM(OSRRefD22_6x_0)</f>
        <v>0</v>
      </c>
      <c r="E78" s="1"/>
      <c r="F78" s="5">
        <f t="shared" si="28"/>
        <v>0</v>
      </c>
      <c r="G78" s="1"/>
      <c r="H78" s="1">
        <f>SUM(OSRRefH22_6x_0)</f>
        <v>0</v>
      </c>
      <c r="I78" s="1"/>
      <c r="J78" s="5">
        <f t="shared" si="29"/>
        <v>0</v>
      </c>
      <c r="K78" s="1"/>
      <c r="L78" s="1">
        <f t="shared" si="30"/>
        <v>0</v>
      </c>
      <c r="M78" s="1"/>
      <c r="N78" s="5">
        <f t="shared" si="31"/>
        <v>0</v>
      </c>
      <c r="O78" s="14"/>
      <c r="P78" s="1">
        <f>SUM(OSRRefP22_6x_0)</f>
        <v>0</v>
      </c>
      <c r="Q78" s="1"/>
      <c r="R78" s="5">
        <f t="shared" si="32"/>
        <v>0</v>
      </c>
      <c r="S78" s="1"/>
      <c r="T78" s="1">
        <f>SUM(OSRRefT22_6x_0)</f>
        <v>0</v>
      </c>
      <c r="U78" s="1"/>
      <c r="V78" s="5">
        <f t="shared" si="33"/>
        <v>0</v>
      </c>
      <c r="W78" s="1"/>
      <c r="X78" s="1">
        <f t="shared" si="34"/>
        <v>0</v>
      </c>
      <c r="Y78" s="1"/>
      <c r="Z78" s="5">
        <f t="shared" si="35"/>
        <v>0</v>
      </c>
    </row>
    <row r="79" spans="1:26" s="24" customFormat="1" hidden="1" outlineLevel="2" x14ac:dyDescent="0.25">
      <c r="A79" s="29"/>
      <c r="B79" s="11" t="str">
        <f>CONCATENATE("          ", "6279", " - ", "GENERAL EXPENSE")</f>
        <v xml:space="preserve">          6279 - GENERAL EXPENSE</v>
      </c>
      <c r="C79" s="11"/>
      <c r="D79" s="7"/>
      <c r="E79" s="2"/>
      <c r="F79" s="6">
        <f t="shared" si="28"/>
        <v>0</v>
      </c>
      <c r="G79" s="2"/>
      <c r="H79" s="7">
        <v>0</v>
      </c>
      <c r="I79" s="2"/>
      <c r="J79" s="6">
        <f t="shared" si="29"/>
        <v>0</v>
      </c>
      <c r="K79" s="2"/>
      <c r="L79" s="7">
        <f t="shared" si="30"/>
        <v>0</v>
      </c>
      <c r="M79" s="2"/>
      <c r="N79" s="6">
        <f t="shared" si="31"/>
        <v>0</v>
      </c>
      <c r="O79" s="11"/>
      <c r="P79" s="7"/>
      <c r="Q79" s="2"/>
      <c r="R79" s="6">
        <f t="shared" si="32"/>
        <v>0</v>
      </c>
      <c r="S79" s="2"/>
      <c r="T79" s="7">
        <v>0</v>
      </c>
      <c r="U79" s="2"/>
      <c r="V79" s="6">
        <f t="shared" si="33"/>
        <v>0</v>
      </c>
      <c r="W79" s="2"/>
      <c r="X79" s="7">
        <f t="shared" si="34"/>
        <v>0</v>
      </c>
      <c r="Y79" s="2"/>
      <c r="Z79" s="6">
        <f t="shared" si="35"/>
        <v>0</v>
      </c>
    </row>
    <row r="80" spans="1:26" s="27" customFormat="1" outlineLevel="1" collapsed="1" x14ac:dyDescent="0.25">
      <c r="A80" s="28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SUM(OSRRefD22_7x_0)</f>
        <v>2850</v>
      </c>
      <c r="E80" s="1"/>
      <c r="F80" s="5">
        <f t="shared" si="28"/>
        <v>1.577678582697704E-2</v>
      </c>
      <c r="G80" s="1"/>
      <c r="H80" s="1">
        <f>SUM(OSRRefH22_7x_0)</f>
        <v>2850</v>
      </c>
      <c r="I80" s="1"/>
      <c r="J80" s="5">
        <f t="shared" si="29"/>
        <v>1.6470846601515318E-2</v>
      </c>
      <c r="K80" s="1"/>
      <c r="L80" s="1">
        <f t="shared" si="30"/>
        <v>0</v>
      </c>
      <c r="M80" s="1"/>
      <c r="N80" s="5">
        <f t="shared" si="31"/>
        <v>0</v>
      </c>
      <c r="O80" s="14"/>
      <c r="P80" s="1">
        <f>SUM(OSRRefP22_7x_0)</f>
        <v>2850</v>
      </c>
      <c r="Q80" s="1"/>
      <c r="R80" s="5">
        <f t="shared" si="32"/>
        <v>1.577678582697704E-2</v>
      </c>
      <c r="S80" s="1"/>
      <c r="T80" s="1">
        <f>SUM(OSRRefT22_7x_0)</f>
        <v>2850</v>
      </c>
      <c r="U80" s="1"/>
      <c r="V80" s="5">
        <f t="shared" si="33"/>
        <v>1.6470846601515318E-2</v>
      </c>
      <c r="W80" s="1"/>
      <c r="X80" s="1">
        <f t="shared" si="34"/>
        <v>0</v>
      </c>
      <c r="Y80" s="1"/>
      <c r="Z80" s="5">
        <f t="shared" si="35"/>
        <v>0</v>
      </c>
    </row>
    <row r="81" spans="1:26" s="24" customFormat="1" hidden="1" outlineLevel="2" x14ac:dyDescent="0.25">
      <c r="A81" s="29"/>
      <c r="B81" s="11" t="str">
        <f>CONCATENATE("          ", "6408", " - ", "INVENTORY ADJUSTMENT")</f>
        <v xml:space="preserve">          6408 - INVENTORY ADJUSTMENT</v>
      </c>
      <c r="C81" s="11"/>
      <c r="D81" s="7">
        <v>2850</v>
      </c>
      <c r="E81" s="2"/>
      <c r="F81" s="6">
        <f t="shared" si="28"/>
        <v>1.577678582697704E-2</v>
      </c>
      <c r="G81" s="2"/>
      <c r="H81" s="7">
        <v>2850</v>
      </c>
      <c r="I81" s="2"/>
      <c r="J81" s="6">
        <f t="shared" si="29"/>
        <v>1.6470846601515318E-2</v>
      </c>
      <c r="K81" s="2"/>
      <c r="L81" s="7">
        <f t="shared" si="30"/>
        <v>0</v>
      </c>
      <c r="M81" s="2"/>
      <c r="N81" s="6">
        <f t="shared" si="31"/>
        <v>0</v>
      </c>
      <c r="O81" s="11"/>
      <c r="P81" s="7">
        <v>2850</v>
      </c>
      <c r="Q81" s="2"/>
      <c r="R81" s="6">
        <f t="shared" si="32"/>
        <v>1.577678582697704E-2</v>
      </c>
      <c r="S81" s="2"/>
      <c r="T81" s="7">
        <v>2850</v>
      </c>
      <c r="U81" s="2"/>
      <c r="V81" s="6">
        <f t="shared" si="33"/>
        <v>1.6470846601515318E-2</v>
      </c>
      <c r="W81" s="2"/>
      <c r="X81" s="7">
        <f t="shared" si="34"/>
        <v>0</v>
      </c>
      <c r="Y81" s="2"/>
      <c r="Z81" s="6">
        <f t="shared" si="35"/>
        <v>0</v>
      </c>
    </row>
    <row r="82" spans="1:26" s="27" customFormat="1" outlineLevel="1" collapsed="1" x14ac:dyDescent="0.25">
      <c r="A82" s="28"/>
      <c r="B82" s="14" t="str">
        <f>CONCATENATE("     ","Professional Services                             ")</f>
        <v xml:space="preserve">     Professional Services                             </v>
      </c>
      <c r="C82" s="14"/>
      <c r="D82" s="1">
        <f>SUM(OSRRefD22_8x_0)</f>
        <v>0</v>
      </c>
      <c r="E82" s="1"/>
      <c r="F82" s="5">
        <f t="shared" si="28"/>
        <v>0</v>
      </c>
      <c r="G82" s="1"/>
      <c r="H82" s="1">
        <f>SUM(OSRRefH22_8x_0)</f>
        <v>1500</v>
      </c>
      <c r="I82" s="1"/>
      <c r="J82" s="5">
        <f t="shared" si="29"/>
        <v>8.6688666323764835E-3</v>
      </c>
      <c r="K82" s="1"/>
      <c r="L82" s="1">
        <f t="shared" si="30"/>
        <v>-1500</v>
      </c>
      <c r="M82" s="1"/>
      <c r="N82" s="5">
        <f t="shared" si="31"/>
        <v>-1</v>
      </c>
      <c r="O82" s="14"/>
      <c r="P82" s="1">
        <f>SUM(OSRRefP22_8x_0)</f>
        <v>0</v>
      </c>
      <c r="Q82" s="1"/>
      <c r="R82" s="5">
        <f t="shared" si="32"/>
        <v>0</v>
      </c>
      <c r="S82" s="1"/>
      <c r="T82" s="1">
        <f>SUM(OSRRefT22_8x_0)</f>
        <v>1500</v>
      </c>
      <c r="U82" s="1"/>
      <c r="V82" s="5">
        <f t="shared" si="33"/>
        <v>8.6688666323764835E-3</v>
      </c>
      <c r="W82" s="1"/>
      <c r="X82" s="1">
        <f t="shared" si="34"/>
        <v>-1500</v>
      </c>
      <c r="Y82" s="1"/>
      <c r="Z82" s="5">
        <f t="shared" si="35"/>
        <v>-1</v>
      </c>
    </row>
    <row r="83" spans="1:26" s="24" customFormat="1" hidden="1" outlineLevel="2" x14ac:dyDescent="0.25">
      <c r="A83" s="29"/>
      <c r="B83" s="11" t="str">
        <f>CONCATENATE("          ", "6336", " - ", "PROFESSIONAL SERVICES")</f>
        <v xml:space="preserve">          6336 - PROFESSIONAL SERVICES</v>
      </c>
      <c r="C83" s="11"/>
      <c r="D83" s="7"/>
      <c r="E83" s="2"/>
      <c r="F83" s="6">
        <f t="shared" si="28"/>
        <v>0</v>
      </c>
      <c r="G83" s="2"/>
      <c r="H83" s="7">
        <v>1500</v>
      </c>
      <c r="I83" s="2"/>
      <c r="J83" s="6">
        <f t="shared" si="29"/>
        <v>8.6688666323764835E-3</v>
      </c>
      <c r="K83" s="2"/>
      <c r="L83" s="7">
        <f t="shared" si="30"/>
        <v>-1500</v>
      </c>
      <c r="M83" s="2"/>
      <c r="N83" s="6">
        <f t="shared" si="31"/>
        <v>-1</v>
      </c>
      <c r="O83" s="11"/>
      <c r="P83" s="7"/>
      <c r="Q83" s="2"/>
      <c r="R83" s="6">
        <f t="shared" si="32"/>
        <v>0</v>
      </c>
      <c r="S83" s="2"/>
      <c r="T83" s="7">
        <v>1500</v>
      </c>
      <c r="U83" s="2"/>
      <c r="V83" s="6">
        <f t="shared" si="33"/>
        <v>8.6688666323764835E-3</v>
      </c>
      <c r="W83" s="2"/>
      <c r="X83" s="7">
        <f t="shared" si="34"/>
        <v>-1500</v>
      </c>
      <c r="Y83" s="2"/>
      <c r="Z83" s="6">
        <f t="shared" si="35"/>
        <v>-1</v>
      </c>
    </row>
    <row r="84" spans="1:26" s="27" customFormat="1" outlineLevel="1" collapsed="1" x14ac:dyDescent="0.25">
      <c r="A84" s="28"/>
      <c r="B84" s="14" t="str">
        <f>CONCATENATE("     ","Repair and Maintenance                            ")</f>
        <v xml:space="preserve">     Repair and Maintenance                            </v>
      </c>
      <c r="C84" s="14"/>
      <c r="D84" s="1">
        <f>SUM(OSRRefD22_9x_0)</f>
        <v>0</v>
      </c>
      <c r="E84" s="1"/>
      <c r="F84" s="5">
        <f t="shared" si="28"/>
        <v>0</v>
      </c>
      <c r="G84" s="1"/>
      <c r="H84" s="1">
        <f>SUM(OSRRefH22_9x_0)</f>
        <v>50</v>
      </c>
      <c r="I84" s="1"/>
      <c r="J84" s="5">
        <f t="shared" si="29"/>
        <v>2.8896222107921611E-4</v>
      </c>
      <c r="K84" s="1"/>
      <c r="L84" s="1">
        <f t="shared" si="30"/>
        <v>-50</v>
      </c>
      <c r="M84" s="1"/>
      <c r="N84" s="5">
        <f t="shared" si="31"/>
        <v>-1</v>
      </c>
      <c r="O84" s="14"/>
      <c r="P84" s="1">
        <f>SUM(OSRRefP22_9x_0)</f>
        <v>0</v>
      </c>
      <c r="Q84" s="1"/>
      <c r="R84" s="5">
        <f t="shared" si="32"/>
        <v>0</v>
      </c>
      <c r="S84" s="1"/>
      <c r="T84" s="1">
        <f>SUM(OSRRefT22_9x_0)</f>
        <v>50</v>
      </c>
      <c r="U84" s="1"/>
      <c r="V84" s="5">
        <f t="shared" si="33"/>
        <v>2.8896222107921611E-4</v>
      </c>
      <c r="W84" s="1"/>
      <c r="X84" s="1">
        <f t="shared" si="34"/>
        <v>-50</v>
      </c>
      <c r="Y84" s="1"/>
      <c r="Z84" s="5">
        <f t="shared" si="35"/>
        <v>-1</v>
      </c>
    </row>
    <row r="85" spans="1:26" s="24" customFormat="1" hidden="1" outlineLevel="2" x14ac:dyDescent="0.25">
      <c r="A85" s="29"/>
      <c r="B85" s="11" t="str">
        <f>CONCATENATE("          ", "6375", " - ", "OUTSIDE REPAIRS &amp; MAINTENANCE")</f>
        <v xml:space="preserve">          6375 - OUTSIDE REPAIRS &amp; MAINTENANCE</v>
      </c>
      <c r="C85" s="11"/>
      <c r="D85" s="7"/>
      <c r="E85" s="2"/>
      <c r="F85" s="6">
        <f t="shared" si="28"/>
        <v>0</v>
      </c>
      <c r="G85" s="2"/>
      <c r="H85" s="7">
        <v>50</v>
      </c>
      <c r="I85" s="2"/>
      <c r="J85" s="6">
        <f t="shared" si="29"/>
        <v>2.8896222107921611E-4</v>
      </c>
      <c r="K85" s="2"/>
      <c r="L85" s="7">
        <f t="shared" si="30"/>
        <v>-50</v>
      </c>
      <c r="M85" s="2"/>
      <c r="N85" s="6">
        <f t="shared" si="31"/>
        <v>-1</v>
      </c>
      <c r="O85" s="11"/>
      <c r="P85" s="7"/>
      <c r="Q85" s="2"/>
      <c r="R85" s="6">
        <f t="shared" si="32"/>
        <v>0</v>
      </c>
      <c r="S85" s="2"/>
      <c r="T85" s="7">
        <v>50</v>
      </c>
      <c r="U85" s="2"/>
      <c r="V85" s="6">
        <f t="shared" si="33"/>
        <v>2.8896222107921611E-4</v>
      </c>
      <c r="W85" s="2"/>
      <c r="X85" s="7">
        <f t="shared" si="34"/>
        <v>-50</v>
      </c>
      <c r="Y85" s="2"/>
      <c r="Z85" s="6">
        <f t="shared" si="35"/>
        <v>-1</v>
      </c>
    </row>
    <row r="86" spans="1:26" s="27" customFormat="1" outlineLevel="1" collapsed="1" x14ac:dyDescent="0.25">
      <c r="A86" s="28"/>
      <c r="B86" s="14" t="str">
        <f>CONCATENATE("     ","Royalty &amp; Commissions                             ")</f>
        <v xml:space="preserve">     Royalty &amp; Commissions                             </v>
      </c>
      <c r="C86" s="14"/>
      <c r="D86" s="1">
        <f>SUM(OSRRefD22_10x_0)</f>
        <v>4481.04</v>
      </c>
      <c r="E86" s="1"/>
      <c r="F86" s="5">
        <f t="shared" si="28"/>
        <v>2.4805757320041123E-2</v>
      </c>
      <c r="G86" s="1"/>
      <c r="H86" s="1">
        <f>SUM(OSRRefH22_10x_0)</f>
        <v>5485</v>
      </c>
      <c r="I86" s="1"/>
      <c r="J86" s="5">
        <f t="shared" si="29"/>
        <v>3.169915565239001E-2</v>
      </c>
      <c r="K86" s="1"/>
      <c r="L86" s="1">
        <f t="shared" si="30"/>
        <v>-1003.96</v>
      </c>
      <c r="M86" s="1"/>
      <c r="N86" s="5">
        <f t="shared" si="31"/>
        <v>-0.18303737465815861</v>
      </c>
      <c r="O86" s="14"/>
      <c r="P86" s="1">
        <f>SUM(OSRRefP22_10x_0)</f>
        <v>4481.04</v>
      </c>
      <c r="Q86" s="1"/>
      <c r="R86" s="5">
        <f t="shared" si="32"/>
        <v>2.4805757320041123E-2</v>
      </c>
      <c r="S86" s="1"/>
      <c r="T86" s="1">
        <f>SUM(OSRRefT22_10x_0)</f>
        <v>5485</v>
      </c>
      <c r="U86" s="1"/>
      <c r="V86" s="5">
        <f t="shared" si="33"/>
        <v>3.169915565239001E-2</v>
      </c>
      <c r="W86" s="1"/>
      <c r="X86" s="1">
        <f t="shared" si="34"/>
        <v>-1003.96</v>
      </c>
      <c r="Y86" s="1"/>
      <c r="Z86" s="5">
        <f t="shared" si="35"/>
        <v>-0.18303737465815861</v>
      </c>
    </row>
    <row r="87" spans="1:26" s="24" customFormat="1" hidden="1" outlineLevel="2" x14ac:dyDescent="0.25">
      <c r="A87" s="29"/>
      <c r="B87" s="11" t="str">
        <f>CONCATENATE("          ", "6252", " - ", "ROYALTY DUE CSTV")</f>
        <v xml:space="preserve">          6252 - ROYALTY DUE CSTV</v>
      </c>
      <c r="C87" s="11"/>
      <c r="D87" s="7"/>
      <c r="E87" s="2"/>
      <c r="F87" s="6">
        <f t="shared" si="28"/>
        <v>0</v>
      </c>
      <c r="G87" s="2"/>
      <c r="H87" s="7">
        <v>1085</v>
      </c>
      <c r="I87" s="2"/>
      <c r="J87" s="6">
        <f t="shared" si="29"/>
        <v>6.2704801974189893E-3</v>
      </c>
      <c r="K87" s="2"/>
      <c r="L87" s="7">
        <f t="shared" si="30"/>
        <v>-1085</v>
      </c>
      <c r="M87" s="2"/>
      <c r="N87" s="6">
        <f t="shared" si="31"/>
        <v>-1</v>
      </c>
      <c r="O87" s="11"/>
      <c r="P87" s="7"/>
      <c r="Q87" s="2"/>
      <c r="R87" s="6">
        <f t="shared" si="32"/>
        <v>0</v>
      </c>
      <c r="S87" s="2"/>
      <c r="T87" s="7">
        <v>1085</v>
      </c>
      <c r="U87" s="2"/>
      <c r="V87" s="6">
        <f t="shared" si="33"/>
        <v>6.2704801974189893E-3</v>
      </c>
      <c r="W87" s="2"/>
      <c r="X87" s="7">
        <f t="shared" si="34"/>
        <v>-1085</v>
      </c>
      <c r="Y87" s="2"/>
      <c r="Z87" s="6">
        <f t="shared" si="35"/>
        <v>-1</v>
      </c>
    </row>
    <row r="88" spans="1:26" s="24" customFormat="1" hidden="1" outlineLevel="2" x14ac:dyDescent="0.25">
      <c r="A88" s="29"/>
      <c r="B88" s="11" t="str">
        <f>CONCATENATE("          ", "6253", " - ", "ROYALTY DUE ATHLETICS-LRG")</f>
        <v xml:space="preserve">          6253 - ROYALTY DUE ATHLETICS-LRG</v>
      </c>
      <c r="C88" s="11"/>
      <c r="D88" s="7">
        <v>4366.95</v>
      </c>
      <c r="E88" s="2"/>
      <c r="F88" s="6">
        <f t="shared" si="28"/>
        <v>2.4174187672672768E-2</v>
      </c>
      <c r="G88" s="2"/>
      <c r="H88" s="7">
        <v>3700</v>
      </c>
      <c r="I88" s="2"/>
      <c r="J88" s="6">
        <f t="shared" si="29"/>
        <v>2.138320435986199E-2</v>
      </c>
      <c r="K88" s="2"/>
      <c r="L88" s="7">
        <f t="shared" si="30"/>
        <v>666.94999999999982</v>
      </c>
      <c r="M88" s="2"/>
      <c r="N88" s="6">
        <f t="shared" si="31"/>
        <v>0.1802567567567567</v>
      </c>
      <c r="O88" s="11"/>
      <c r="P88" s="7">
        <v>4366.95</v>
      </c>
      <c r="Q88" s="2"/>
      <c r="R88" s="6">
        <f t="shared" si="32"/>
        <v>2.4174187672672768E-2</v>
      </c>
      <c r="S88" s="2"/>
      <c r="T88" s="7">
        <v>3700</v>
      </c>
      <c r="U88" s="2"/>
      <c r="V88" s="6">
        <f t="shared" si="33"/>
        <v>2.138320435986199E-2</v>
      </c>
      <c r="W88" s="2"/>
      <c r="X88" s="7">
        <f t="shared" si="34"/>
        <v>666.94999999999982</v>
      </c>
      <c r="Y88" s="2"/>
      <c r="Z88" s="6">
        <f t="shared" si="35"/>
        <v>0.1802567567567567</v>
      </c>
    </row>
    <row r="89" spans="1:26" s="24" customFormat="1" hidden="1" outlineLevel="2" x14ac:dyDescent="0.25">
      <c r="A89" s="29"/>
      <c r="B89" s="11" t="str">
        <f>CONCATENATE("          ", "6254", " - ", "ROYALTY &amp; COMMISSIONS")</f>
        <v xml:space="preserve">          6254 - ROYALTY &amp; COMMISSIONS</v>
      </c>
      <c r="C89" s="11"/>
      <c r="D89" s="7">
        <v>114.09</v>
      </c>
      <c r="E89" s="2"/>
      <c r="F89" s="6">
        <f t="shared" si="28"/>
        <v>6.3156964736835468E-4</v>
      </c>
      <c r="G89" s="2"/>
      <c r="H89" s="7">
        <v>700</v>
      </c>
      <c r="I89" s="2"/>
      <c r="J89" s="6">
        <f t="shared" si="29"/>
        <v>4.0454710951090258E-3</v>
      </c>
      <c r="K89" s="2"/>
      <c r="L89" s="7">
        <f t="shared" si="30"/>
        <v>-585.91</v>
      </c>
      <c r="M89" s="2"/>
      <c r="N89" s="6">
        <f t="shared" si="31"/>
        <v>-0.83701428571428571</v>
      </c>
      <c r="O89" s="11"/>
      <c r="P89" s="7">
        <v>114.09</v>
      </c>
      <c r="Q89" s="2"/>
      <c r="R89" s="6">
        <f t="shared" si="32"/>
        <v>6.3156964736835468E-4</v>
      </c>
      <c r="S89" s="2"/>
      <c r="T89" s="7">
        <v>700</v>
      </c>
      <c r="U89" s="2"/>
      <c r="V89" s="6">
        <f t="shared" si="33"/>
        <v>4.0454710951090258E-3</v>
      </c>
      <c r="W89" s="2"/>
      <c r="X89" s="7">
        <f t="shared" si="34"/>
        <v>-585.91</v>
      </c>
      <c r="Y89" s="2"/>
      <c r="Z89" s="6">
        <f t="shared" si="35"/>
        <v>-0.83701428571428571</v>
      </c>
    </row>
    <row r="90" spans="1:26" s="27" customFormat="1" outlineLevel="1" collapsed="1" x14ac:dyDescent="0.25">
      <c r="A90" s="28"/>
      <c r="B90" s="14" t="str">
        <f>CONCATENATE("     ","Subscriptions &amp; Dues                              ")</f>
        <v xml:space="preserve">     Subscriptions &amp; Dues                              </v>
      </c>
      <c r="C90" s="14"/>
      <c r="D90" s="1">
        <f>SUM(OSRRefD22_11x_0)</f>
        <v>0</v>
      </c>
      <c r="E90" s="1"/>
      <c r="F90" s="5">
        <f t="shared" ref="F90:F92" si="36">IF(D$12=0,0,D90/D$12)</f>
        <v>0</v>
      </c>
      <c r="G90" s="1"/>
      <c r="H90" s="1">
        <f>SUM(OSRRefH22_11x_0)</f>
        <v>1500</v>
      </c>
      <c r="I90" s="1"/>
      <c r="J90" s="5">
        <f t="shared" ref="J90:J92" si="37">IF(H$12=0,0,H90/H$12)</f>
        <v>8.6688666323764835E-3</v>
      </c>
      <c r="K90" s="1"/>
      <c r="L90" s="1">
        <f t="shared" ref="L90:L92" si="38">+D90-H90</f>
        <v>-1500</v>
      </c>
      <c r="M90" s="1"/>
      <c r="N90" s="5">
        <f t="shared" ref="N90:N92" si="39">IF(H90=0,0,L90/H90)</f>
        <v>-1</v>
      </c>
      <c r="O90" s="14"/>
      <c r="P90" s="1">
        <f>SUM(OSRRefP22_11x_0)</f>
        <v>0</v>
      </c>
      <c r="Q90" s="1"/>
      <c r="R90" s="5">
        <f t="shared" ref="R90:R92" si="40">IF(P$12=0,0,P90/P$12)</f>
        <v>0</v>
      </c>
      <c r="S90" s="1"/>
      <c r="T90" s="1">
        <f>SUM(OSRRefT22_11x_0)</f>
        <v>1500</v>
      </c>
      <c r="U90" s="1"/>
      <c r="V90" s="5">
        <f t="shared" ref="V90:V92" si="41">IF(T$12=0,0,T90/T$12)</f>
        <v>8.6688666323764835E-3</v>
      </c>
      <c r="W90" s="1"/>
      <c r="X90" s="1">
        <f t="shared" ref="X90:X92" si="42">+P90-T90</f>
        <v>-1500</v>
      </c>
      <c r="Y90" s="1"/>
      <c r="Z90" s="5">
        <f t="shared" ref="Z90:Z92" si="43">IF(T90=0,0,X90/T90)</f>
        <v>-1</v>
      </c>
    </row>
    <row r="91" spans="1:26" s="24" customFormat="1" hidden="1" outlineLevel="2" x14ac:dyDescent="0.25">
      <c r="A91" s="29"/>
      <c r="B91" s="11" t="str">
        <f>CONCATENATE("          ", "6258", " - ", "MEMBERSHIP DUES")</f>
        <v xml:space="preserve">          6258 - MEMBERSHIP DUES</v>
      </c>
      <c r="C91" s="11"/>
      <c r="D91" s="7"/>
      <c r="E91" s="2"/>
      <c r="F91" s="6">
        <f t="shared" si="36"/>
        <v>0</v>
      </c>
      <c r="G91" s="2"/>
      <c r="H91" s="7">
        <v>1000</v>
      </c>
      <c r="I91" s="2"/>
      <c r="J91" s="6">
        <f t="shared" si="37"/>
        <v>5.7792444215843224E-3</v>
      </c>
      <c r="K91" s="2"/>
      <c r="L91" s="7">
        <f t="shared" si="38"/>
        <v>-1000</v>
      </c>
      <c r="M91" s="2"/>
      <c r="N91" s="6">
        <f t="shared" si="39"/>
        <v>-1</v>
      </c>
      <c r="O91" s="11"/>
      <c r="P91" s="7"/>
      <c r="Q91" s="2"/>
      <c r="R91" s="6">
        <f t="shared" si="40"/>
        <v>0</v>
      </c>
      <c r="S91" s="2"/>
      <c r="T91" s="7">
        <v>1000</v>
      </c>
      <c r="U91" s="2"/>
      <c r="V91" s="6">
        <f t="shared" si="41"/>
        <v>5.7792444215843224E-3</v>
      </c>
      <c r="W91" s="2"/>
      <c r="X91" s="7">
        <f t="shared" si="42"/>
        <v>-1000</v>
      </c>
      <c r="Y91" s="2"/>
      <c r="Z91" s="6">
        <f t="shared" si="43"/>
        <v>-1</v>
      </c>
    </row>
    <row r="92" spans="1:26" s="24" customFormat="1" hidden="1" outlineLevel="2" x14ac:dyDescent="0.25">
      <c r="A92" s="29"/>
      <c r="B92" s="11" t="str">
        <f>CONCATENATE("          ", "6275", " - ", "SUBSCRIPTIONS")</f>
        <v xml:space="preserve">          6275 - SUBSCRIPTIONS</v>
      </c>
      <c r="C92" s="11"/>
      <c r="D92" s="7"/>
      <c r="E92" s="2"/>
      <c r="F92" s="6">
        <f t="shared" si="36"/>
        <v>0</v>
      </c>
      <c r="G92" s="2"/>
      <c r="H92" s="7">
        <v>500</v>
      </c>
      <c r="I92" s="2"/>
      <c r="J92" s="6">
        <f t="shared" si="37"/>
        <v>2.8896222107921612E-3</v>
      </c>
      <c r="K92" s="2"/>
      <c r="L92" s="7">
        <f t="shared" si="38"/>
        <v>-500</v>
      </c>
      <c r="M92" s="2"/>
      <c r="N92" s="6">
        <f t="shared" si="39"/>
        <v>-1</v>
      </c>
      <c r="O92" s="11"/>
      <c r="P92" s="7"/>
      <c r="Q92" s="2"/>
      <c r="R92" s="6">
        <f t="shared" si="40"/>
        <v>0</v>
      </c>
      <c r="S92" s="2"/>
      <c r="T92" s="7">
        <v>500</v>
      </c>
      <c r="U92" s="2"/>
      <c r="V92" s="6">
        <f t="shared" si="41"/>
        <v>2.8896222107921612E-3</v>
      </c>
      <c r="W92" s="2"/>
      <c r="X92" s="7">
        <f t="shared" si="42"/>
        <v>-500</v>
      </c>
      <c r="Y92" s="2"/>
      <c r="Z92" s="6">
        <f t="shared" si="43"/>
        <v>-1</v>
      </c>
    </row>
    <row r="93" spans="1:26" s="27" customFormat="1" outlineLevel="1" collapsed="1" x14ac:dyDescent="0.25">
      <c r="A93" s="28"/>
      <c r="B93" s="14" t="str">
        <f>CONCATENATE("     ","Supplies                                          ")</f>
        <v xml:space="preserve">     Supplies                                          </v>
      </c>
      <c r="C93" s="14"/>
      <c r="D93" s="1">
        <f>SUM(OSRRefD22_12x_0)</f>
        <v>869.59999999999991</v>
      </c>
      <c r="E93" s="1"/>
      <c r="F93" s="5">
        <f t="shared" ref="F93:F97" si="44">IF(D$12=0,0,D93/D$12)</f>
        <v>4.8138571772418362E-3</v>
      </c>
      <c r="G93" s="1"/>
      <c r="H93" s="1">
        <f>SUM(OSRRefH22_12x_0)</f>
        <v>1625</v>
      </c>
      <c r="I93" s="1"/>
      <c r="J93" s="5">
        <f t="shared" ref="J93:J97" si="45">IF(H$12=0,0,H93/H$12)</f>
        <v>9.3912721850745225E-3</v>
      </c>
      <c r="K93" s="1"/>
      <c r="L93" s="1">
        <f t="shared" ref="L93:L97" si="46">+D93-H93</f>
        <v>-755.40000000000009</v>
      </c>
      <c r="M93" s="1"/>
      <c r="N93" s="5">
        <f t="shared" ref="N93:N97" si="47">IF(H93=0,0,L93/H93)</f>
        <v>-0.46486153846153849</v>
      </c>
      <c r="O93" s="14"/>
      <c r="P93" s="1">
        <f>SUM(OSRRefP22_12x_0)</f>
        <v>869.59999999999991</v>
      </c>
      <c r="Q93" s="1"/>
      <c r="R93" s="5">
        <f t="shared" ref="R93:R97" si="48">IF(P$12=0,0,P93/P$12)</f>
        <v>4.8138571772418362E-3</v>
      </c>
      <c r="S93" s="1"/>
      <c r="T93" s="1">
        <f>SUM(OSRRefT22_12x_0)</f>
        <v>1625</v>
      </c>
      <c r="U93" s="1"/>
      <c r="V93" s="5">
        <f t="shared" ref="V93:V97" si="49">IF(T$12=0,0,T93/T$12)</f>
        <v>9.3912721850745225E-3</v>
      </c>
      <c r="W93" s="1"/>
      <c r="X93" s="1">
        <f t="shared" ref="X93:X97" si="50">+P93-T93</f>
        <v>-755.40000000000009</v>
      </c>
      <c r="Y93" s="1"/>
      <c r="Z93" s="5">
        <f t="shared" ref="Z93:Z97" si="51">IF(T93=0,0,X93/T93)</f>
        <v>-0.46486153846153849</v>
      </c>
    </row>
    <row r="94" spans="1:26" s="24" customFormat="1" hidden="1" outlineLevel="2" x14ac:dyDescent="0.25">
      <c r="A94" s="29"/>
      <c r="B94" s="11" t="str">
        <f>CONCATENATE("          ", "6234", " - ", "EXPENDABLE SUPPLIES &amp; EQUIPMEN")</f>
        <v xml:space="preserve">          6234 - EXPENDABLE SUPPLIES &amp; EQUIPMEN</v>
      </c>
      <c r="C94" s="11"/>
      <c r="D94" s="7">
        <v>-15.95</v>
      </c>
      <c r="E94" s="2"/>
      <c r="F94" s="6">
        <f t="shared" si="44"/>
        <v>-8.8294643487818876E-5</v>
      </c>
      <c r="G94" s="2"/>
      <c r="H94" s="7">
        <v>1200</v>
      </c>
      <c r="I94" s="2"/>
      <c r="J94" s="6">
        <f t="shared" si="45"/>
        <v>6.9350933059011861E-3</v>
      </c>
      <c r="K94" s="2"/>
      <c r="L94" s="7">
        <f t="shared" si="46"/>
        <v>-1215.95</v>
      </c>
      <c r="M94" s="2"/>
      <c r="N94" s="6">
        <f t="shared" si="47"/>
        <v>-1.0132916666666667</v>
      </c>
      <c r="O94" s="11"/>
      <c r="P94" s="7">
        <v>-15.95</v>
      </c>
      <c r="Q94" s="2"/>
      <c r="R94" s="6">
        <f t="shared" si="48"/>
        <v>-8.8294643487818876E-5</v>
      </c>
      <c r="S94" s="2"/>
      <c r="T94" s="7">
        <v>1200</v>
      </c>
      <c r="U94" s="2"/>
      <c r="V94" s="6">
        <f t="shared" si="49"/>
        <v>6.9350933059011861E-3</v>
      </c>
      <c r="W94" s="2"/>
      <c r="X94" s="7">
        <f t="shared" si="50"/>
        <v>-1215.95</v>
      </c>
      <c r="Y94" s="2"/>
      <c r="Z94" s="6">
        <f t="shared" si="51"/>
        <v>-1.0132916666666667</v>
      </c>
    </row>
    <row r="95" spans="1:26" s="24" customFormat="1" hidden="1" outlineLevel="2" x14ac:dyDescent="0.25">
      <c r="A95" s="29"/>
      <c r="B95" s="11" t="str">
        <f>CONCATENATE("          ", "6237", " - ", "JANITORIAL SUPPLIES")</f>
        <v xml:space="preserve">          6237 - JANITORIAL SUPPLIES</v>
      </c>
      <c r="C95" s="11"/>
      <c r="D95" s="7"/>
      <c r="E95" s="2"/>
      <c r="F95" s="6">
        <f t="shared" si="44"/>
        <v>0</v>
      </c>
      <c r="G95" s="2"/>
      <c r="H95" s="7">
        <v>25</v>
      </c>
      <c r="I95" s="2"/>
      <c r="J95" s="6">
        <f t="shared" si="45"/>
        <v>1.4448111053960805E-4</v>
      </c>
      <c r="K95" s="2"/>
      <c r="L95" s="7">
        <f t="shared" si="46"/>
        <v>-25</v>
      </c>
      <c r="M95" s="2"/>
      <c r="N95" s="6">
        <f t="shared" si="47"/>
        <v>-1</v>
      </c>
      <c r="O95" s="11"/>
      <c r="P95" s="7"/>
      <c r="Q95" s="2"/>
      <c r="R95" s="6">
        <f t="shared" si="48"/>
        <v>0</v>
      </c>
      <c r="S95" s="2"/>
      <c r="T95" s="7">
        <v>25</v>
      </c>
      <c r="U95" s="2"/>
      <c r="V95" s="6">
        <f t="shared" si="49"/>
        <v>1.4448111053960805E-4</v>
      </c>
      <c r="W95" s="2"/>
      <c r="X95" s="7">
        <f t="shared" si="50"/>
        <v>-25</v>
      </c>
      <c r="Y95" s="2"/>
      <c r="Z95" s="6">
        <f t="shared" si="51"/>
        <v>-1</v>
      </c>
    </row>
    <row r="96" spans="1:26" s="24" customFormat="1" hidden="1" outlineLevel="2" x14ac:dyDescent="0.25">
      <c r="A96" s="29"/>
      <c r="B96" s="11" t="str">
        <f>CONCATENATE("          ", "6241", " - ", "OFFICE EXPENSE")</f>
        <v xml:space="preserve">          6241 - OFFICE EXPENSE</v>
      </c>
      <c r="C96" s="11"/>
      <c r="D96" s="7">
        <v>885.55</v>
      </c>
      <c r="E96" s="2"/>
      <c r="F96" s="6">
        <f t="shared" si="44"/>
        <v>4.9021518207296557E-3</v>
      </c>
      <c r="G96" s="2"/>
      <c r="H96" s="7">
        <v>200</v>
      </c>
      <c r="I96" s="2"/>
      <c r="J96" s="6">
        <f t="shared" si="45"/>
        <v>1.1558488843168644E-3</v>
      </c>
      <c r="K96" s="2"/>
      <c r="L96" s="7">
        <f t="shared" si="46"/>
        <v>685.55</v>
      </c>
      <c r="M96" s="2"/>
      <c r="N96" s="6">
        <f t="shared" si="47"/>
        <v>3.4277499999999996</v>
      </c>
      <c r="O96" s="11"/>
      <c r="P96" s="7">
        <v>885.55</v>
      </c>
      <c r="Q96" s="2"/>
      <c r="R96" s="6">
        <f t="shared" si="48"/>
        <v>4.9021518207296557E-3</v>
      </c>
      <c r="S96" s="2"/>
      <c r="T96" s="7">
        <v>200</v>
      </c>
      <c r="U96" s="2"/>
      <c r="V96" s="6">
        <f t="shared" si="49"/>
        <v>1.1558488843168644E-3</v>
      </c>
      <c r="W96" s="2"/>
      <c r="X96" s="7">
        <f t="shared" si="50"/>
        <v>685.55</v>
      </c>
      <c r="Y96" s="2"/>
      <c r="Z96" s="6">
        <f t="shared" si="51"/>
        <v>3.4277499999999996</v>
      </c>
    </row>
    <row r="97" spans="1:26" s="24" customFormat="1" hidden="1" outlineLevel="2" x14ac:dyDescent="0.25">
      <c r="A97" s="29"/>
      <c r="B97" s="11" t="str">
        <f>CONCATENATE("          ", "6247", " - ", "STORE SUPPLIES")</f>
        <v xml:space="preserve">          6247 - STORE SUPPLIES</v>
      </c>
      <c r="C97" s="11"/>
      <c r="D97" s="7"/>
      <c r="E97" s="2"/>
      <c r="F97" s="6">
        <f t="shared" si="44"/>
        <v>0</v>
      </c>
      <c r="G97" s="2"/>
      <c r="H97" s="7">
        <v>200</v>
      </c>
      <c r="I97" s="2"/>
      <c r="J97" s="6">
        <f t="shared" si="45"/>
        <v>1.1558488843168644E-3</v>
      </c>
      <c r="K97" s="2"/>
      <c r="L97" s="7">
        <f t="shared" si="46"/>
        <v>-200</v>
      </c>
      <c r="M97" s="2"/>
      <c r="N97" s="6">
        <f t="shared" si="47"/>
        <v>-1</v>
      </c>
      <c r="O97" s="11"/>
      <c r="P97" s="7"/>
      <c r="Q97" s="2"/>
      <c r="R97" s="6">
        <f t="shared" si="48"/>
        <v>0</v>
      </c>
      <c r="S97" s="2"/>
      <c r="T97" s="7">
        <v>200</v>
      </c>
      <c r="U97" s="2"/>
      <c r="V97" s="6">
        <f t="shared" si="49"/>
        <v>1.1558488843168644E-3</v>
      </c>
      <c r="W97" s="2"/>
      <c r="X97" s="7">
        <f t="shared" si="50"/>
        <v>-200</v>
      </c>
      <c r="Y97" s="2"/>
      <c r="Z97" s="6">
        <f t="shared" si="51"/>
        <v>-1</v>
      </c>
    </row>
    <row r="98" spans="1:26" s="27" customFormat="1" outlineLevel="1" collapsed="1" x14ac:dyDescent="0.25">
      <c r="A98" s="28"/>
      <c r="B98" s="14" t="str">
        <f>CONCATENATE("     ","Telephone/Data Lines                              ")</f>
        <v xml:space="preserve">     Telephone/Data Lines                              </v>
      </c>
      <c r="C98" s="14"/>
      <c r="D98" s="1">
        <f>SUM(OSRRefD22_13x_0)</f>
        <v>588.27</v>
      </c>
      <c r="E98" s="1"/>
      <c r="F98" s="5">
        <f t="shared" ref="F98:F103" si="52">IF(D$12=0,0,D98/D$12)</f>
        <v>3.2564946661178189E-3</v>
      </c>
      <c r="G98" s="1"/>
      <c r="H98" s="1">
        <f>SUM(OSRRefH22_13x_0)</f>
        <v>475</v>
      </c>
      <c r="I98" s="1"/>
      <c r="J98" s="5">
        <f t="shared" ref="J98:J103" si="53">IF(H$12=0,0,H98/H$12)</f>
        <v>2.7451411002525528E-3</v>
      </c>
      <c r="K98" s="1"/>
      <c r="L98" s="1">
        <f t="shared" ref="L98:L103" si="54">+D98-H98</f>
        <v>113.26999999999998</v>
      </c>
      <c r="M98" s="1"/>
      <c r="N98" s="5">
        <f t="shared" ref="N98:N103" si="55">IF(H98=0,0,L98/H98)</f>
        <v>0.23846315789473679</v>
      </c>
      <c r="O98" s="14"/>
      <c r="P98" s="1">
        <f>SUM(OSRRefP22_13x_0)</f>
        <v>588.27</v>
      </c>
      <c r="Q98" s="1"/>
      <c r="R98" s="5">
        <f t="shared" ref="R98:R103" si="56">IF(P$12=0,0,P98/P$12)</f>
        <v>3.2564946661178189E-3</v>
      </c>
      <c r="S98" s="1"/>
      <c r="T98" s="1">
        <f>SUM(OSRRefT22_13x_0)</f>
        <v>475</v>
      </c>
      <c r="U98" s="1"/>
      <c r="V98" s="5">
        <f t="shared" ref="V98:V103" si="57">IF(T$12=0,0,T98/T$12)</f>
        <v>2.7451411002525528E-3</v>
      </c>
      <c r="W98" s="1"/>
      <c r="X98" s="1">
        <f t="shared" ref="X98:X103" si="58">+P98-T98</f>
        <v>113.26999999999998</v>
      </c>
      <c r="Y98" s="1"/>
      <c r="Z98" s="5">
        <f t="shared" ref="Z98:Z103" si="59">IF(T98=0,0,X98/T98)</f>
        <v>0.23846315789473679</v>
      </c>
    </row>
    <row r="99" spans="1:26" s="24" customFormat="1" hidden="1" outlineLevel="2" x14ac:dyDescent="0.25">
      <c r="A99" s="29"/>
      <c r="B99" s="11" t="str">
        <f>CONCATENATE("          ", "6309", " - ", "TELEPHONE")</f>
        <v xml:space="preserve">          6309 - TELEPHONE</v>
      </c>
      <c r="C99" s="11"/>
      <c r="D99" s="7">
        <v>588.27</v>
      </c>
      <c r="E99" s="2"/>
      <c r="F99" s="6">
        <f t="shared" si="52"/>
        <v>3.2564946661178189E-3</v>
      </c>
      <c r="G99" s="2"/>
      <c r="H99" s="7">
        <v>475</v>
      </c>
      <c r="I99" s="2"/>
      <c r="J99" s="6">
        <f t="shared" si="53"/>
        <v>2.7451411002525528E-3</v>
      </c>
      <c r="K99" s="2"/>
      <c r="L99" s="7">
        <f t="shared" si="54"/>
        <v>113.26999999999998</v>
      </c>
      <c r="M99" s="2"/>
      <c r="N99" s="6">
        <f t="shared" si="55"/>
        <v>0.23846315789473679</v>
      </c>
      <c r="O99" s="11"/>
      <c r="P99" s="7">
        <v>588.27</v>
      </c>
      <c r="Q99" s="2"/>
      <c r="R99" s="6">
        <f t="shared" si="56"/>
        <v>3.2564946661178189E-3</v>
      </c>
      <c r="S99" s="2"/>
      <c r="T99" s="7">
        <v>475</v>
      </c>
      <c r="U99" s="2"/>
      <c r="V99" s="6">
        <f t="shared" si="57"/>
        <v>2.7451411002525528E-3</v>
      </c>
      <c r="W99" s="2"/>
      <c r="X99" s="7">
        <f t="shared" si="58"/>
        <v>113.26999999999998</v>
      </c>
      <c r="Y99" s="2"/>
      <c r="Z99" s="6">
        <f t="shared" si="59"/>
        <v>0.23846315789473679</v>
      </c>
    </row>
    <row r="100" spans="1:26" s="27" customFormat="1" outlineLevel="1" collapsed="1" x14ac:dyDescent="0.25">
      <c r="A100" s="28"/>
      <c r="B100" s="14" t="str">
        <f>CONCATENATE("     ","Training                                          ")</f>
        <v xml:space="preserve">     Training                                          </v>
      </c>
      <c r="C100" s="14"/>
      <c r="D100" s="1">
        <f>SUM(OSRRefD22_14x_0)</f>
        <v>103.5</v>
      </c>
      <c r="E100" s="1"/>
      <c r="F100" s="5">
        <f t="shared" si="52"/>
        <v>5.7294643266390304E-4</v>
      </c>
      <c r="G100" s="1"/>
      <c r="H100" s="1">
        <f>SUM(OSRRefH22_14x_0)</f>
        <v>100</v>
      </c>
      <c r="I100" s="1"/>
      <c r="J100" s="5">
        <f t="shared" si="53"/>
        <v>5.7792444215843221E-4</v>
      </c>
      <c r="K100" s="1"/>
      <c r="L100" s="1">
        <f t="shared" si="54"/>
        <v>3.5</v>
      </c>
      <c r="M100" s="1"/>
      <c r="N100" s="5">
        <f t="shared" si="55"/>
        <v>3.5000000000000003E-2</v>
      </c>
      <c r="O100" s="14"/>
      <c r="P100" s="1">
        <f>SUM(OSRRefP22_14x_0)</f>
        <v>103.5</v>
      </c>
      <c r="Q100" s="1"/>
      <c r="R100" s="5">
        <f t="shared" si="56"/>
        <v>5.7294643266390304E-4</v>
      </c>
      <c r="S100" s="1"/>
      <c r="T100" s="1">
        <f>SUM(OSRRefT22_14x_0)</f>
        <v>100</v>
      </c>
      <c r="U100" s="1"/>
      <c r="V100" s="5">
        <f t="shared" si="57"/>
        <v>5.7792444215843221E-4</v>
      </c>
      <c r="W100" s="1"/>
      <c r="X100" s="1">
        <f t="shared" si="58"/>
        <v>3.5</v>
      </c>
      <c r="Y100" s="1"/>
      <c r="Z100" s="5">
        <f t="shared" si="59"/>
        <v>3.5000000000000003E-2</v>
      </c>
    </row>
    <row r="101" spans="1:26" s="24" customFormat="1" hidden="1" outlineLevel="2" x14ac:dyDescent="0.25">
      <c r="A101" s="29"/>
      <c r="B101" s="11" t="str">
        <f>CONCATENATE("          ", "6376", " - ", "TRAINING")</f>
        <v xml:space="preserve">          6376 - TRAINING</v>
      </c>
      <c r="C101" s="11"/>
      <c r="D101" s="7">
        <v>103.5</v>
      </c>
      <c r="E101" s="2"/>
      <c r="F101" s="6">
        <f t="shared" si="52"/>
        <v>5.7294643266390304E-4</v>
      </c>
      <c r="G101" s="2"/>
      <c r="H101" s="7">
        <v>100</v>
      </c>
      <c r="I101" s="2"/>
      <c r="J101" s="6">
        <f t="shared" si="53"/>
        <v>5.7792444215843221E-4</v>
      </c>
      <c r="K101" s="2"/>
      <c r="L101" s="7">
        <f t="shared" si="54"/>
        <v>3.5</v>
      </c>
      <c r="M101" s="2"/>
      <c r="N101" s="6">
        <f t="shared" si="55"/>
        <v>3.5000000000000003E-2</v>
      </c>
      <c r="O101" s="11"/>
      <c r="P101" s="7">
        <v>103.5</v>
      </c>
      <c r="Q101" s="2"/>
      <c r="R101" s="6">
        <f t="shared" si="56"/>
        <v>5.7294643266390304E-4</v>
      </c>
      <c r="S101" s="2"/>
      <c r="T101" s="7">
        <v>100</v>
      </c>
      <c r="U101" s="2"/>
      <c r="V101" s="6">
        <f t="shared" si="57"/>
        <v>5.7792444215843221E-4</v>
      </c>
      <c r="W101" s="2"/>
      <c r="X101" s="7">
        <f t="shared" si="58"/>
        <v>3.5</v>
      </c>
      <c r="Y101" s="2"/>
      <c r="Z101" s="6">
        <f t="shared" si="59"/>
        <v>3.5000000000000003E-2</v>
      </c>
    </row>
    <row r="102" spans="1:26" s="27" customFormat="1" outlineLevel="1" collapsed="1" x14ac:dyDescent="0.25">
      <c r="A102" s="28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SUM(OSRRefD22_15x_0)</f>
        <v>0</v>
      </c>
      <c r="E102" s="1"/>
      <c r="F102" s="5">
        <f t="shared" si="52"/>
        <v>0</v>
      </c>
      <c r="G102" s="1"/>
      <c r="H102" s="1">
        <f>SUM(OSRRefH22_15x_0)</f>
        <v>50</v>
      </c>
      <c r="I102" s="1"/>
      <c r="J102" s="5">
        <f t="shared" si="53"/>
        <v>2.8896222107921611E-4</v>
      </c>
      <c r="K102" s="1"/>
      <c r="L102" s="1">
        <f t="shared" si="54"/>
        <v>-50</v>
      </c>
      <c r="M102" s="1"/>
      <c r="N102" s="5">
        <f t="shared" si="55"/>
        <v>-1</v>
      </c>
      <c r="O102" s="14"/>
      <c r="P102" s="1">
        <f>SUM(OSRRefP22_15x_0)</f>
        <v>0</v>
      </c>
      <c r="Q102" s="1"/>
      <c r="R102" s="5">
        <f t="shared" si="56"/>
        <v>0</v>
      </c>
      <c r="S102" s="1"/>
      <c r="T102" s="1">
        <f>SUM(OSRRefT22_15x_0)</f>
        <v>50</v>
      </c>
      <c r="U102" s="1"/>
      <c r="V102" s="5">
        <f t="shared" si="57"/>
        <v>2.8896222107921611E-4</v>
      </c>
      <c r="W102" s="1"/>
      <c r="X102" s="1">
        <f t="shared" si="58"/>
        <v>-50</v>
      </c>
      <c r="Y102" s="1"/>
      <c r="Z102" s="5">
        <f t="shared" si="59"/>
        <v>-1</v>
      </c>
    </row>
    <row r="103" spans="1:26" s="24" customFormat="1" hidden="1" outlineLevel="2" x14ac:dyDescent="0.25">
      <c r="A103" s="29"/>
      <c r="B103" s="11" t="str">
        <f>CONCATENATE("          ", "6294", " - ", "TRAVEL OPERATIONAL")</f>
        <v xml:space="preserve">          6294 - TRAVEL OPERATIONAL</v>
      </c>
      <c r="C103" s="11"/>
      <c r="D103" s="7"/>
      <c r="E103" s="2"/>
      <c r="F103" s="6">
        <f t="shared" si="52"/>
        <v>0</v>
      </c>
      <c r="G103" s="2"/>
      <c r="H103" s="7">
        <v>50</v>
      </c>
      <c r="I103" s="2"/>
      <c r="J103" s="6">
        <f t="shared" si="53"/>
        <v>2.8896222107921611E-4</v>
      </c>
      <c r="K103" s="2"/>
      <c r="L103" s="7">
        <f t="shared" si="54"/>
        <v>-50</v>
      </c>
      <c r="M103" s="2"/>
      <c r="N103" s="6">
        <f t="shared" si="55"/>
        <v>-1</v>
      </c>
      <c r="O103" s="11"/>
      <c r="P103" s="7"/>
      <c r="Q103" s="2"/>
      <c r="R103" s="6">
        <f t="shared" si="56"/>
        <v>0</v>
      </c>
      <c r="S103" s="2"/>
      <c r="T103" s="7">
        <v>50</v>
      </c>
      <c r="U103" s="2"/>
      <c r="V103" s="6">
        <f t="shared" si="57"/>
        <v>2.8896222107921611E-4</v>
      </c>
      <c r="W103" s="2"/>
      <c r="X103" s="7">
        <f t="shared" si="58"/>
        <v>-50</v>
      </c>
      <c r="Y103" s="2"/>
      <c r="Z103" s="6">
        <f t="shared" si="59"/>
        <v>-1</v>
      </c>
    </row>
    <row r="104" spans="1:26" s="57" customFormat="1" x14ac:dyDescent="0.25">
      <c r="A104" s="36"/>
      <c r="B104" s="36"/>
      <c r="C104" s="36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6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25">
      <c r="A105" s="10"/>
      <c r="B105" s="25" t="s">
        <v>0</v>
      </c>
      <c r="C105" s="10"/>
      <c r="D105" s="4">
        <f>SUM(OSRRefD25x_0)</f>
        <v>9374.82</v>
      </c>
      <c r="E105" s="4"/>
      <c r="F105" s="12">
        <f t="shared" ref="F105:F108" si="60">IF(D$12=0,0,D105/D$12)</f>
        <v>5.1896325370688036E-2</v>
      </c>
      <c r="G105" s="4"/>
      <c r="H105" s="4">
        <f>SUM(OSRRefH25x_0)</f>
        <v>8625</v>
      </c>
      <c r="I105" s="4"/>
      <c r="J105" s="12">
        <f t="shared" ref="J105:J108" si="61">IF(H$12=0,0,H105/H$12)</f>
        <v>4.9845983136164777E-2</v>
      </c>
      <c r="K105" s="4"/>
      <c r="L105" s="4">
        <f t="shared" ref="L105:L108" si="62">+D105-H105</f>
        <v>749.81999999999971</v>
      </c>
      <c r="M105" s="4"/>
      <c r="N105" s="12">
        <f t="shared" ref="N105:N108" si="63">IF(H105=0,0,L105/H105)</f>
        <v>8.6935652173913011E-2</v>
      </c>
      <c r="O105" s="10"/>
      <c r="P105" s="4">
        <f>SUM(OSRRefP25x_0)</f>
        <v>9374.82</v>
      </c>
      <c r="Q105" s="4"/>
      <c r="R105" s="12">
        <f t="shared" ref="R105:R108" si="64">IF(P$12=0,0,P105/P$12)</f>
        <v>5.1896325370688036E-2</v>
      </c>
      <c r="S105" s="4"/>
      <c r="T105" s="4">
        <f>SUM(OSRRefT25x_0)</f>
        <v>8625</v>
      </c>
      <c r="U105" s="4"/>
      <c r="V105" s="12">
        <f t="shared" ref="V105:V108" si="65">IF(T$12=0,0,T105/T$12)</f>
        <v>4.9845983136164777E-2</v>
      </c>
      <c r="W105" s="4"/>
      <c r="X105" s="4">
        <f t="shared" ref="X105:X108" si="66">+P105-T105</f>
        <v>749.81999999999971</v>
      </c>
      <c r="Y105" s="4"/>
      <c r="Z105" s="12">
        <f t="shared" ref="Z105:Z108" si="67">IF(T105=0,0,X105/T105)</f>
        <v>8.6935652173913011E-2</v>
      </c>
    </row>
    <row r="106" spans="1:26" s="24" customFormat="1" hidden="1" outlineLevel="1" x14ac:dyDescent="0.25">
      <c r="A106" s="51"/>
      <c r="B106" s="11" t="str">
        <f>CONCATENATE("          ", "9150", " - ", "MISC. INCOME")</f>
        <v xml:space="preserve">          9150 - MISC. INCOME</v>
      </c>
      <c r="C106" s="11"/>
      <c r="D106" s="2">
        <f>--9374.82</f>
        <v>9374.82</v>
      </c>
      <c r="E106" s="2"/>
      <c r="F106" s="22">
        <f t="shared" si="60"/>
        <v>5.1896325370688036E-2</v>
      </c>
      <c r="G106" s="2"/>
      <c r="H106" s="2">
        <v>7725</v>
      </c>
      <c r="I106" s="2"/>
      <c r="J106" s="22">
        <f t="shared" si="61"/>
        <v>4.4644663156738887E-2</v>
      </c>
      <c r="K106" s="2"/>
      <c r="L106" s="2">
        <f t="shared" si="62"/>
        <v>1649.8199999999997</v>
      </c>
      <c r="M106" s="2"/>
      <c r="N106" s="22">
        <f t="shared" si="63"/>
        <v>0.21356893203883492</v>
      </c>
      <c r="O106" s="11"/>
      <c r="P106" s="2">
        <f>--9374.82</f>
        <v>9374.82</v>
      </c>
      <c r="Q106" s="2"/>
      <c r="R106" s="22">
        <f t="shared" si="64"/>
        <v>5.1896325370688036E-2</v>
      </c>
      <c r="S106" s="2"/>
      <c r="T106" s="2">
        <v>7725</v>
      </c>
      <c r="U106" s="2"/>
      <c r="V106" s="22">
        <f t="shared" si="65"/>
        <v>4.4644663156738887E-2</v>
      </c>
      <c r="W106" s="2"/>
      <c r="X106" s="2">
        <f t="shared" si="66"/>
        <v>1649.8199999999997</v>
      </c>
      <c r="Y106" s="2"/>
      <c r="Z106" s="22">
        <f t="shared" si="67"/>
        <v>0.21356893203883492</v>
      </c>
    </row>
    <row r="107" spans="1:26" s="24" customFormat="1" hidden="1" outlineLevel="1" x14ac:dyDescent="0.25">
      <c r="A107" s="51"/>
      <c r="B107" s="11" t="str">
        <f>CONCATENATE("          ", "9151", " - ", "MISC. INCOME")</f>
        <v xml:space="preserve">          9151 - MISC. INCOME</v>
      </c>
      <c r="C107" s="11"/>
      <c r="D107" s="2">
        <f t="shared" ref="D107:D108" si="68">0</f>
        <v>0</v>
      </c>
      <c r="E107" s="2"/>
      <c r="F107" s="22">
        <f t="shared" si="60"/>
        <v>0</v>
      </c>
      <c r="G107" s="2"/>
      <c r="H107" s="2">
        <v>100</v>
      </c>
      <c r="I107" s="2"/>
      <c r="J107" s="22">
        <f t="shared" si="61"/>
        <v>5.7792444215843221E-4</v>
      </c>
      <c r="K107" s="2"/>
      <c r="L107" s="2">
        <f t="shared" si="62"/>
        <v>-100</v>
      </c>
      <c r="M107" s="2"/>
      <c r="N107" s="22">
        <f t="shared" si="63"/>
        <v>-1</v>
      </c>
      <c r="O107" s="11"/>
      <c r="P107" s="2">
        <f t="shared" ref="P107:P108" si="69">0</f>
        <v>0</v>
      </c>
      <c r="Q107" s="2"/>
      <c r="R107" s="22">
        <f t="shared" si="64"/>
        <v>0</v>
      </c>
      <c r="S107" s="2"/>
      <c r="T107" s="2">
        <v>100</v>
      </c>
      <c r="U107" s="2"/>
      <c r="V107" s="22">
        <f t="shared" si="65"/>
        <v>5.7792444215843221E-4</v>
      </c>
      <c r="W107" s="2"/>
      <c r="X107" s="2">
        <f t="shared" si="66"/>
        <v>-100</v>
      </c>
      <c r="Y107" s="2"/>
      <c r="Z107" s="22">
        <f t="shared" si="67"/>
        <v>-1</v>
      </c>
    </row>
    <row r="108" spans="1:26" s="24" customFormat="1" hidden="1" outlineLevel="1" x14ac:dyDescent="0.25">
      <c r="A108" s="51"/>
      <c r="B108" s="11" t="str">
        <f>CONCATENATE("          ", "9160", " - ", "MISC. INCOME")</f>
        <v xml:space="preserve">          9160 - MISC. INCOME</v>
      </c>
      <c r="C108" s="11"/>
      <c r="D108" s="2">
        <f t="shared" si="68"/>
        <v>0</v>
      </c>
      <c r="E108" s="2"/>
      <c r="F108" s="22">
        <f t="shared" si="60"/>
        <v>0</v>
      </c>
      <c r="G108" s="2"/>
      <c r="H108" s="2">
        <v>800</v>
      </c>
      <c r="I108" s="2"/>
      <c r="J108" s="22">
        <f t="shared" si="61"/>
        <v>4.6233955372674577E-3</v>
      </c>
      <c r="K108" s="2"/>
      <c r="L108" s="2">
        <f t="shared" si="62"/>
        <v>-800</v>
      </c>
      <c r="M108" s="2"/>
      <c r="N108" s="22">
        <f t="shared" si="63"/>
        <v>-1</v>
      </c>
      <c r="O108" s="11"/>
      <c r="P108" s="2">
        <f t="shared" si="69"/>
        <v>0</v>
      </c>
      <c r="Q108" s="2"/>
      <c r="R108" s="22">
        <f t="shared" si="64"/>
        <v>0</v>
      </c>
      <c r="S108" s="2"/>
      <c r="T108" s="2">
        <v>800</v>
      </c>
      <c r="U108" s="2"/>
      <c r="V108" s="22">
        <f t="shared" si="65"/>
        <v>4.6233955372674577E-3</v>
      </c>
      <c r="W108" s="2"/>
      <c r="X108" s="2">
        <f t="shared" si="66"/>
        <v>-800</v>
      </c>
      <c r="Y108" s="2"/>
      <c r="Z108" s="22">
        <f t="shared" si="67"/>
        <v>-1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6" t="s">
        <v>3</v>
      </c>
      <c r="C110" s="26"/>
      <c r="D110" s="21">
        <f>+D46-D48+D105</f>
        <v>47439.979999999989</v>
      </c>
      <c r="E110" s="13"/>
      <c r="F110" s="19">
        <f>IF(D$12=0,0,D110/D$12)</f>
        <v>0.26261417687581551</v>
      </c>
      <c r="G110" s="13"/>
      <c r="H110" s="21">
        <f>+H46-H48+H105</f>
        <v>42862.840469694711</v>
      </c>
      <c r="I110" s="13"/>
      <c r="J110" s="19">
        <f>IF(H$12=0,0,H110/H$12)</f>
        <v>0.24771483167774189</v>
      </c>
      <c r="K110" s="15"/>
      <c r="L110" s="21">
        <f>+D110-H110</f>
        <v>4577.1395303052777</v>
      </c>
      <c r="M110" s="15"/>
      <c r="N110" s="19">
        <f>IF(H110=0,0,L110/H110)</f>
        <v>0.10678572582098123</v>
      </c>
      <c r="O110" s="25"/>
      <c r="P110" s="21">
        <f>+P46-P48+P105</f>
        <v>47439.979999999989</v>
      </c>
      <c r="Q110" s="13"/>
      <c r="R110" s="19">
        <f>IF(P$12=0,0,P110/P$12)</f>
        <v>0.26261417687581551</v>
      </c>
      <c r="S110" s="13"/>
      <c r="T110" s="21">
        <f>+T46-T48+T105</f>
        <v>42862.840469694711</v>
      </c>
      <c r="U110" s="13"/>
      <c r="V110" s="19">
        <f>IF(T$12=0,0,T110/T$12)</f>
        <v>0.24771483167774189</v>
      </c>
      <c r="W110" s="15"/>
      <c r="X110" s="21">
        <f>+P110-T110</f>
        <v>4577.1395303052777</v>
      </c>
      <c r="Y110" s="15"/>
      <c r="Z110" s="19">
        <f>IF(T110=0,0,X110/T110)</f>
        <v>0.10678572582098123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2"/>
      <c r="B112" s="10" t="s">
        <v>14</v>
      </c>
      <c r="C112" s="10"/>
      <c r="D112" s="4">
        <v>37561.449999999997</v>
      </c>
      <c r="E112" s="4"/>
      <c r="F112" s="12">
        <f>IF(D$12=0,0,D112/D$12)</f>
        <v>0.20792945684235326</v>
      </c>
      <c r="G112" s="4"/>
      <c r="H112" s="4">
        <v>42169</v>
      </c>
      <c r="I112" s="4"/>
      <c r="J112" s="12">
        <f>IF(H$12=0,0,H112/H$12)</f>
        <v>0.24370495801378927</v>
      </c>
      <c r="K112" s="4"/>
      <c r="L112" s="4">
        <f>+D112-H112</f>
        <v>-4607.5500000000029</v>
      </c>
      <c r="M112" s="4"/>
      <c r="N112" s="12">
        <f>IF(H112=0,0,L112/H112)</f>
        <v>-0.10926391424980443</v>
      </c>
      <c r="O112" s="10"/>
      <c r="P112" s="4">
        <v>37561.449999999997</v>
      </c>
      <c r="Q112" s="4"/>
      <c r="R112" s="12">
        <f>IF(P$12=0,0,P112/P$12)</f>
        <v>0.20792945684235326</v>
      </c>
      <c r="S112" s="4"/>
      <c r="T112" s="4">
        <v>42169</v>
      </c>
      <c r="U112" s="4"/>
      <c r="V112" s="12">
        <f>IF(T$12=0,0,T112/T$12)</f>
        <v>0.24370495801378927</v>
      </c>
      <c r="W112" s="4"/>
      <c r="X112" s="4">
        <f>+P112-T112</f>
        <v>-4607.5500000000029</v>
      </c>
      <c r="Y112" s="4"/>
      <c r="Z112" s="12">
        <f>IF(T112=0,0,X112/T112)</f>
        <v>-0.10926391424980443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4</v>
      </c>
      <c r="C114" s="26"/>
      <c r="D114" s="32">
        <f>+D110-D112</f>
        <v>9878.5299999999916</v>
      </c>
      <c r="E114" s="13"/>
      <c r="F114" s="31">
        <f>IF(D$12=0,0,D114/D$12)</f>
        <v>5.4684720033462239E-2</v>
      </c>
      <c r="G114" s="13"/>
      <c r="H114" s="32">
        <f>+H110-H112</f>
        <v>693.84046969471092</v>
      </c>
      <c r="I114" s="13"/>
      <c r="J114" s="31">
        <f>IF(H$12=0,0,H114/H$12)</f>
        <v>4.0098736639526036E-3</v>
      </c>
      <c r="K114" s="15"/>
      <c r="L114" s="32">
        <f>D114-H114</f>
        <v>9184.6895303052806</v>
      </c>
      <c r="M114" s="15"/>
      <c r="N114" s="31">
        <f>IF(H114=0,0,L114/H114)</f>
        <v>13.237465860627205</v>
      </c>
      <c r="O114" s="25"/>
      <c r="P114" s="32">
        <f>+P110-P112</f>
        <v>9878.5299999999916</v>
      </c>
      <c r="Q114" s="13"/>
      <c r="R114" s="31">
        <f>IF(P$12=0,0,P114/P$12)</f>
        <v>5.4684720033462239E-2</v>
      </c>
      <c r="S114" s="13"/>
      <c r="T114" s="32">
        <f>+T110-T112</f>
        <v>693.84046969471092</v>
      </c>
      <c r="U114" s="13"/>
      <c r="V114" s="31">
        <f>IF(T$12=0,0,T114/T$12)</f>
        <v>4.0098736639526036E-3</v>
      </c>
      <c r="W114" s="15"/>
      <c r="X114" s="32">
        <f>P114-T114</f>
        <v>9184.6895303052806</v>
      </c>
      <c r="Y114" s="15"/>
      <c r="Z114" s="31">
        <f>IF(T114=0,0,X114/T114)</f>
        <v>13.237465860627205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6" t="s">
        <v>5</v>
      </c>
      <c r="C117" s="26"/>
      <c r="D117" s="33">
        <f>SUM(D114:D116)</f>
        <v>9878.5299999999916</v>
      </c>
      <c r="E117" s="13"/>
      <c r="F117" s="34">
        <f>IF(D$12=0,0,D117/D$12)</f>
        <v>5.4684720033462239E-2</v>
      </c>
      <c r="G117" s="13"/>
      <c r="H117" s="33">
        <f>SUM(H114:H116)</f>
        <v>693.84046969471092</v>
      </c>
      <c r="I117" s="13"/>
      <c r="J117" s="34">
        <f>IF(H$12=0,0,H117/H$12)</f>
        <v>4.0098736639526036E-3</v>
      </c>
      <c r="K117" s="15"/>
      <c r="L117" s="33">
        <f>+D117-H117</f>
        <v>9184.6895303052806</v>
      </c>
      <c r="M117" s="15"/>
      <c r="N117" s="34">
        <f>IF(H117=0,0,L117/H117)</f>
        <v>13.237465860627205</v>
      </c>
      <c r="O117" s="25"/>
      <c r="P117" s="33">
        <f>SUM(P114:P116)</f>
        <v>9878.5299999999916</v>
      </c>
      <c r="Q117" s="13"/>
      <c r="R117" s="34">
        <f>IF(P$12=0,0,P117/P$12)</f>
        <v>5.4684720033462239E-2</v>
      </c>
      <c r="S117" s="13"/>
      <c r="T117" s="33">
        <f>SUM(T114:T116)</f>
        <v>693.84046969471092</v>
      </c>
      <c r="U117" s="13"/>
      <c r="V117" s="34">
        <f>IF(T$12=0,0,T117/T$12)</f>
        <v>4.0098736639526036E-3</v>
      </c>
      <c r="W117" s="15"/>
      <c r="X117" s="33">
        <f>+P117-T117</f>
        <v>9184.6895303052806</v>
      </c>
      <c r="Y117" s="15"/>
      <c r="Z117" s="34">
        <f>IF(T117=0,0,X117/T117)</f>
        <v>13.237465860627205</v>
      </c>
    </row>
    <row r="118" spans="1:26" ht="15.75" thickTop="1" x14ac:dyDescent="0.25">
      <c r="A118" s="9"/>
      <c r="C118" s="9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61">
        <v>43726.678722488425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A120" s="9"/>
      <c r="B120" s="56" t="s">
        <v>314</v>
      </c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53"/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","326", " - ", "2nd Street Store")</f>
        <v>Department 326 - 2nd Street 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51482.15</v>
      </c>
      <c r="E12" s="4"/>
      <c r="F12" s="12"/>
      <c r="G12" s="4"/>
      <c r="H12" s="4">
        <f>SUM(OSRRefH13x_0)</f>
        <v>57117.415809999999</v>
      </c>
      <c r="I12" s="4"/>
      <c r="J12" s="12"/>
      <c r="K12" s="4"/>
      <c r="L12" s="4">
        <f t="shared" ref="L12:L25" si="0">+D12-H12</f>
        <v>-5635.2658099999971</v>
      </c>
      <c r="M12" s="4"/>
      <c r="N12" s="12">
        <f t="shared" ref="N12:N25" si="1">IF(H12=0,0,L12/H12)</f>
        <v>-9.866107788814539E-2</v>
      </c>
      <c r="O12" s="10"/>
      <c r="P12" s="4">
        <f>SUM(OSRRefP13x_0)</f>
        <v>51482.15</v>
      </c>
      <c r="Q12" s="4"/>
      <c r="R12" s="12"/>
      <c r="S12" s="4"/>
      <c r="T12" s="4">
        <f>SUM(OSRRefT13x_0)</f>
        <v>57117.415809999999</v>
      </c>
      <c r="U12" s="4"/>
      <c r="V12" s="12"/>
      <c r="W12" s="4"/>
      <c r="X12" s="4">
        <f t="shared" ref="X12:X25" si="2">+P12-T12</f>
        <v>-5635.2658099999971</v>
      </c>
      <c r="Y12" s="4"/>
      <c r="Z12" s="12">
        <f t="shared" ref="Z12:Z25" si="3">IF(T12=0,0,X12/T12)</f>
        <v>-9.866107788814539E-2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57117.415809999999</v>
      </c>
      <c r="I13" s="2"/>
      <c r="J13" s="22"/>
      <c r="K13" s="2"/>
      <c r="L13" s="2">
        <f t="shared" si="0"/>
        <v>-57117.415809999999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57117.415809999999</v>
      </c>
      <c r="U13" s="2"/>
      <c r="V13" s="22"/>
      <c r="W13" s="2"/>
      <c r="X13" s="2">
        <f t="shared" si="2"/>
        <v>-57117.415809999999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--38.56</f>
        <v>38.56</v>
      </c>
      <c r="E14" s="2"/>
      <c r="F14" s="22"/>
      <c r="G14" s="2"/>
      <c r="H14" s="2"/>
      <c r="I14" s="2"/>
      <c r="J14" s="22"/>
      <c r="K14" s="2"/>
      <c r="L14" s="2">
        <f t="shared" si="0"/>
        <v>38.56</v>
      </c>
      <c r="M14" s="2"/>
      <c r="N14" s="22">
        <f t="shared" si="1"/>
        <v>0</v>
      </c>
      <c r="O14" s="11"/>
      <c r="P14" s="2">
        <f>--38.56</f>
        <v>38.56</v>
      </c>
      <c r="Q14" s="2"/>
      <c r="R14" s="22"/>
      <c r="S14" s="2"/>
      <c r="T14" s="2"/>
      <c r="U14" s="2"/>
      <c r="V14" s="22"/>
      <c r="W14" s="2"/>
      <c r="X14" s="2">
        <f t="shared" si="2"/>
        <v>38.56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"4040", " - ", "TAXABLE SALES-LOGO CLOTHING")</f>
        <v xml:space="preserve">          4040 - TAXABLE SALES-LOGO CLOTHING</v>
      </c>
      <c r="C15" s="11"/>
      <c r="D15" s="2">
        <f>--43752.41</f>
        <v>43752.41</v>
      </c>
      <c r="E15" s="2"/>
      <c r="F15" s="22"/>
      <c r="G15" s="2"/>
      <c r="H15" s="2"/>
      <c r="I15" s="2"/>
      <c r="J15" s="22"/>
      <c r="K15" s="2"/>
      <c r="L15" s="2">
        <f t="shared" si="0"/>
        <v>43752.41</v>
      </c>
      <c r="M15" s="2"/>
      <c r="N15" s="22">
        <f t="shared" si="1"/>
        <v>0</v>
      </c>
      <c r="O15" s="11"/>
      <c r="P15" s="2">
        <f>--43752.41</f>
        <v>43752.41</v>
      </c>
      <c r="Q15" s="2"/>
      <c r="R15" s="22"/>
      <c r="S15" s="2"/>
      <c r="T15" s="2"/>
      <c r="U15" s="2"/>
      <c r="V15" s="22"/>
      <c r="W15" s="2"/>
      <c r="X15" s="2">
        <f t="shared" si="2"/>
        <v>43752.41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"4041", " - ", "TAXABLE SALES-LOGO GIFTS")</f>
        <v xml:space="preserve">          4041 - TAXABLE SALES-LOGO GIFTS</v>
      </c>
      <c r="C16" s="11"/>
      <c r="D16" s="2">
        <f>--6225.53</f>
        <v>6225.53</v>
      </c>
      <c r="E16" s="2"/>
      <c r="F16" s="22"/>
      <c r="G16" s="2"/>
      <c r="H16" s="2"/>
      <c r="I16" s="2"/>
      <c r="J16" s="22"/>
      <c r="K16" s="2"/>
      <c r="L16" s="2">
        <f t="shared" si="0"/>
        <v>6225.53</v>
      </c>
      <c r="M16" s="2"/>
      <c r="N16" s="22">
        <f t="shared" si="1"/>
        <v>0</v>
      </c>
      <c r="O16" s="11"/>
      <c r="P16" s="2">
        <f>--6225.53</f>
        <v>6225.53</v>
      </c>
      <c r="Q16" s="2"/>
      <c r="R16" s="22"/>
      <c r="S16" s="2"/>
      <c r="T16" s="2"/>
      <c r="U16" s="2"/>
      <c r="V16" s="22"/>
      <c r="W16" s="2"/>
      <c r="X16" s="2">
        <f t="shared" si="2"/>
        <v>6225.53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"4042", " - ", "TAXABLE SALES-EVERYDAY GIFTS")</f>
        <v xml:space="preserve">          4042 - TAXABLE SALES-EVERYDAY GIFTS</v>
      </c>
      <c r="C17" s="11"/>
      <c r="D17" s="2">
        <f>--2433.61</f>
        <v>2433.61</v>
      </c>
      <c r="E17" s="2"/>
      <c r="F17" s="22"/>
      <c r="G17" s="2"/>
      <c r="H17" s="2"/>
      <c r="I17" s="2"/>
      <c r="J17" s="22"/>
      <c r="K17" s="2"/>
      <c r="L17" s="2">
        <f t="shared" si="0"/>
        <v>2433.61</v>
      </c>
      <c r="M17" s="2"/>
      <c r="N17" s="22">
        <f t="shared" si="1"/>
        <v>0</v>
      </c>
      <c r="O17" s="11"/>
      <c r="P17" s="2">
        <f>--2433.61</f>
        <v>2433.61</v>
      </c>
      <c r="Q17" s="2"/>
      <c r="R17" s="22"/>
      <c r="S17" s="2"/>
      <c r="T17" s="2"/>
      <c r="U17" s="2"/>
      <c r="V17" s="22"/>
      <c r="W17" s="2"/>
      <c r="X17" s="2">
        <f t="shared" si="2"/>
        <v>2433.61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"4044", " - ", "TAXABLE SALES-ACCESSORIES")</f>
        <v xml:space="preserve">          4044 - TAXABLE SALES-ACCESSORIES</v>
      </c>
      <c r="C18" s="11"/>
      <c r="D18" s="2">
        <f>--248.2</f>
        <v>248.2</v>
      </c>
      <c r="E18" s="2"/>
      <c r="F18" s="22"/>
      <c r="G18" s="2"/>
      <c r="H18" s="2"/>
      <c r="I18" s="2"/>
      <c r="J18" s="22"/>
      <c r="K18" s="2"/>
      <c r="L18" s="2">
        <f t="shared" si="0"/>
        <v>248.2</v>
      </c>
      <c r="M18" s="2"/>
      <c r="N18" s="22">
        <f t="shared" si="1"/>
        <v>0</v>
      </c>
      <c r="O18" s="11"/>
      <c r="P18" s="2">
        <f>--248.2</f>
        <v>248.2</v>
      </c>
      <c r="Q18" s="2"/>
      <c r="R18" s="22"/>
      <c r="S18" s="2"/>
      <c r="T18" s="2"/>
      <c r="U18" s="2"/>
      <c r="V18" s="22"/>
      <c r="W18" s="2"/>
      <c r="X18" s="2">
        <f t="shared" si="2"/>
        <v>248.2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--237.89</f>
        <v>237.89</v>
      </c>
      <c r="E19" s="2"/>
      <c r="F19" s="22"/>
      <c r="G19" s="2"/>
      <c r="H19" s="2"/>
      <c r="I19" s="2"/>
      <c r="J19" s="22"/>
      <c r="K19" s="2"/>
      <c r="L19" s="2">
        <f t="shared" si="0"/>
        <v>237.89</v>
      </c>
      <c r="M19" s="2"/>
      <c r="N19" s="22">
        <f t="shared" si="1"/>
        <v>0</v>
      </c>
      <c r="O19" s="11"/>
      <c r="P19" s="2">
        <f>--237.89</f>
        <v>237.89</v>
      </c>
      <c r="Q19" s="2"/>
      <c r="R19" s="22"/>
      <c r="S19" s="2"/>
      <c r="T19" s="2"/>
      <c r="U19" s="2"/>
      <c r="V19" s="22"/>
      <c r="W19" s="2"/>
      <c r="X19" s="2">
        <f t="shared" si="2"/>
        <v>237.89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"4095", " - ", "TAXABLE SALES-CUSTOMER SERVICE")</f>
        <v xml:space="preserve">          4095 - TAXABLE SALES-CUSTOMER SERVICE</v>
      </c>
      <c r="C20" s="11"/>
      <c r="D20" s="2">
        <f>--10.89</f>
        <v>10.89</v>
      </c>
      <c r="E20" s="2"/>
      <c r="F20" s="22"/>
      <c r="G20" s="2"/>
      <c r="H20" s="2"/>
      <c r="I20" s="2"/>
      <c r="J20" s="22"/>
      <c r="K20" s="2"/>
      <c r="L20" s="2">
        <f t="shared" si="0"/>
        <v>10.89</v>
      </c>
      <c r="M20" s="2"/>
      <c r="N20" s="22">
        <f t="shared" si="1"/>
        <v>0</v>
      </c>
      <c r="O20" s="11"/>
      <c r="P20" s="2">
        <f>--10.89</f>
        <v>10.89</v>
      </c>
      <c r="Q20" s="2"/>
      <c r="R20" s="22"/>
      <c r="S20" s="2"/>
      <c r="T20" s="2"/>
      <c r="U20" s="2"/>
      <c r="V20" s="22"/>
      <c r="W20" s="2"/>
      <c r="X20" s="2">
        <f t="shared" si="2"/>
        <v>10.89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"4137", " - ", "NON-TAXABLE SALES-WATER")</f>
        <v xml:space="preserve">          4137 - NON-TAXABLE SALES-WATER</v>
      </c>
      <c r="C21" s="11"/>
      <c r="D21" s="2">
        <f>--22.5</f>
        <v>22.5</v>
      </c>
      <c r="E21" s="2"/>
      <c r="F21" s="22"/>
      <c r="G21" s="2"/>
      <c r="H21" s="2"/>
      <c r="I21" s="2"/>
      <c r="J21" s="22"/>
      <c r="K21" s="2"/>
      <c r="L21" s="2">
        <f t="shared" si="0"/>
        <v>22.5</v>
      </c>
      <c r="M21" s="2"/>
      <c r="N21" s="22">
        <f t="shared" si="1"/>
        <v>0</v>
      </c>
      <c r="O21" s="11"/>
      <c r="P21" s="2">
        <f>--22.5</f>
        <v>22.5</v>
      </c>
      <c r="Q21" s="2"/>
      <c r="R21" s="22"/>
      <c r="S21" s="2"/>
      <c r="T21" s="2"/>
      <c r="U21" s="2"/>
      <c r="V21" s="22"/>
      <c r="W21" s="2"/>
      <c r="X21" s="2">
        <f t="shared" si="2"/>
        <v>22.5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--79.92</f>
        <v>79.92</v>
      </c>
      <c r="E22" s="2"/>
      <c r="F22" s="22"/>
      <c r="G22" s="2"/>
      <c r="H22" s="2"/>
      <c r="I22" s="2"/>
      <c r="J22" s="22"/>
      <c r="K22" s="2"/>
      <c r="L22" s="2">
        <f t="shared" si="0"/>
        <v>79.92</v>
      </c>
      <c r="M22" s="2"/>
      <c r="N22" s="22">
        <f t="shared" si="1"/>
        <v>0</v>
      </c>
      <c r="O22" s="11"/>
      <c r="P22" s="2">
        <f>--79.92</f>
        <v>79.92</v>
      </c>
      <c r="Q22" s="2"/>
      <c r="R22" s="22"/>
      <c r="S22" s="2"/>
      <c r="T22" s="2"/>
      <c r="U22" s="2"/>
      <c r="V22" s="22"/>
      <c r="W22" s="2"/>
      <c r="X22" s="2">
        <f t="shared" si="2"/>
        <v>79.92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"4240", " - ", "SALES RETURN TAXABLE-LOGO CLOT")</f>
        <v xml:space="preserve">          4240 - SALES RETURN TAXABLE-LOGO CLOT</v>
      </c>
      <c r="C23" s="11"/>
      <c r="D23" s="2">
        <f>-1357.95</f>
        <v>-1357.95</v>
      </c>
      <c r="E23" s="2"/>
      <c r="F23" s="22"/>
      <c r="G23" s="2"/>
      <c r="H23" s="2"/>
      <c r="I23" s="2"/>
      <c r="J23" s="22"/>
      <c r="K23" s="2"/>
      <c r="L23" s="2">
        <f t="shared" si="0"/>
        <v>-1357.95</v>
      </c>
      <c r="M23" s="2"/>
      <c r="N23" s="22">
        <f t="shared" si="1"/>
        <v>0</v>
      </c>
      <c r="O23" s="11"/>
      <c r="P23" s="2">
        <f>-1357.95</f>
        <v>-1357.95</v>
      </c>
      <c r="Q23" s="2"/>
      <c r="R23" s="22"/>
      <c r="S23" s="2"/>
      <c r="T23" s="2"/>
      <c r="U23" s="2"/>
      <c r="V23" s="22"/>
      <c r="W23" s="2"/>
      <c r="X23" s="2">
        <f t="shared" si="2"/>
        <v>-1357.95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>-166.46</f>
        <v>-166.46</v>
      </c>
      <c r="E24" s="2"/>
      <c r="F24" s="22"/>
      <c r="G24" s="2"/>
      <c r="H24" s="2"/>
      <c r="I24" s="2"/>
      <c r="J24" s="22"/>
      <c r="K24" s="2"/>
      <c r="L24" s="2">
        <f t="shared" si="0"/>
        <v>-166.46</v>
      </c>
      <c r="M24" s="2"/>
      <c r="N24" s="22">
        <f t="shared" si="1"/>
        <v>0</v>
      </c>
      <c r="O24" s="11"/>
      <c r="P24" s="2">
        <f>-166.46</f>
        <v>-166.46</v>
      </c>
      <c r="Q24" s="2"/>
      <c r="R24" s="22"/>
      <c r="S24" s="2"/>
      <c r="T24" s="2"/>
      <c r="U24" s="2"/>
      <c r="V24" s="22"/>
      <c r="W24" s="2"/>
      <c r="X24" s="2">
        <f t="shared" si="2"/>
        <v>-166.46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>-42.95</f>
        <v>-42.95</v>
      </c>
      <c r="E25" s="2"/>
      <c r="F25" s="22"/>
      <c r="G25" s="2"/>
      <c r="H25" s="2"/>
      <c r="I25" s="2"/>
      <c r="J25" s="22"/>
      <c r="K25" s="2"/>
      <c r="L25" s="2">
        <f t="shared" si="0"/>
        <v>-42.95</v>
      </c>
      <c r="M25" s="2"/>
      <c r="N25" s="22">
        <f t="shared" si="1"/>
        <v>0</v>
      </c>
      <c r="O25" s="11"/>
      <c r="P25" s="2">
        <f>-42.95</f>
        <v>-42.95</v>
      </c>
      <c r="Q25" s="2"/>
      <c r="R25" s="22"/>
      <c r="S25" s="2"/>
      <c r="T25" s="2"/>
      <c r="U25" s="2"/>
      <c r="V25" s="22"/>
      <c r="W25" s="2"/>
      <c r="X25" s="2">
        <f t="shared" si="2"/>
        <v>-42.95</v>
      </c>
      <c r="Y25" s="2"/>
      <c r="Z25" s="22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5" t="s">
        <v>8</v>
      </c>
      <c r="C27" s="10"/>
      <c r="D27" s="4">
        <f>SUM(OSRRefD16x_0)</f>
        <v>21526.560000000005</v>
      </c>
      <c r="E27" s="4"/>
      <c r="F27" s="12">
        <f t="shared" ref="F27:F39" si="4">IF(D$12=0,0,D27/D$12)</f>
        <v>0.41813638319300972</v>
      </c>
      <c r="G27" s="4"/>
      <c r="H27" s="4">
        <f>SUM(OSRRefH16x_0)</f>
        <v>24282.214320000003</v>
      </c>
      <c r="I27" s="4"/>
      <c r="J27" s="12">
        <f t="shared" ref="J27:J39" si="5">IF(H$12=0,0,H27/H$12)</f>
        <v>0.4251280275139605</v>
      </c>
      <c r="K27" s="4"/>
      <c r="L27" s="4">
        <f t="shared" ref="L27:L39" si="6">+D27-H27</f>
        <v>-2755.6543199999978</v>
      </c>
      <c r="M27" s="4"/>
      <c r="N27" s="12">
        <f t="shared" ref="N27:N39" si="7">IF(H27=0,0,L27/H27)</f>
        <v>-0.11348447401398265</v>
      </c>
      <c r="O27" s="10"/>
      <c r="P27" s="4">
        <f>SUM(OSRRefP16x_0)</f>
        <v>21526.560000000005</v>
      </c>
      <c r="Q27" s="4"/>
      <c r="R27" s="12">
        <f t="shared" ref="R27:R39" si="8">IF(P$12=0,0,P27/P$12)</f>
        <v>0.41813638319300972</v>
      </c>
      <c r="S27" s="4"/>
      <c r="T27" s="4">
        <f>SUM(OSRRefT16x_0)</f>
        <v>24282.214320000003</v>
      </c>
      <c r="U27" s="4"/>
      <c r="V27" s="12">
        <f t="shared" ref="V27:V39" si="9">IF(T$12=0,0,T27/T$12)</f>
        <v>0.4251280275139605</v>
      </c>
      <c r="W27" s="4"/>
      <c r="X27" s="4">
        <f t="shared" ref="X27:X39" si="10">+P27-T27</f>
        <v>-2755.6543199999978</v>
      </c>
      <c r="Y27" s="4"/>
      <c r="Z27" s="12">
        <f t="shared" ref="Z27:Z39" si="11">IF(T27=0,0,X27/T27)</f>
        <v>-0.11348447401398265</v>
      </c>
    </row>
    <row r="28" spans="1:26" s="24" customFormat="1" hidden="1" outlineLevel="1" x14ac:dyDescent="0.25">
      <c r="A28" s="51"/>
      <c r="B28" s="11" t="str">
        <f>CONCATENATE("          ", "5000", " - ", "PURCHASES @ COST")</f>
        <v xml:space="preserve">          5000 - PURCHASES @ COST</v>
      </c>
      <c r="C28" s="11"/>
      <c r="D28" s="2"/>
      <c r="E28" s="2"/>
      <c r="F28" s="22">
        <f t="shared" si="4"/>
        <v>0</v>
      </c>
      <c r="G28" s="2"/>
      <c r="H28" s="2">
        <v>24282.214320000003</v>
      </c>
      <c r="I28" s="2"/>
      <c r="J28" s="22">
        <f t="shared" si="5"/>
        <v>0.4251280275139605</v>
      </c>
      <c r="K28" s="2"/>
      <c r="L28" s="2">
        <f t="shared" si="6"/>
        <v>-24282.214320000003</v>
      </c>
      <c r="M28" s="2"/>
      <c r="N28" s="22">
        <f t="shared" si="7"/>
        <v>-1</v>
      </c>
      <c r="O28" s="11"/>
      <c r="P28" s="2"/>
      <c r="Q28" s="2"/>
      <c r="R28" s="22">
        <f t="shared" si="8"/>
        <v>0</v>
      </c>
      <c r="S28" s="2"/>
      <c r="T28" s="2">
        <v>24282.214320000003</v>
      </c>
      <c r="U28" s="2"/>
      <c r="V28" s="22">
        <f t="shared" si="9"/>
        <v>0.4251280275139605</v>
      </c>
      <c r="W28" s="2"/>
      <c r="X28" s="2">
        <f t="shared" si="10"/>
        <v>-24282.214320000003</v>
      </c>
      <c r="Y28" s="2"/>
      <c r="Z28" s="22">
        <f t="shared" si="11"/>
        <v>-1</v>
      </c>
    </row>
    <row r="29" spans="1:26" s="24" customFormat="1" hidden="1" outlineLevel="1" x14ac:dyDescent="0.25">
      <c r="A29" s="51"/>
      <c r="B29" s="11" t="str">
        <f>CONCATENATE("          ", "5026", " - ", "PURCHASES @ COST-WRITING INSTR")</f>
        <v xml:space="preserve">          5026 - PURCHASES @ COST-WRITING INSTR</v>
      </c>
      <c r="C29" s="11"/>
      <c r="D29" s="2">
        <v>-74.72</v>
      </c>
      <c r="E29" s="2"/>
      <c r="F29" s="22">
        <f t="shared" si="4"/>
        <v>-1.4513768364374836E-3</v>
      </c>
      <c r="G29" s="2"/>
      <c r="H29" s="2"/>
      <c r="I29" s="2"/>
      <c r="J29" s="22">
        <f t="shared" si="5"/>
        <v>0</v>
      </c>
      <c r="K29" s="2"/>
      <c r="L29" s="2">
        <f t="shared" si="6"/>
        <v>-74.72</v>
      </c>
      <c r="M29" s="2"/>
      <c r="N29" s="22">
        <f t="shared" si="7"/>
        <v>0</v>
      </c>
      <c r="O29" s="11"/>
      <c r="P29" s="2">
        <v>-74.72</v>
      </c>
      <c r="Q29" s="2"/>
      <c r="R29" s="22">
        <f t="shared" si="8"/>
        <v>-1.4513768364374836E-3</v>
      </c>
      <c r="S29" s="2"/>
      <c r="T29" s="2"/>
      <c r="U29" s="2"/>
      <c r="V29" s="22">
        <f t="shared" si="9"/>
        <v>0</v>
      </c>
      <c r="W29" s="2"/>
      <c r="X29" s="2">
        <f t="shared" si="10"/>
        <v>-74.72</v>
      </c>
      <c r="Y29" s="2"/>
      <c r="Z29" s="22">
        <f t="shared" si="11"/>
        <v>0</v>
      </c>
    </row>
    <row r="30" spans="1:26" s="24" customFormat="1" hidden="1" outlineLevel="1" x14ac:dyDescent="0.25">
      <c r="A30" s="51"/>
      <c r="B30" s="11" t="str">
        <f>CONCATENATE("          ", "5027", " - ", "PURCHASES @ COST-SCHOOL SUPPLI")</f>
        <v xml:space="preserve">          5027 - PURCHASES @ COST-SCHOOL SUPPLI</v>
      </c>
      <c r="C30" s="11"/>
      <c r="D30" s="2">
        <v>1.32</v>
      </c>
      <c r="E30" s="2"/>
      <c r="F30" s="22">
        <f t="shared" si="4"/>
        <v>2.5639954819291737E-5</v>
      </c>
      <c r="G30" s="2"/>
      <c r="H30" s="2"/>
      <c r="I30" s="2"/>
      <c r="J30" s="22">
        <f t="shared" si="5"/>
        <v>0</v>
      </c>
      <c r="K30" s="2"/>
      <c r="L30" s="2">
        <f t="shared" si="6"/>
        <v>1.32</v>
      </c>
      <c r="M30" s="2"/>
      <c r="N30" s="22">
        <f t="shared" si="7"/>
        <v>0</v>
      </c>
      <c r="O30" s="11"/>
      <c r="P30" s="2">
        <v>1.32</v>
      </c>
      <c r="Q30" s="2"/>
      <c r="R30" s="22">
        <f t="shared" si="8"/>
        <v>2.5639954819291737E-5</v>
      </c>
      <c r="S30" s="2"/>
      <c r="T30" s="2"/>
      <c r="U30" s="2"/>
      <c r="V30" s="22">
        <f t="shared" si="9"/>
        <v>0</v>
      </c>
      <c r="W30" s="2"/>
      <c r="X30" s="2">
        <f t="shared" si="10"/>
        <v>1.32</v>
      </c>
      <c r="Y30" s="2"/>
      <c r="Z30" s="22">
        <f t="shared" si="11"/>
        <v>0</v>
      </c>
    </row>
    <row r="31" spans="1:26" s="24" customFormat="1" hidden="1" outlineLevel="1" x14ac:dyDescent="0.25">
      <c r="A31" s="51"/>
      <c r="B31" s="11" t="str">
        <f>CONCATENATE("          ", "5037", " - ", "PURCHASES @ COST-WATER")</f>
        <v xml:space="preserve">          5037 - PURCHASES @ COST-WATER</v>
      </c>
      <c r="C31" s="11"/>
      <c r="D31" s="2">
        <v>17.04</v>
      </c>
      <c r="E31" s="2"/>
      <c r="F31" s="22">
        <f t="shared" si="4"/>
        <v>3.3098850766722054E-4</v>
      </c>
      <c r="G31" s="2"/>
      <c r="H31" s="2"/>
      <c r="I31" s="2"/>
      <c r="J31" s="22">
        <f t="shared" si="5"/>
        <v>0</v>
      </c>
      <c r="K31" s="2"/>
      <c r="L31" s="2">
        <f t="shared" si="6"/>
        <v>17.04</v>
      </c>
      <c r="M31" s="2"/>
      <c r="N31" s="22">
        <f t="shared" si="7"/>
        <v>0</v>
      </c>
      <c r="O31" s="11"/>
      <c r="P31" s="2">
        <v>17.04</v>
      </c>
      <c r="Q31" s="2"/>
      <c r="R31" s="22">
        <f t="shared" si="8"/>
        <v>3.3098850766722054E-4</v>
      </c>
      <c r="S31" s="2"/>
      <c r="T31" s="2"/>
      <c r="U31" s="2"/>
      <c r="V31" s="22">
        <f t="shared" si="9"/>
        <v>0</v>
      </c>
      <c r="W31" s="2"/>
      <c r="X31" s="2">
        <f t="shared" si="10"/>
        <v>17.04</v>
      </c>
      <c r="Y31" s="2"/>
      <c r="Z31" s="22">
        <f t="shared" si="11"/>
        <v>0</v>
      </c>
    </row>
    <row r="32" spans="1:26" s="24" customFormat="1" hidden="1" outlineLevel="1" x14ac:dyDescent="0.25">
      <c r="A32" s="51"/>
      <c r="B32" s="11" t="str">
        <f>CONCATENATE("          ", "5040", " - ", "PURCHASES @ COST-LOGO CLOTHING")</f>
        <v xml:space="preserve">          5040 - PURCHASES @ COST-LOGO CLOTHING</v>
      </c>
      <c r="C32" s="11"/>
      <c r="D32" s="2">
        <v>24784.58</v>
      </c>
      <c r="E32" s="2"/>
      <c r="F32" s="22">
        <f t="shared" si="4"/>
        <v>0.4814208419811527</v>
      </c>
      <c r="G32" s="2"/>
      <c r="H32" s="2"/>
      <c r="I32" s="2"/>
      <c r="J32" s="22">
        <f t="shared" si="5"/>
        <v>0</v>
      </c>
      <c r="K32" s="2"/>
      <c r="L32" s="2">
        <f t="shared" si="6"/>
        <v>24784.58</v>
      </c>
      <c r="M32" s="2"/>
      <c r="N32" s="22">
        <f t="shared" si="7"/>
        <v>0</v>
      </c>
      <c r="O32" s="11"/>
      <c r="P32" s="2">
        <v>24784.58</v>
      </c>
      <c r="Q32" s="2"/>
      <c r="R32" s="22">
        <f t="shared" si="8"/>
        <v>0.4814208419811527</v>
      </c>
      <c r="S32" s="2"/>
      <c r="T32" s="2"/>
      <c r="U32" s="2"/>
      <c r="V32" s="22">
        <f t="shared" si="9"/>
        <v>0</v>
      </c>
      <c r="W32" s="2"/>
      <c r="X32" s="2">
        <f t="shared" si="10"/>
        <v>24784.58</v>
      </c>
      <c r="Y32" s="2"/>
      <c r="Z32" s="22">
        <f t="shared" si="11"/>
        <v>0</v>
      </c>
    </row>
    <row r="33" spans="1:26" s="24" customFormat="1" hidden="1" outlineLevel="1" x14ac:dyDescent="0.25">
      <c r="A33" s="51"/>
      <c r="B33" s="11" t="str">
        <f>CONCATENATE("          ", "5041", " - ", "PURCHASES @ COST-LOGO GIFTS")</f>
        <v xml:space="preserve">          5041 - PURCHASES @ COST-LOGO GIFTS</v>
      </c>
      <c r="C33" s="11"/>
      <c r="D33" s="2">
        <v>5182.76</v>
      </c>
      <c r="E33" s="2"/>
      <c r="F33" s="22">
        <f t="shared" si="4"/>
        <v>0.10067100927214578</v>
      </c>
      <c r="G33" s="2"/>
      <c r="H33" s="2"/>
      <c r="I33" s="2"/>
      <c r="J33" s="22">
        <f t="shared" si="5"/>
        <v>0</v>
      </c>
      <c r="K33" s="2"/>
      <c r="L33" s="2">
        <f t="shared" si="6"/>
        <v>5182.76</v>
      </c>
      <c r="M33" s="2"/>
      <c r="N33" s="22">
        <f t="shared" si="7"/>
        <v>0</v>
      </c>
      <c r="O33" s="11"/>
      <c r="P33" s="2">
        <v>5182.76</v>
      </c>
      <c r="Q33" s="2"/>
      <c r="R33" s="22">
        <f t="shared" si="8"/>
        <v>0.10067100927214578</v>
      </c>
      <c r="S33" s="2"/>
      <c r="T33" s="2"/>
      <c r="U33" s="2"/>
      <c r="V33" s="22">
        <f t="shared" si="9"/>
        <v>0</v>
      </c>
      <c r="W33" s="2"/>
      <c r="X33" s="2">
        <f t="shared" si="10"/>
        <v>5182.76</v>
      </c>
      <c r="Y33" s="2"/>
      <c r="Z33" s="22">
        <f t="shared" si="11"/>
        <v>0</v>
      </c>
    </row>
    <row r="34" spans="1:26" s="24" customFormat="1" hidden="1" outlineLevel="1" x14ac:dyDescent="0.25">
      <c r="A34" s="51"/>
      <c r="B34" s="11" t="str">
        <f>CONCATENATE("          ", "5042", " - ", "PURCHASES @ COST-EVERYDAY GIFT")</f>
        <v xml:space="preserve">          5042 - PURCHASES @ COST-EVERYDAY GIFT</v>
      </c>
      <c r="C34" s="11"/>
      <c r="D34" s="2">
        <v>2619.3200000000002</v>
      </c>
      <c r="E34" s="2"/>
      <c r="F34" s="22">
        <f t="shared" si="4"/>
        <v>5.0878217013081234E-2</v>
      </c>
      <c r="G34" s="2"/>
      <c r="H34" s="2"/>
      <c r="I34" s="2"/>
      <c r="J34" s="22">
        <f t="shared" si="5"/>
        <v>0</v>
      </c>
      <c r="K34" s="2"/>
      <c r="L34" s="2">
        <f t="shared" si="6"/>
        <v>2619.3200000000002</v>
      </c>
      <c r="M34" s="2"/>
      <c r="N34" s="22">
        <f t="shared" si="7"/>
        <v>0</v>
      </c>
      <c r="O34" s="11"/>
      <c r="P34" s="2">
        <v>2619.3200000000002</v>
      </c>
      <c r="Q34" s="2"/>
      <c r="R34" s="22">
        <f t="shared" si="8"/>
        <v>5.0878217013081234E-2</v>
      </c>
      <c r="S34" s="2"/>
      <c r="T34" s="2"/>
      <c r="U34" s="2"/>
      <c r="V34" s="22">
        <f t="shared" si="9"/>
        <v>0</v>
      </c>
      <c r="W34" s="2"/>
      <c r="X34" s="2">
        <f t="shared" si="10"/>
        <v>2619.3200000000002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"5044", " - ", "PURCHASES @ COST-ACCESSORIES")</f>
        <v xml:space="preserve">          5044 - PURCHASES @ COST-ACCESSORIES</v>
      </c>
      <c r="C35" s="11"/>
      <c r="D35" s="2">
        <v>334.11</v>
      </c>
      <c r="E35" s="2"/>
      <c r="F35" s="22">
        <f t="shared" si="4"/>
        <v>6.4898222005102743E-3</v>
      </c>
      <c r="G35" s="2"/>
      <c r="H35" s="2"/>
      <c r="I35" s="2"/>
      <c r="J35" s="22">
        <f t="shared" si="5"/>
        <v>0</v>
      </c>
      <c r="K35" s="2"/>
      <c r="L35" s="2">
        <f t="shared" si="6"/>
        <v>334.11</v>
      </c>
      <c r="M35" s="2"/>
      <c r="N35" s="22">
        <f t="shared" si="7"/>
        <v>0</v>
      </c>
      <c r="O35" s="11"/>
      <c r="P35" s="2">
        <v>334.11</v>
      </c>
      <c r="Q35" s="2"/>
      <c r="R35" s="22">
        <f t="shared" si="8"/>
        <v>6.4898222005102743E-3</v>
      </c>
      <c r="S35" s="2"/>
      <c r="T35" s="2"/>
      <c r="U35" s="2"/>
      <c r="V35" s="22">
        <f t="shared" si="9"/>
        <v>0</v>
      </c>
      <c r="W35" s="2"/>
      <c r="X35" s="2">
        <f t="shared" si="10"/>
        <v>334.11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"5045", " - ", "PURCHASES @ COST-SPECIAL ORDER")</f>
        <v xml:space="preserve">          5045 - PURCHASES @ COST-SPECIAL ORDER</v>
      </c>
      <c r="C36" s="11"/>
      <c r="D36" s="2">
        <v>45</v>
      </c>
      <c r="E36" s="2"/>
      <c r="F36" s="22">
        <f t="shared" si="4"/>
        <v>8.7408936883949094E-4</v>
      </c>
      <c r="G36" s="2"/>
      <c r="H36" s="2"/>
      <c r="I36" s="2"/>
      <c r="J36" s="22">
        <f t="shared" si="5"/>
        <v>0</v>
      </c>
      <c r="K36" s="2"/>
      <c r="L36" s="2">
        <f t="shared" si="6"/>
        <v>45</v>
      </c>
      <c r="M36" s="2"/>
      <c r="N36" s="22">
        <f t="shared" si="7"/>
        <v>0</v>
      </c>
      <c r="O36" s="11"/>
      <c r="P36" s="2">
        <v>45</v>
      </c>
      <c r="Q36" s="2"/>
      <c r="R36" s="22">
        <f t="shared" si="8"/>
        <v>8.7408936883949094E-4</v>
      </c>
      <c r="S36" s="2"/>
      <c r="T36" s="2"/>
      <c r="U36" s="2"/>
      <c r="V36" s="22">
        <f t="shared" si="9"/>
        <v>0</v>
      </c>
      <c r="W36" s="2"/>
      <c r="X36" s="2">
        <f t="shared" si="10"/>
        <v>45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"5095", " - ", "PURCHASES @ COST-CUSTOMER SERV")</f>
        <v xml:space="preserve">          5095 - PURCHASES @ COST-CUSTOMER SERV</v>
      </c>
      <c r="C37" s="11"/>
      <c r="D37" s="2">
        <v>-11.85</v>
      </c>
      <c r="E37" s="2"/>
      <c r="F37" s="22">
        <f t="shared" si="4"/>
        <v>-2.3017686712773261E-4</v>
      </c>
      <c r="G37" s="2"/>
      <c r="H37" s="2"/>
      <c r="I37" s="2"/>
      <c r="J37" s="22">
        <f t="shared" si="5"/>
        <v>0</v>
      </c>
      <c r="K37" s="2"/>
      <c r="L37" s="2">
        <f t="shared" si="6"/>
        <v>-11.85</v>
      </c>
      <c r="M37" s="2"/>
      <c r="N37" s="22">
        <f t="shared" si="7"/>
        <v>0</v>
      </c>
      <c r="O37" s="11"/>
      <c r="P37" s="2">
        <v>-11.85</v>
      </c>
      <c r="Q37" s="2"/>
      <c r="R37" s="22">
        <f t="shared" si="8"/>
        <v>-2.3017686712773261E-4</v>
      </c>
      <c r="S37" s="2"/>
      <c r="T37" s="2"/>
      <c r="U37" s="2"/>
      <c r="V37" s="22">
        <f t="shared" si="9"/>
        <v>0</v>
      </c>
      <c r="W37" s="2"/>
      <c r="X37" s="2">
        <f t="shared" si="10"/>
        <v>-11.85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"5200", " - ", "PURCHASES OFFSET")</f>
        <v xml:space="preserve">          5200 - PURCHASES OFFSET</v>
      </c>
      <c r="C38" s="11"/>
      <c r="D38" s="2">
        <v>-32897</v>
      </c>
      <c r="E38" s="2"/>
      <c r="F38" s="22">
        <f t="shared" si="4"/>
        <v>-0.63899817703806072</v>
      </c>
      <c r="G38" s="2"/>
      <c r="H38" s="2"/>
      <c r="I38" s="2"/>
      <c r="J38" s="22">
        <f t="shared" si="5"/>
        <v>0</v>
      </c>
      <c r="K38" s="2"/>
      <c r="L38" s="2">
        <f t="shared" si="6"/>
        <v>-32897</v>
      </c>
      <c r="M38" s="2"/>
      <c r="N38" s="22">
        <f t="shared" si="7"/>
        <v>0</v>
      </c>
      <c r="O38" s="11"/>
      <c r="P38" s="2">
        <v>-32897</v>
      </c>
      <c r="Q38" s="2"/>
      <c r="R38" s="22">
        <f t="shared" si="8"/>
        <v>-0.63899817703806072</v>
      </c>
      <c r="S38" s="2"/>
      <c r="T38" s="2"/>
      <c r="U38" s="2"/>
      <c r="V38" s="22">
        <f t="shared" si="9"/>
        <v>0</v>
      </c>
      <c r="W38" s="2"/>
      <c r="X38" s="2">
        <f t="shared" si="10"/>
        <v>-32897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"5300", " - ", "COG$ OFFSET")</f>
        <v xml:space="preserve">          5300 - COG$ OFFSET</v>
      </c>
      <c r="C39" s="11"/>
      <c r="D39" s="2">
        <v>21526</v>
      </c>
      <c r="E39" s="2"/>
      <c r="F39" s="22">
        <f t="shared" si="4"/>
        <v>0.41812550563641959</v>
      </c>
      <c r="G39" s="2"/>
      <c r="H39" s="2"/>
      <c r="I39" s="2"/>
      <c r="J39" s="22">
        <f t="shared" si="5"/>
        <v>0</v>
      </c>
      <c r="K39" s="2"/>
      <c r="L39" s="2">
        <f t="shared" si="6"/>
        <v>21526</v>
      </c>
      <c r="M39" s="2"/>
      <c r="N39" s="22">
        <f t="shared" si="7"/>
        <v>0</v>
      </c>
      <c r="O39" s="11"/>
      <c r="P39" s="2">
        <v>21526</v>
      </c>
      <c r="Q39" s="2"/>
      <c r="R39" s="22">
        <f t="shared" si="8"/>
        <v>0.41812550563641959</v>
      </c>
      <c r="S39" s="2"/>
      <c r="T39" s="2"/>
      <c r="U39" s="2"/>
      <c r="V39" s="22">
        <f t="shared" si="9"/>
        <v>0</v>
      </c>
      <c r="W39" s="2"/>
      <c r="X39" s="2">
        <f t="shared" si="10"/>
        <v>21526</v>
      </c>
      <c r="Y39" s="2"/>
      <c r="Z39" s="22">
        <f t="shared" si="11"/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25">
      <c r="A41" s="10"/>
      <c r="B41" s="26" t="s">
        <v>6</v>
      </c>
      <c r="C41" s="26"/>
      <c r="D41" s="21">
        <f>D12-D27</f>
        <v>29955.589999999997</v>
      </c>
      <c r="E41" s="13"/>
      <c r="F41" s="19">
        <f>IF(D$12=0,0,D41/D$12)</f>
        <v>0.58186361680699028</v>
      </c>
      <c r="G41" s="13"/>
      <c r="H41" s="21">
        <f>H12-H27</f>
        <v>32835.201489999992</v>
      </c>
      <c r="I41" s="13"/>
      <c r="J41" s="19">
        <f>IF(H$12=0,0,H41/H$12)</f>
        <v>0.57487197248603938</v>
      </c>
      <c r="K41" s="15"/>
      <c r="L41" s="21">
        <f>+D41-H41</f>
        <v>-2879.6114899999957</v>
      </c>
      <c r="M41" s="15"/>
      <c r="N41" s="19">
        <f>IF(H41=0,0,L41/H41)</f>
        <v>-8.7698913340823734E-2</v>
      </c>
      <c r="O41" s="25"/>
      <c r="P41" s="21">
        <f>P12-P27</f>
        <v>29955.589999999997</v>
      </c>
      <c r="Q41" s="13"/>
      <c r="R41" s="19">
        <f>IF(P$12=0,0,P41/P$12)</f>
        <v>0.58186361680699028</v>
      </c>
      <c r="S41" s="13"/>
      <c r="T41" s="21">
        <f>T12-T27</f>
        <v>32835.201489999992</v>
      </c>
      <c r="U41" s="13"/>
      <c r="V41" s="19">
        <f>IF(T$12=0,0,T41/T$12)</f>
        <v>0.57487197248603938</v>
      </c>
      <c r="W41" s="15"/>
      <c r="X41" s="21">
        <f>+P41-T41</f>
        <v>-2879.6114899999957</v>
      </c>
      <c r="Y41" s="15"/>
      <c r="Z41" s="19">
        <f>IF(T41=0,0,X41/T41)</f>
        <v>-8.7698913340823734E-2</v>
      </c>
    </row>
    <row r="42" spans="1:26" x14ac:dyDescent="0.25">
      <c r="A42" s="9"/>
      <c r="B42" s="10"/>
      <c r="C42" s="9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6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x14ac:dyDescent="0.25">
      <c r="A43" s="10"/>
      <c r="B43" s="25" t="s">
        <v>9</v>
      </c>
      <c r="C43" s="10"/>
      <c r="D43" s="20">
        <f>SUM(OSRRefD22x_0)</f>
        <v>27441.069999999996</v>
      </c>
      <c r="E43" s="20"/>
      <c r="F43" s="30">
        <f t="shared" ref="F43:F52" si="12">IF(D$12=0,0,D43/D$12)</f>
        <v>0.53302105681289524</v>
      </c>
      <c r="G43" s="20"/>
      <c r="H43" s="20">
        <f>SUM(OSRRefH22x_0)</f>
        <v>29076.623036663459</v>
      </c>
      <c r="I43" s="20"/>
      <c r="J43" s="30">
        <f t="shared" ref="J43:J52" si="13">IF(H$12=0,0,H43/H$12)</f>
        <v>0.50906755188971253</v>
      </c>
      <c r="K43" s="4"/>
      <c r="L43" s="20">
        <f t="shared" ref="L43:L52" si="14">+D43-H43</f>
        <v>-1635.553036663463</v>
      </c>
      <c r="M43" s="4"/>
      <c r="N43" s="30">
        <f t="shared" ref="N43:N52" si="15">IF(H43=0,0,L43/H43)</f>
        <v>-5.6249758942128601E-2</v>
      </c>
      <c r="O43" s="10"/>
      <c r="P43" s="20">
        <f>SUM(OSRRefP22x_0)</f>
        <v>27441.069999999996</v>
      </c>
      <c r="Q43" s="20"/>
      <c r="R43" s="30">
        <f t="shared" ref="R43:R52" si="16">IF(P$12=0,0,P43/P$12)</f>
        <v>0.53302105681289524</v>
      </c>
      <c r="S43" s="20"/>
      <c r="T43" s="20">
        <f>SUM(OSRRefT22x_0)</f>
        <v>29076.623036663459</v>
      </c>
      <c r="U43" s="20"/>
      <c r="V43" s="30">
        <f t="shared" ref="V43:V52" si="17">IF(T$12=0,0,T43/T$12)</f>
        <v>0.50906755188971253</v>
      </c>
      <c r="W43" s="4"/>
      <c r="X43" s="20">
        <f t="shared" ref="X43:X52" si="18">+P43-T43</f>
        <v>-1635.553036663463</v>
      </c>
      <c r="Y43" s="4"/>
      <c r="Z43" s="30">
        <f t="shared" ref="Z43:Z52" si="19">IF(T43=0,0,X43/T43)</f>
        <v>-5.6249758942128601E-2</v>
      </c>
    </row>
    <row r="44" spans="1:26" s="27" customFormat="1" outlineLevel="1" collapsed="1" x14ac:dyDescent="0.25">
      <c r="A44" s="28"/>
      <c r="B44" s="14" t="str">
        <f>CONCATENATE("     ","*Benefits                                         ")</f>
        <v xml:space="preserve">     *Benefits                                         </v>
      </c>
      <c r="C44" s="14"/>
      <c r="D44" s="1">
        <f>SUM(OSRRefD22_0x_0)</f>
        <v>1438.26</v>
      </c>
      <c r="E44" s="1"/>
      <c r="F44" s="5">
        <f t="shared" si="12"/>
        <v>2.7937061680601918E-2</v>
      </c>
      <c r="G44" s="1"/>
      <c r="H44" s="1">
        <f>SUM(OSRRefH22_0x_0)</f>
        <v>2590.0908251249994</v>
      </c>
      <c r="I44" s="1"/>
      <c r="J44" s="5">
        <f t="shared" si="13"/>
        <v>4.534677888335998E-2</v>
      </c>
      <c r="K44" s="1"/>
      <c r="L44" s="1">
        <f t="shared" si="14"/>
        <v>-1151.8308251249994</v>
      </c>
      <c r="M44" s="1"/>
      <c r="N44" s="5">
        <f t="shared" si="15"/>
        <v>-0.44470673149827145</v>
      </c>
      <c r="O44" s="14"/>
      <c r="P44" s="1">
        <f>SUM(OSRRefP22_0x_0)</f>
        <v>1438.26</v>
      </c>
      <c r="Q44" s="1"/>
      <c r="R44" s="5">
        <f t="shared" si="16"/>
        <v>2.7937061680601918E-2</v>
      </c>
      <c r="S44" s="1"/>
      <c r="T44" s="1">
        <f>SUM(OSRRefT22_0x_0)</f>
        <v>2590.0908251249994</v>
      </c>
      <c r="U44" s="1"/>
      <c r="V44" s="5">
        <f t="shared" si="17"/>
        <v>4.534677888335998E-2</v>
      </c>
      <c r="W44" s="1"/>
      <c r="X44" s="1">
        <f t="shared" si="18"/>
        <v>-1151.8308251249994</v>
      </c>
      <c r="Y44" s="1"/>
      <c r="Z44" s="5">
        <f t="shared" si="19"/>
        <v>-0.44470673149827145</v>
      </c>
    </row>
    <row r="45" spans="1:26" s="24" customFormat="1" hidden="1" outlineLevel="2" x14ac:dyDescent="0.25">
      <c r="A45" s="29"/>
      <c r="B45" s="11" t="str">
        <f>CONCATENATE("          ", "6111", " - ", "F.I.C.A.")</f>
        <v xml:space="preserve">          6111 - F.I.C.A.</v>
      </c>
      <c r="C45" s="11"/>
      <c r="D45" s="7">
        <v>713.71</v>
      </c>
      <c r="E45" s="2"/>
      <c r="F45" s="6">
        <f t="shared" si="12"/>
        <v>1.3863251631876291E-2</v>
      </c>
      <c r="G45" s="2"/>
      <c r="H45" s="7">
        <v>909.897621663461</v>
      </c>
      <c r="I45" s="2"/>
      <c r="J45" s="6">
        <f t="shared" si="13"/>
        <v>1.5930300920654714E-2</v>
      </c>
      <c r="K45" s="2"/>
      <c r="L45" s="7">
        <f t="shared" si="14"/>
        <v>-196.18762166346096</v>
      </c>
      <c r="M45" s="2"/>
      <c r="N45" s="6">
        <f t="shared" si="15"/>
        <v>-0.21561505052051211</v>
      </c>
      <c r="O45" s="11"/>
      <c r="P45" s="7">
        <v>713.71</v>
      </c>
      <c r="Q45" s="2"/>
      <c r="R45" s="6">
        <f t="shared" si="16"/>
        <v>1.3863251631876291E-2</v>
      </c>
      <c r="S45" s="2"/>
      <c r="T45" s="7">
        <v>909.897621663461</v>
      </c>
      <c r="U45" s="2"/>
      <c r="V45" s="6">
        <f t="shared" si="17"/>
        <v>1.5930300920654714E-2</v>
      </c>
      <c r="W45" s="2"/>
      <c r="X45" s="7">
        <f t="shared" si="18"/>
        <v>-196.18762166346096</v>
      </c>
      <c r="Y45" s="2"/>
      <c r="Z45" s="6">
        <f t="shared" si="19"/>
        <v>-0.21561505052051211</v>
      </c>
    </row>
    <row r="46" spans="1:26" s="24" customFormat="1" hidden="1" outlineLevel="2" x14ac:dyDescent="0.25">
      <c r="A46" s="29"/>
      <c r="B46" s="11" t="str">
        <f>CONCATENATE("          ", "6112", " - ", "COMPENSATION INSURANCE")</f>
        <v xml:space="preserve">          6112 - COMPENSATION INSURANCE</v>
      </c>
      <c r="C46" s="11"/>
      <c r="D46" s="7">
        <v>188.78</v>
      </c>
      <c r="E46" s="2"/>
      <c r="F46" s="6">
        <f t="shared" si="12"/>
        <v>3.6669020233226469E-3</v>
      </c>
      <c r="G46" s="2"/>
      <c r="H46" s="7">
        <v>225.89905673076899</v>
      </c>
      <c r="I46" s="2"/>
      <c r="J46" s="6">
        <f t="shared" si="13"/>
        <v>3.9549943485226629E-3</v>
      </c>
      <c r="K46" s="2"/>
      <c r="L46" s="7">
        <f t="shared" si="14"/>
        <v>-37.119056730768989</v>
      </c>
      <c r="M46" s="2"/>
      <c r="N46" s="6">
        <f t="shared" si="15"/>
        <v>-0.16431700631228496</v>
      </c>
      <c r="O46" s="11"/>
      <c r="P46" s="7">
        <v>188.78</v>
      </c>
      <c r="Q46" s="2"/>
      <c r="R46" s="6">
        <f t="shared" si="16"/>
        <v>3.6669020233226469E-3</v>
      </c>
      <c r="S46" s="2"/>
      <c r="T46" s="7">
        <v>225.89905673076899</v>
      </c>
      <c r="U46" s="2"/>
      <c r="V46" s="6">
        <f t="shared" si="17"/>
        <v>3.9549943485226629E-3</v>
      </c>
      <c r="W46" s="2"/>
      <c r="X46" s="7">
        <f t="shared" si="18"/>
        <v>-37.119056730768989</v>
      </c>
      <c r="Y46" s="2"/>
      <c r="Z46" s="6">
        <f t="shared" si="19"/>
        <v>-0.16431700631228496</v>
      </c>
    </row>
    <row r="47" spans="1:26" s="24" customFormat="1" hidden="1" outlineLevel="2" x14ac:dyDescent="0.25">
      <c r="A47" s="29"/>
      <c r="B47" s="11" t="str">
        <f>CONCATENATE("          ", "6113", " - ", "GROUP INSURANCE")</f>
        <v xml:space="preserve">          6113 - GROUP INSURANCE</v>
      </c>
      <c r="C47" s="11"/>
      <c r="D47" s="7">
        <v>31.11</v>
      </c>
      <c r="E47" s="2"/>
      <c r="F47" s="6">
        <f t="shared" si="12"/>
        <v>6.0428711699103471E-4</v>
      </c>
      <c r="G47" s="2"/>
      <c r="H47" s="7">
        <v>988.5</v>
      </c>
      <c r="I47" s="2"/>
      <c r="J47" s="6">
        <f t="shared" si="13"/>
        <v>1.7306455237544822E-2</v>
      </c>
      <c r="K47" s="2"/>
      <c r="L47" s="7">
        <f t="shared" si="14"/>
        <v>-957.39</v>
      </c>
      <c r="M47" s="2"/>
      <c r="N47" s="6">
        <f t="shared" si="15"/>
        <v>-0.96852807283763276</v>
      </c>
      <c r="O47" s="11"/>
      <c r="P47" s="7">
        <v>31.11</v>
      </c>
      <c r="Q47" s="2"/>
      <c r="R47" s="6">
        <f t="shared" si="16"/>
        <v>6.0428711699103471E-4</v>
      </c>
      <c r="S47" s="2"/>
      <c r="T47" s="7">
        <v>988.5</v>
      </c>
      <c r="U47" s="2"/>
      <c r="V47" s="6">
        <f t="shared" si="17"/>
        <v>1.7306455237544822E-2</v>
      </c>
      <c r="W47" s="2"/>
      <c r="X47" s="7">
        <f t="shared" si="18"/>
        <v>-957.39</v>
      </c>
      <c r="Y47" s="2"/>
      <c r="Z47" s="6">
        <f t="shared" si="19"/>
        <v>-0.96852807283763276</v>
      </c>
    </row>
    <row r="48" spans="1:26" s="24" customFormat="1" hidden="1" outlineLevel="2" x14ac:dyDescent="0.25">
      <c r="A48" s="29"/>
      <c r="B48" s="11" t="str">
        <f>CONCATENATE("          ", "6114", " - ", "STATE UNEMPLOYMENT INSURANCE")</f>
        <v xml:space="preserve">          6114 - STATE UNEMPLOYMENT INSURANCE</v>
      </c>
      <c r="C48" s="11"/>
      <c r="D48" s="7">
        <v>25.83</v>
      </c>
      <c r="E48" s="2"/>
      <c r="F48" s="6">
        <f t="shared" si="12"/>
        <v>5.0172729771386776E-4</v>
      </c>
      <c r="G48" s="2"/>
      <c r="H48" s="7">
        <v>30.912502499999999</v>
      </c>
      <c r="I48" s="2"/>
      <c r="J48" s="6">
        <f t="shared" si="13"/>
        <v>5.4120975295573342E-4</v>
      </c>
      <c r="K48" s="2"/>
      <c r="L48" s="7">
        <f t="shared" si="14"/>
        <v>-5.0825025000000004</v>
      </c>
      <c r="M48" s="2"/>
      <c r="N48" s="6">
        <f t="shared" si="15"/>
        <v>-0.16441575702258335</v>
      </c>
      <c r="O48" s="11"/>
      <c r="P48" s="7">
        <v>25.83</v>
      </c>
      <c r="Q48" s="2"/>
      <c r="R48" s="6">
        <f t="shared" si="16"/>
        <v>5.0172729771386776E-4</v>
      </c>
      <c r="S48" s="2"/>
      <c r="T48" s="7">
        <v>30.912502499999999</v>
      </c>
      <c r="U48" s="2"/>
      <c r="V48" s="6">
        <f t="shared" si="17"/>
        <v>5.4120975295573342E-4</v>
      </c>
      <c r="W48" s="2"/>
      <c r="X48" s="7">
        <f t="shared" si="18"/>
        <v>-5.0825025000000004</v>
      </c>
      <c r="Y48" s="2"/>
      <c r="Z48" s="6">
        <f t="shared" si="19"/>
        <v>-0.16441575702258335</v>
      </c>
    </row>
    <row r="49" spans="1:26" s="24" customFormat="1" hidden="1" outlineLevel="2" x14ac:dyDescent="0.25">
      <c r="A49" s="29"/>
      <c r="B49" s="11" t="str">
        <f>CONCATENATE("          ", "6115", " - ", "P.E.R.S.")</f>
        <v xml:space="preserve">          6115 - P.E.R.S.</v>
      </c>
      <c r="C49" s="11"/>
      <c r="D49" s="7">
        <v>153.06</v>
      </c>
      <c r="E49" s="2"/>
      <c r="F49" s="6">
        <f t="shared" si="12"/>
        <v>2.9730693065460551E-3</v>
      </c>
      <c r="G49" s="2"/>
      <c r="H49" s="7">
        <v>215.67394230769202</v>
      </c>
      <c r="I49" s="2"/>
      <c r="J49" s="6">
        <f t="shared" si="13"/>
        <v>3.7759751425927128E-3</v>
      </c>
      <c r="K49" s="2"/>
      <c r="L49" s="7">
        <f t="shared" si="14"/>
        <v>-62.613942307692014</v>
      </c>
      <c r="M49" s="2"/>
      <c r="N49" s="6">
        <f t="shared" si="15"/>
        <v>-0.29031760461059131</v>
      </c>
      <c r="O49" s="11"/>
      <c r="P49" s="7">
        <v>153.06</v>
      </c>
      <c r="Q49" s="2"/>
      <c r="R49" s="6">
        <f t="shared" si="16"/>
        <v>2.9730693065460551E-3</v>
      </c>
      <c r="S49" s="2"/>
      <c r="T49" s="7">
        <v>215.67394230769202</v>
      </c>
      <c r="U49" s="2"/>
      <c r="V49" s="6">
        <f t="shared" si="17"/>
        <v>3.7759751425927128E-3</v>
      </c>
      <c r="W49" s="2"/>
      <c r="X49" s="7">
        <f t="shared" si="18"/>
        <v>-62.613942307692014</v>
      </c>
      <c r="Y49" s="2"/>
      <c r="Z49" s="6">
        <f t="shared" si="19"/>
        <v>-0.29031760461059131</v>
      </c>
    </row>
    <row r="50" spans="1:26" s="24" customFormat="1" hidden="1" outlineLevel="2" x14ac:dyDescent="0.25">
      <c r="A50" s="29"/>
      <c r="B50" s="11" t="str">
        <f>CONCATENATE("          ", "6116", " - ", "EDUCATIONAL BENEFITS")</f>
        <v xml:space="preserve">          6116 - EDUCATIONAL BENEFITS</v>
      </c>
      <c r="C50" s="11"/>
      <c r="D50" s="7"/>
      <c r="E50" s="2"/>
      <c r="F50" s="6">
        <f t="shared" si="12"/>
        <v>0</v>
      </c>
      <c r="G50" s="2"/>
      <c r="H50" s="7">
        <v>0</v>
      </c>
      <c r="I50" s="2"/>
      <c r="J50" s="6">
        <f t="shared" si="13"/>
        <v>0</v>
      </c>
      <c r="K50" s="2"/>
      <c r="L50" s="7">
        <f t="shared" si="14"/>
        <v>0</v>
      </c>
      <c r="M50" s="2"/>
      <c r="N50" s="6">
        <f t="shared" si="15"/>
        <v>0</v>
      </c>
      <c r="O50" s="11"/>
      <c r="P50" s="7"/>
      <c r="Q50" s="2"/>
      <c r="R50" s="6">
        <f t="shared" si="16"/>
        <v>0</v>
      </c>
      <c r="S50" s="2"/>
      <c r="T50" s="7">
        <v>0</v>
      </c>
      <c r="U50" s="2"/>
      <c r="V50" s="6">
        <f t="shared" si="17"/>
        <v>0</v>
      </c>
      <c r="W50" s="2"/>
      <c r="X50" s="7">
        <f t="shared" si="18"/>
        <v>0</v>
      </c>
      <c r="Y50" s="2"/>
      <c r="Z50" s="6">
        <f t="shared" si="19"/>
        <v>0</v>
      </c>
    </row>
    <row r="51" spans="1:26" s="24" customFormat="1" hidden="1" outlineLevel="2" x14ac:dyDescent="0.25">
      <c r="A51" s="29"/>
      <c r="B51" s="11" t="str">
        <f>CONCATENATE("          ", "6118", " - ", "VACATION")</f>
        <v xml:space="preserve">          6118 - VACATION</v>
      </c>
      <c r="C51" s="11"/>
      <c r="D51" s="7">
        <v>191.01</v>
      </c>
      <c r="E51" s="2"/>
      <c r="F51" s="6">
        <f t="shared" si="12"/>
        <v>3.7102180076006926E-3</v>
      </c>
      <c r="G51" s="2"/>
      <c r="H51" s="7">
        <v>75.2350961538462</v>
      </c>
      <c r="I51" s="2"/>
      <c r="J51" s="6">
        <f t="shared" si="13"/>
        <v>1.3172006311369955E-3</v>
      </c>
      <c r="K51" s="2"/>
      <c r="L51" s="7">
        <f t="shared" si="14"/>
        <v>115.77490384615379</v>
      </c>
      <c r="M51" s="2"/>
      <c r="N51" s="6">
        <f t="shared" si="15"/>
        <v>1.5388417077238639</v>
      </c>
      <c r="O51" s="11"/>
      <c r="P51" s="7">
        <v>191.01</v>
      </c>
      <c r="Q51" s="2"/>
      <c r="R51" s="6">
        <f t="shared" si="16"/>
        <v>3.7102180076006926E-3</v>
      </c>
      <c r="S51" s="2"/>
      <c r="T51" s="7">
        <v>75.2350961538462</v>
      </c>
      <c r="U51" s="2"/>
      <c r="V51" s="6">
        <f t="shared" si="17"/>
        <v>1.3172006311369955E-3</v>
      </c>
      <c r="W51" s="2"/>
      <c r="X51" s="7">
        <f t="shared" si="18"/>
        <v>115.77490384615379</v>
      </c>
      <c r="Y51" s="2"/>
      <c r="Z51" s="6">
        <f t="shared" si="19"/>
        <v>1.5388417077238639</v>
      </c>
    </row>
    <row r="52" spans="1:26" s="24" customFormat="1" hidden="1" outlineLevel="2" x14ac:dyDescent="0.25">
      <c r="A52" s="29"/>
      <c r="B52" s="11" t="str">
        <f>CONCATENATE("          ", "6119", " - ", "SICK LEAVE")</f>
        <v xml:space="preserve">          6119 - SICK LEAVE</v>
      </c>
      <c r="C52" s="11"/>
      <c r="D52" s="7">
        <v>134.76</v>
      </c>
      <c r="E52" s="2"/>
      <c r="F52" s="6">
        <f t="shared" si="12"/>
        <v>2.6176062965513288E-3</v>
      </c>
      <c r="G52" s="2"/>
      <c r="H52" s="7">
        <v>143.972605769231</v>
      </c>
      <c r="I52" s="2"/>
      <c r="J52" s="6">
        <f t="shared" si="13"/>
        <v>2.5206428499523355E-3</v>
      </c>
      <c r="K52" s="2"/>
      <c r="L52" s="7">
        <f t="shared" si="14"/>
        <v>-9.2126057692310042</v>
      </c>
      <c r="M52" s="2"/>
      <c r="N52" s="6">
        <f t="shared" si="15"/>
        <v>-6.3988601998338418E-2</v>
      </c>
      <c r="O52" s="11"/>
      <c r="P52" s="7">
        <v>134.76</v>
      </c>
      <c r="Q52" s="2"/>
      <c r="R52" s="6">
        <f t="shared" si="16"/>
        <v>2.6176062965513288E-3</v>
      </c>
      <c r="S52" s="2"/>
      <c r="T52" s="7">
        <v>143.972605769231</v>
      </c>
      <c r="U52" s="2"/>
      <c r="V52" s="6">
        <f t="shared" si="17"/>
        <v>2.5206428499523355E-3</v>
      </c>
      <c r="W52" s="2"/>
      <c r="X52" s="7">
        <f t="shared" si="18"/>
        <v>-9.2126057692310042</v>
      </c>
      <c r="Y52" s="2"/>
      <c r="Z52" s="6">
        <f t="shared" si="19"/>
        <v>-6.3988601998338418E-2</v>
      </c>
    </row>
    <row r="53" spans="1:26" s="27" customFormat="1" outlineLevel="1" collapsed="1" x14ac:dyDescent="0.25">
      <c r="A53" s="28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10026.82</v>
      </c>
      <c r="E53" s="1"/>
      <c r="F53" s="5">
        <f t="shared" ref="F53:F63" si="20">IF(D$12=0,0,D53/D$12)</f>
        <v>0.19476303922815966</v>
      </c>
      <c r="G53" s="1"/>
      <c r="H53" s="1">
        <f>SUM(OSRRefH22_1x_0)</f>
        <v>11764.032211538461</v>
      </c>
      <c r="I53" s="1"/>
      <c r="J53" s="5">
        <f t="shared" ref="J53:J63" si="21">IF(H$12=0,0,H53/H$12)</f>
        <v>0.20596226290543834</v>
      </c>
      <c r="K53" s="1"/>
      <c r="L53" s="1">
        <f t="shared" ref="L53:L63" si="22">+D53-H53</f>
        <v>-1737.2122115384609</v>
      </c>
      <c r="M53" s="1"/>
      <c r="N53" s="5">
        <f t="shared" ref="N53:N63" si="23">IF(H53=0,0,L53/H53)</f>
        <v>-0.14767149394869553</v>
      </c>
      <c r="O53" s="14"/>
      <c r="P53" s="1">
        <f>SUM(OSRRefP22_1x_0)</f>
        <v>10026.82</v>
      </c>
      <c r="Q53" s="1"/>
      <c r="R53" s="5">
        <f t="shared" ref="R53:R63" si="24">IF(P$12=0,0,P53/P$12)</f>
        <v>0.19476303922815966</v>
      </c>
      <c r="S53" s="1"/>
      <c r="T53" s="1">
        <f>SUM(OSRRefT22_1x_0)</f>
        <v>11764.032211538461</v>
      </c>
      <c r="U53" s="1"/>
      <c r="V53" s="5">
        <f t="shared" ref="V53:V63" si="25">IF(T$12=0,0,T53/T$12)</f>
        <v>0.20596226290543834</v>
      </c>
      <c r="W53" s="1"/>
      <c r="X53" s="1">
        <f t="shared" ref="X53:X63" si="26">+P53-T53</f>
        <v>-1737.2122115384609</v>
      </c>
      <c r="Y53" s="1"/>
      <c r="Z53" s="5">
        <f t="shared" ref="Z53:Z63" si="27">IF(T53=0,0,X53/T53)</f>
        <v>-0.14767149394869553</v>
      </c>
    </row>
    <row r="54" spans="1:26" s="24" customFormat="1" hidden="1" outlineLevel="2" x14ac:dyDescent="0.25">
      <c r="A54" s="29"/>
      <c r="B54" s="11" t="str">
        <f>CONCATENATE("          ", "6001", " - ", "ADMINISTRATIVE SALARIES")</f>
        <v xml:space="preserve">          6001 - ADMINISTRATIVE SALARIES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9"/>
      <c r="B55" s="11" t="str">
        <f>CONCATENATE("          ", "6002", " - ", "STAFF SALARIES")</f>
        <v xml:space="preserve">          6002 - STAFF SALARIES</v>
      </c>
      <c r="C55" s="11"/>
      <c r="D55" s="7">
        <v>-486.86</v>
      </c>
      <c r="E55" s="2"/>
      <c r="F55" s="6">
        <f t="shared" si="20"/>
        <v>-9.4568700025154349E-3</v>
      </c>
      <c r="G55" s="2"/>
      <c r="H55" s="7">
        <v>2382.4447115384601</v>
      </c>
      <c r="I55" s="2"/>
      <c r="J55" s="6">
        <f t="shared" si="21"/>
        <v>4.1711353319338139E-2</v>
      </c>
      <c r="K55" s="2"/>
      <c r="L55" s="7">
        <f t="shared" si="22"/>
        <v>-2869.3047115384602</v>
      </c>
      <c r="M55" s="2"/>
      <c r="N55" s="6">
        <f t="shared" si="23"/>
        <v>-1.2043531157898775</v>
      </c>
      <c r="O55" s="11"/>
      <c r="P55" s="7">
        <v>-486.86</v>
      </c>
      <c r="Q55" s="2"/>
      <c r="R55" s="6">
        <f t="shared" si="24"/>
        <v>-9.4568700025154349E-3</v>
      </c>
      <c r="S55" s="2"/>
      <c r="T55" s="7">
        <v>2382.4447115384601</v>
      </c>
      <c r="U55" s="2"/>
      <c r="V55" s="6">
        <f t="shared" si="25"/>
        <v>4.1711353319338139E-2</v>
      </c>
      <c r="W55" s="2"/>
      <c r="X55" s="7">
        <f t="shared" si="26"/>
        <v>-2869.3047115384602</v>
      </c>
      <c r="Y55" s="2"/>
      <c r="Z55" s="6">
        <f t="shared" si="27"/>
        <v>-1.2043531157898775</v>
      </c>
    </row>
    <row r="56" spans="1:26" s="24" customFormat="1" hidden="1" outlineLevel="2" x14ac:dyDescent="0.25">
      <c r="A56" s="29"/>
      <c r="B56" s="11" t="str">
        <f>CONCATENATE("          ", "6003", " - ", "STAFF HOURLY-9 MONTH")</f>
        <v xml:space="preserve">          6003 - STAFF HOURLY-9 MONTH</v>
      </c>
      <c r="C56" s="11"/>
      <c r="D56" s="7"/>
      <c r="E56" s="2"/>
      <c r="F56" s="6">
        <f t="shared" si="20"/>
        <v>0</v>
      </c>
      <c r="G56" s="2"/>
      <c r="H56" s="7">
        <v>0</v>
      </c>
      <c r="I56" s="2"/>
      <c r="J56" s="6">
        <f t="shared" si="21"/>
        <v>0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/>
      <c r="Q56" s="2"/>
      <c r="R56" s="6">
        <f t="shared" si="24"/>
        <v>0</v>
      </c>
      <c r="S56" s="2"/>
      <c r="T56" s="7">
        <v>0</v>
      </c>
      <c r="U56" s="2"/>
      <c r="V56" s="6">
        <f t="shared" si="25"/>
        <v>0</v>
      </c>
      <c r="W56" s="2"/>
      <c r="X56" s="7">
        <f t="shared" si="26"/>
        <v>0</v>
      </c>
      <c r="Y56" s="2"/>
      <c r="Z56" s="6">
        <f t="shared" si="27"/>
        <v>0</v>
      </c>
    </row>
    <row r="57" spans="1:26" s="24" customFormat="1" hidden="1" outlineLevel="2" x14ac:dyDescent="0.25">
      <c r="A57" s="29"/>
      <c r="B57" s="11" t="str">
        <f>CONCATENATE("          ", "6004", " - ", "STAFF HOURLY")</f>
        <v xml:space="preserve">          6004 - STAFF HOURLY</v>
      </c>
      <c r="C57" s="11"/>
      <c r="D57" s="7"/>
      <c r="E57" s="2"/>
      <c r="F57" s="6">
        <f t="shared" si="20"/>
        <v>0</v>
      </c>
      <c r="G57" s="2"/>
      <c r="H57" s="7">
        <v>2277.5875000000001</v>
      </c>
      <c r="I57" s="2"/>
      <c r="J57" s="6">
        <f t="shared" si="21"/>
        <v>3.9875534768175645E-2</v>
      </c>
      <c r="K57" s="2"/>
      <c r="L57" s="7">
        <f t="shared" si="22"/>
        <v>-2277.5875000000001</v>
      </c>
      <c r="M57" s="2"/>
      <c r="N57" s="6">
        <f t="shared" si="23"/>
        <v>-1</v>
      </c>
      <c r="O57" s="11"/>
      <c r="P57" s="7"/>
      <c r="Q57" s="2"/>
      <c r="R57" s="6">
        <f t="shared" si="24"/>
        <v>0</v>
      </c>
      <c r="S57" s="2"/>
      <c r="T57" s="7">
        <v>2277.5875000000001</v>
      </c>
      <c r="U57" s="2"/>
      <c r="V57" s="6">
        <f t="shared" si="25"/>
        <v>3.9875534768175645E-2</v>
      </c>
      <c r="W57" s="2"/>
      <c r="X57" s="7">
        <f t="shared" si="26"/>
        <v>-2277.5875000000001</v>
      </c>
      <c r="Y57" s="2"/>
      <c r="Z57" s="6">
        <f t="shared" si="27"/>
        <v>-1</v>
      </c>
    </row>
    <row r="58" spans="1:26" s="24" customFormat="1" hidden="1" outlineLevel="2" x14ac:dyDescent="0.25">
      <c r="A58" s="29"/>
      <c r="B58" s="11" t="str">
        <f>CONCATENATE("          ", "6005", " - ", "TEMPORARY WAGES-HOURLY")</f>
        <v xml:space="preserve">          6005 - TEMPORARY WAGES-HOURLY</v>
      </c>
      <c r="C58" s="11"/>
      <c r="D58" s="7">
        <v>332.35</v>
      </c>
      <c r="E58" s="2"/>
      <c r="F58" s="6">
        <f t="shared" si="20"/>
        <v>6.4556355940845519E-3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332.35</v>
      </c>
      <c r="M58" s="2"/>
      <c r="N58" s="6">
        <f t="shared" si="23"/>
        <v>0</v>
      </c>
      <c r="O58" s="11"/>
      <c r="P58" s="7">
        <v>332.35</v>
      </c>
      <c r="Q58" s="2"/>
      <c r="R58" s="6">
        <f t="shared" si="24"/>
        <v>6.4556355940845519E-3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332.35</v>
      </c>
      <c r="Y58" s="2"/>
      <c r="Z58" s="6">
        <f t="shared" si="27"/>
        <v>0</v>
      </c>
    </row>
    <row r="59" spans="1:26" s="24" customFormat="1" hidden="1" outlineLevel="2" x14ac:dyDescent="0.25">
      <c r="A59" s="29"/>
      <c r="B59" s="11" t="str">
        <f>CONCATENATE("          ", "6006", " - ", "TEMPORARY PART TIME")</f>
        <v xml:space="preserve">          6006 - TEMPORARY PART TIME</v>
      </c>
      <c r="C59" s="11"/>
      <c r="D59" s="7"/>
      <c r="E59" s="2"/>
      <c r="F59" s="6">
        <f t="shared" si="20"/>
        <v>0</v>
      </c>
      <c r="G59" s="2"/>
      <c r="H59" s="7">
        <v>0</v>
      </c>
      <c r="I59" s="2"/>
      <c r="J59" s="6">
        <f t="shared" si="21"/>
        <v>0</v>
      </c>
      <c r="K59" s="2"/>
      <c r="L59" s="7">
        <f t="shared" si="22"/>
        <v>0</v>
      </c>
      <c r="M59" s="2"/>
      <c r="N59" s="6">
        <f t="shared" si="23"/>
        <v>0</v>
      </c>
      <c r="O59" s="11"/>
      <c r="P59" s="7"/>
      <c r="Q59" s="2"/>
      <c r="R59" s="6">
        <f t="shared" si="24"/>
        <v>0</v>
      </c>
      <c r="S59" s="2"/>
      <c r="T59" s="7">
        <v>0</v>
      </c>
      <c r="U59" s="2"/>
      <c r="V59" s="6">
        <f t="shared" si="25"/>
        <v>0</v>
      </c>
      <c r="W59" s="2"/>
      <c r="X59" s="7">
        <f t="shared" si="26"/>
        <v>0</v>
      </c>
      <c r="Y59" s="2"/>
      <c r="Z59" s="6">
        <f t="shared" si="27"/>
        <v>0</v>
      </c>
    </row>
    <row r="60" spans="1:26" s="24" customFormat="1" hidden="1" outlineLevel="2" x14ac:dyDescent="0.25">
      <c r="A60" s="29"/>
      <c r="B60" s="11" t="str">
        <f>CONCATENATE("          ", "6007", " - ", "STUDENT HOURLY")</f>
        <v xml:space="preserve">          6007 - STUDENT HOURLY</v>
      </c>
      <c r="C60" s="11"/>
      <c r="D60" s="7">
        <v>10181.33</v>
      </c>
      <c r="E60" s="2"/>
      <c r="F60" s="6">
        <f t="shared" si="20"/>
        <v>0.19776427363659055</v>
      </c>
      <c r="G60" s="2"/>
      <c r="H60" s="7">
        <v>7104</v>
      </c>
      <c r="I60" s="2"/>
      <c r="J60" s="6">
        <f t="shared" si="21"/>
        <v>0.12437537481792456</v>
      </c>
      <c r="K60" s="2"/>
      <c r="L60" s="7">
        <f t="shared" si="22"/>
        <v>3077.33</v>
      </c>
      <c r="M60" s="2"/>
      <c r="N60" s="6">
        <f t="shared" si="23"/>
        <v>0.43318271396396396</v>
      </c>
      <c r="O60" s="11"/>
      <c r="P60" s="7">
        <v>10181.33</v>
      </c>
      <c r="Q60" s="2"/>
      <c r="R60" s="6">
        <f t="shared" si="24"/>
        <v>0.19776427363659055</v>
      </c>
      <c r="S60" s="2"/>
      <c r="T60" s="7">
        <v>7104</v>
      </c>
      <c r="U60" s="2"/>
      <c r="V60" s="6">
        <f t="shared" si="25"/>
        <v>0.12437537481792456</v>
      </c>
      <c r="W60" s="2"/>
      <c r="X60" s="7">
        <f t="shared" si="26"/>
        <v>3077.33</v>
      </c>
      <c r="Y60" s="2"/>
      <c r="Z60" s="6">
        <f t="shared" si="27"/>
        <v>0.43318271396396396</v>
      </c>
    </row>
    <row r="61" spans="1:26" s="24" customFormat="1" hidden="1" outlineLevel="2" x14ac:dyDescent="0.25">
      <c r="A61" s="29"/>
      <c r="B61" s="11" t="str">
        <f>CONCATENATE("          ", "6008", " - ", "STUDENT HOURLY-FICA EXEMPT")</f>
        <v xml:space="preserve">          6008 - STUDENT HOURLY-FICA EXEMPT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4" customFormat="1" hidden="1" outlineLevel="2" x14ac:dyDescent="0.25">
      <c r="A62" s="29"/>
      <c r="B62" s="11" t="str">
        <f>CONCATENATE("          ", "6009", " - ", "TEMPORARY-SEASONAL")</f>
        <v xml:space="preserve">          6009 - TEMPORARY-SEASONAL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25">
      <c r="A63" s="29"/>
      <c r="B63" s="11" t="str">
        <f>CONCATENATE("          ", "6010", " - ", "GRATUITY")</f>
        <v xml:space="preserve">          6010 - GRATUITY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7" customFormat="1" outlineLevel="1" collapsed="1" x14ac:dyDescent="0.25">
      <c r="A64" s="28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0</v>
      </c>
      <c r="E64" s="1"/>
      <c r="F64" s="5">
        <f t="shared" ref="F64:F68" si="28">IF(D$12=0,0,D64/D$12)</f>
        <v>0</v>
      </c>
      <c r="G64" s="1"/>
      <c r="H64" s="1">
        <f>SUM(OSRRefH22_2x_0)</f>
        <v>500</v>
      </c>
      <c r="I64" s="1"/>
      <c r="J64" s="5">
        <f t="shared" ref="J64:J68" si="29">IF(H$12=0,0,H64/H$12)</f>
        <v>8.7538974393246462E-3</v>
      </c>
      <c r="K64" s="1"/>
      <c r="L64" s="1">
        <f t="shared" ref="L64:L68" si="30">+D64-H64</f>
        <v>-500</v>
      </c>
      <c r="M64" s="1"/>
      <c r="N64" s="5">
        <f t="shared" ref="N64:N68" si="31">IF(H64=0,0,L64/H64)</f>
        <v>-1</v>
      </c>
      <c r="O64" s="14"/>
      <c r="P64" s="1">
        <f>SUM(OSRRefP22_2x_0)</f>
        <v>0</v>
      </c>
      <c r="Q64" s="1"/>
      <c r="R64" s="5">
        <f t="shared" ref="R64:R68" si="32">IF(P$12=0,0,P64/P$12)</f>
        <v>0</v>
      </c>
      <c r="S64" s="1"/>
      <c r="T64" s="1">
        <f>SUM(OSRRefT22_2x_0)</f>
        <v>500</v>
      </c>
      <c r="U64" s="1"/>
      <c r="V64" s="5">
        <f t="shared" ref="V64:V68" si="33">IF(T$12=0,0,T64/T$12)</f>
        <v>8.7538974393246462E-3</v>
      </c>
      <c r="W64" s="1"/>
      <c r="X64" s="1">
        <f t="shared" ref="X64:X68" si="34">+P64-T64</f>
        <v>-500</v>
      </c>
      <c r="Y64" s="1"/>
      <c r="Z64" s="5">
        <f t="shared" ref="Z64:Z68" si="35">IF(T64=0,0,X64/T64)</f>
        <v>-1</v>
      </c>
    </row>
    <row r="65" spans="1:26" s="24" customFormat="1" hidden="1" outlineLevel="2" x14ac:dyDescent="0.25">
      <c r="A65" s="29"/>
      <c r="B65" s="11" t="str">
        <f>CONCATENATE("          ", "6362", " - ", "ADVERTISING EXPENSE")</f>
        <v xml:space="preserve">          6362 - ADVERTISING EXPENSE</v>
      </c>
      <c r="C65" s="11"/>
      <c r="D65" s="7"/>
      <c r="E65" s="2"/>
      <c r="F65" s="6">
        <f t="shared" si="28"/>
        <v>0</v>
      </c>
      <c r="G65" s="2"/>
      <c r="H65" s="7">
        <v>500</v>
      </c>
      <c r="I65" s="2"/>
      <c r="J65" s="6">
        <f t="shared" si="29"/>
        <v>8.7538974393246462E-3</v>
      </c>
      <c r="K65" s="2"/>
      <c r="L65" s="7">
        <f t="shared" si="30"/>
        <v>-500</v>
      </c>
      <c r="M65" s="2"/>
      <c r="N65" s="6">
        <f t="shared" si="31"/>
        <v>-1</v>
      </c>
      <c r="O65" s="11"/>
      <c r="P65" s="7"/>
      <c r="Q65" s="2"/>
      <c r="R65" s="6">
        <f t="shared" si="32"/>
        <v>0</v>
      </c>
      <c r="S65" s="2"/>
      <c r="T65" s="7">
        <v>500</v>
      </c>
      <c r="U65" s="2"/>
      <c r="V65" s="6">
        <f t="shared" si="33"/>
        <v>8.7538974393246462E-3</v>
      </c>
      <c r="W65" s="2"/>
      <c r="X65" s="7">
        <f t="shared" si="34"/>
        <v>-500</v>
      </c>
      <c r="Y65" s="2"/>
      <c r="Z65" s="6">
        <f t="shared" si="35"/>
        <v>-1</v>
      </c>
    </row>
    <row r="66" spans="1:26" s="27" customFormat="1" outlineLevel="1" collapsed="1" x14ac:dyDescent="0.25">
      <c r="A66" s="28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SUM(OSRRefD22_3x_0)</f>
        <v>-6.13</v>
      </c>
      <c r="E66" s="1"/>
      <c r="F66" s="5">
        <f t="shared" si="28"/>
        <v>-1.190703962441351E-4</v>
      </c>
      <c r="G66" s="1"/>
      <c r="H66" s="1">
        <f>SUM(OSRRefH22_3x_0)</f>
        <v>10</v>
      </c>
      <c r="I66" s="1"/>
      <c r="J66" s="5">
        <f t="shared" si="29"/>
        <v>1.7507794878649291E-4</v>
      </c>
      <c r="K66" s="1"/>
      <c r="L66" s="1">
        <f t="shared" si="30"/>
        <v>-16.13</v>
      </c>
      <c r="M66" s="1"/>
      <c r="N66" s="5">
        <f t="shared" si="31"/>
        <v>-1.613</v>
      </c>
      <c r="O66" s="14"/>
      <c r="P66" s="1">
        <f>SUM(OSRRefP22_3x_0)</f>
        <v>-6.13</v>
      </c>
      <c r="Q66" s="1"/>
      <c r="R66" s="5">
        <f t="shared" si="32"/>
        <v>-1.190703962441351E-4</v>
      </c>
      <c r="S66" s="1"/>
      <c r="T66" s="1">
        <f>SUM(OSRRefT22_3x_0)</f>
        <v>10</v>
      </c>
      <c r="U66" s="1"/>
      <c r="V66" s="5">
        <f t="shared" si="33"/>
        <v>1.7507794878649291E-4</v>
      </c>
      <c r="W66" s="1"/>
      <c r="X66" s="1">
        <f t="shared" si="34"/>
        <v>-16.13</v>
      </c>
      <c r="Y66" s="1"/>
      <c r="Z66" s="5">
        <f t="shared" si="35"/>
        <v>-1.613</v>
      </c>
    </row>
    <row r="67" spans="1:26" s="24" customFormat="1" hidden="1" outlineLevel="2" x14ac:dyDescent="0.25">
      <c r="A67" s="29"/>
      <c r="B67" s="11" t="str">
        <f>CONCATENATE("          ", "6272", " - ", "CASH (OVER/SHORT)")</f>
        <v xml:space="preserve">          6272 - CASH (OVER/SHORT)</v>
      </c>
      <c r="C67" s="11"/>
      <c r="D67" s="7">
        <v>-6.13</v>
      </c>
      <c r="E67" s="2"/>
      <c r="F67" s="6">
        <f t="shared" si="28"/>
        <v>-1.190703962441351E-4</v>
      </c>
      <c r="G67" s="2"/>
      <c r="H67" s="7"/>
      <c r="I67" s="2"/>
      <c r="J67" s="6">
        <f t="shared" si="29"/>
        <v>0</v>
      </c>
      <c r="K67" s="2"/>
      <c r="L67" s="7">
        <f t="shared" si="30"/>
        <v>-6.13</v>
      </c>
      <c r="M67" s="2"/>
      <c r="N67" s="6">
        <f t="shared" si="31"/>
        <v>0</v>
      </c>
      <c r="O67" s="11"/>
      <c r="P67" s="7">
        <v>-6.13</v>
      </c>
      <c r="Q67" s="2"/>
      <c r="R67" s="6">
        <f t="shared" si="32"/>
        <v>-1.190703962441351E-4</v>
      </c>
      <c r="S67" s="2"/>
      <c r="T67" s="7"/>
      <c r="U67" s="2"/>
      <c r="V67" s="6">
        <f t="shared" si="33"/>
        <v>0</v>
      </c>
      <c r="W67" s="2"/>
      <c r="X67" s="7">
        <f t="shared" si="34"/>
        <v>-6.13</v>
      </c>
      <c r="Y67" s="2"/>
      <c r="Z67" s="6">
        <f t="shared" si="35"/>
        <v>0</v>
      </c>
    </row>
    <row r="68" spans="1:26" s="24" customFormat="1" hidden="1" outlineLevel="2" x14ac:dyDescent="0.25">
      <c r="A68" s="29"/>
      <c r="B68" s="11" t="str">
        <f>CONCATENATE("          ", "6342", " - ", "BAD DEBT")</f>
        <v xml:space="preserve">          6342 - BAD DEBT</v>
      </c>
      <c r="C68" s="11"/>
      <c r="D68" s="7"/>
      <c r="E68" s="2"/>
      <c r="F68" s="6">
        <f t="shared" si="28"/>
        <v>0</v>
      </c>
      <c r="G68" s="2"/>
      <c r="H68" s="7">
        <v>10</v>
      </c>
      <c r="I68" s="2"/>
      <c r="J68" s="6">
        <f t="shared" si="29"/>
        <v>1.7507794878649291E-4</v>
      </c>
      <c r="K68" s="2"/>
      <c r="L68" s="7">
        <f t="shared" si="30"/>
        <v>-10</v>
      </c>
      <c r="M68" s="2"/>
      <c r="N68" s="6">
        <f t="shared" si="31"/>
        <v>-1</v>
      </c>
      <c r="O68" s="11"/>
      <c r="P68" s="7"/>
      <c r="Q68" s="2"/>
      <c r="R68" s="6">
        <f t="shared" si="32"/>
        <v>0</v>
      </c>
      <c r="S68" s="2"/>
      <c r="T68" s="7">
        <v>10</v>
      </c>
      <c r="U68" s="2"/>
      <c r="V68" s="6">
        <f t="shared" si="33"/>
        <v>1.7507794878649291E-4</v>
      </c>
      <c r="W68" s="2"/>
      <c r="X68" s="7">
        <f t="shared" si="34"/>
        <v>-10</v>
      </c>
      <c r="Y68" s="2"/>
      <c r="Z68" s="6">
        <f t="shared" si="35"/>
        <v>-1</v>
      </c>
    </row>
    <row r="69" spans="1:26" s="27" customFormat="1" outlineLevel="1" collapsed="1" x14ac:dyDescent="0.25">
      <c r="A69" s="28"/>
      <c r="B69" s="14" t="str">
        <f>CONCATENATE("     ","Bank/card Fees                                    ")</f>
        <v xml:space="preserve">     Bank/card Fees                                    </v>
      </c>
      <c r="C69" s="14"/>
      <c r="D69" s="1">
        <f>SUM(OSRRefD22_4x_0)</f>
        <v>677.71</v>
      </c>
      <c r="E69" s="1"/>
      <c r="F69" s="5">
        <f t="shared" ref="F69:F89" si="36">IF(D$12=0,0,D69/D$12)</f>
        <v>1.3163980136804698E-2</v>
      </c>
      <c r="G69" s="1"/>
      <c r="H69" s="1">
        <f>SUM(OSRRefH22_4x_0)</f>
        <v>600</v>
      </c>
      <c r="I69" s="1"/>
      <c r="J69" s="5">
        <f t="shared" ref="J69:J89" si="37">IF(H$12=0,0,H69/H$12)</f>
        <v>1.0504676927189574E-2</v>
      </c>
      <c r="K69" s="1"/>
      <c r="L69" s="1">
        <f t="shared" ref="L69:L89" si="38">+D69-H69</f>
        <v>77.710000000000036</v>
      </c>
      <c r="M69" s="1"/>
      <c r="N69" s="5">
        <f t="shared" ref="N69:N89" si="39">IF(H69=0,0,L69/H69)</f>
        <v>0.12951666666666672</v>
      </c>
      <c r="O69" s="14"/>
      <c r="P69" s="1">
        <f>SUM(OSRRefP22_4x_0)</f>
        <v>677.71</v>
      </c>
      <c r="Q69" s="1"/>
      <c r="R69" s="5">
        <f t="shared" ref="R69:R89" si="40">IF(P$12=0,0,P69/P$12)</f>
        <v>1.3163980136804698E-2</v>
      </c>
      <c r="S69" s="1"/>
      <c r="T69" s="1">
        <f>SUM(OSRRefT22_4x_0)</f>
        <v>600</v>
      </c>
      <c r="U69" s="1"/>
      <c r="V69" s="5">
        <f t="shared" ref="V69:V89" si="41">IF(T$12=0,0,T69/T$12)</f>
        <v>1.0504676927189574E-2</v>
      </c>
      <c r="W69" s="1"/>
      <c r="X69" s="1">
        <f t="shared" ref="X69:X89" si="42">+P69-T69</f>
        <v>77.710000000000036</v>
      </c>
      <c r="Y69" s="1"/>
      <c r="Z69" s="5">
        <f t="shared" ref="Z69:Z89" si="43">IF(T69=0,0,X69/T69)</f>
        <v>0.12951666666666672</v>
      </c>
    </row>
    <row r="70" spans="1:26" s="24" customFormat="1" hidden="1" outlineLevel="2" x14ac:dyDescent="0.25">
      <c r="A70" s="29"/>
      <c r="B70" s="11" t="str">
        <f>CONCATENATE("          ", "6381", " - ", "BANK/CREDIT CARD FEES")</f>
        <v xml:space="preserve">          6381 - BANK/CREDIT CARD FEES</v>
      </c>
      <c r="C70" s="11"/>
      <c r="D70" s="7">
        <v>677.71</v>
      </c>
      <c r="E70" s="2"/>
      <c r="F70" s="6">
        <f t="shared" si="36"/>
        <v>1.3163980136804698E-2</v>
      </c>
      <c r="G70" s="2"/>
      <c r="H70" s="7">
        <v>600</v>
      </c>
      <c r="I70" s="2"/>
      <c r="J70" s="6">
        <f t="shared" si="37"/>
        <v>1.0504676927189574E-2</v>
      </c>
      <c r="K70" s="2"/>
      <c r="L70" s="7">
        <f t="shared" si="38"/>
        <v>77.710000000000036</v>
      </c>
      <c r="M70" s="2"/>
      <c r="N70" s="6">
        <f t="shared" si="39"/>
        <v>0.12951666666666672</v>
      </c>
      <c r="O70" s="11"/>
      <c r="P70" s="7">
        <v>677.71</v>
      </c>
      <c r="Q70" s="2"/>
      <c r="R70" s="6">
        <f t="shared" si="40"/>
        <v>1.3163980136804698E-2</v>
      </c>
      <c r="S70" s="2"/>
      <c r="T70" s="7">
        <v>600</v>
      </c>
      <c r="U70" s="2"/>
      <c r="V70" s="6">
        <f t="shared" si="41"/>
        <v>1.0504676927189574E-2</v>
      </c>
      <c r="W70" s="2"/>
      <c r="X70" s="7">
        <f t="shared" si="42"/>
        <v>77.710000000000036</v>
      </c>
      <c r="Y70" s="2"/>
      <c r="Z70" s="6">
        <f t="shared" si="43"/>
        <v>0.12951666666666672</v>
      </c>
    </row>
    <row r="71" spans="1:26" s="27" customFormat="1" outlineLevel="1" collapsed="1" x14ac:dyDescent="0.25">
      <c r="A71" s="28"/>
      <c r="B71" s="14" t="str">
        <f>CONCATENATE("     ","Discounts and Markdowns                           ")</f>
        <v xml:space="preserve">     Discounts and Markdowns                           </v>
      </c>
      <c r="C71" s="14"/>
      <c r="D71" s="1">
        <f>SUM(OSRRefD22_5x_0)</f>
        <v>6180.14</v>
      </c>
      <c r="E71" s="1"/>
      <c r="F71" s="5">
        <f t="shared" si="36"/>
        <v>0.12004432604310426</v>
      </c>
      <c r="G71" s="1"/>
      <c r="H71" s="1">
        <f>SUM(OSRRefH22_5x_0)</f>
        <v>3000</v>
      </c>
      <c r="I71" s="1"/>
      <c r="J71" s="5">
        <f t="shared" si="37"/>
        <v>5.252338463594787E-2</v>
      </c>
      <c r="K71" s="1"/>
      <c r="L71" s="1">
        <f t="shared" si="38"/>
        <v>3180.1400000000003</v>
      </c>
      <c r="M71" s="1"/>
      <c r="N71" s="5">
        <f t="shared" si="39"/>
        <v>1.0600466666666668</v>
      </c>
      <c r="O71" s="14"/>
      <c r="P71" s="1">
        <f>SUM(OSRRefP22_5x_0)</f>
        <v>6180.14</v>
      </c>
      <c r="Q71" s="1"/>
      <c r="R71" s="5">
        <f t="shared" si="40"/>
        <v>0.12004432604310426</v>
      </c>
      <c r="S71" s="1"/>
      <c r="T71" s="1">
        <f>SUM(OSRRefT22_5x_0)</f>
        <v>3000</v>
      </c>
      <c r="U71" s="1"/>
      <c r="V71" s="5">
        <f t="shared" si="41"/>
        <v>5.252338463594787E-2</v>
      </c>
      <c r="W71" s="1"/>
      <c r="X71" s="1">
        <f t="shared" si="42"/>
        <v>3180.1400000000003</v>
      </c>
      <c r="Y71" s="1"/>
      <c r="Z71" s="5">
        <f t="shared" si="43"/>
        <v>1.0600466666666668</v>
      </c>
    </row>
    <row r="72" spans="1:26" s="24" customFormat="1" hidden="1" outlineLevel="2" x14ac:dyDescent="0.25">
      <c r="A72" s="29"/>
      <c r="B72" s="11" t="str">
        <f>CONCATENATE("          ", "6382", " - ", "DISCOUNTS/MARK DOWNS")</f>
        <v xml:space="preserve">          6382 - DISCOUNTS/MARK DOWNS</v>
      </c>
      <c r="C72" s="11"/>
      <c r="D72" s="7">
        <v>6180.14</v>
      </c>
      <c r="E72" s="2"/>
      <c r="F72" s="6">
        <f t="shared" si="36"/>
        <v>0.12004432604310426</v>
      </c>
      <c r="G72" s="2"/>
      <c r="H72" s="7">
        <v>3000</v>
      </c>
      <c r="I72" s="2"/>
      <c r="J72" s="6">
        <f t="shared" si="37"/>
        <v>5.252338463594787E-2</v>
      </c>
      <c r="K72" s="2"/>
      <c r="L72" s="7">
        <f t="shared" si="38"/>
        <v>3180.1400000000003</v>
      </c>
      <c r="M72" s="2"/>
      <c r="N72" s="6">
        <f t="shared" si="39"/>
        <v>1.0600466666666668</v>
      </c>
      <c r="O72" s="11"/>
      <c r="P72" s="7">
        <v>6180.14</v>
      </c>
      <c r="Q72" s="2"/>
      <c r="R72" s="6">
        <f t="shared" si="40"/>
        <v>0.12004432604310426</v>
      </c>
      <c r="S72" s="2"/>
      <c r="T72" s="7">
        <v>3000</v>
      </c>
      <c r="U72" s="2"/>
      <c r="V72" s="6">
        <f t="shared" si="41"/>
        <v>5.252338463594787E-2</v>
      </c>
      <c r="W72" s="2"/>
      <c r="X72" s="7">
        <f t="shared" si="42"/>
        <v>3180.1400000000003</v>
      </c>
      <c r="Y72" s="2"/>
      <c r="Z72" s="6">
        <f t="shared" si="43"/>
        <v>1.0600466666666668</v>
      </c>
    </row>
    <row r="73" spans="1:26" s="27" customFormat="1" outlineLevel="1" collapsed="1" x14ac:dyDescent="0.25">
      <c r="A73" s="28"/>
      <c r="B73" s="14" t="str">
        <f>CONCATENATE("     ","Donations                                         ")</f>
        <v xml:space="preserve">     Donations                                         </v>
      </c>
      <c r="C73" s="14"/>
      <c r="D73" s="1">
        <f>SUM(OSRRefD22_6x_0)</f>
        <v>0</v>
      </c>
      <c r="E73" s="1"/>
      <c r="F73" s="5">
        <f t="shared" si="36"/>
        <v>0</v>
      </c>
      <c r="G73" s="1"/>
      <c r="H73" s="1">
        <f>SUM(OSRRefH22_6x_0)</f>
        <v>100</v>
      </c>
      <c r="I73" s="1"/>
      <c r="J73" s="5">
        <f t="shared" si="37"/>
        <v>1.7507794878649291E-3</v>
      </c>
      <c r="K73" s="1"/>
      <c r="L73" s="1">
        <f t="shared" si="38"/>
        <v>-100</v>
      </c>
      <c r="M73" s="1"/>
      <c r="N73" s="5">
        <f t="shared" si="39"/>
        <v>-1</v>
      </c>
      <c r="O73" s="14"/>
      <c r="P73" s="1">
        <f>SUM(OSRRefP22_6x_0)</f>
        <v>0</v>
      </c>
      <c r="Q73" s="1"/>
      <c r="R73" s="5">
        <f t="shared" si="40"/>
        <v>0</v>
      </c>
      <c r="S73" s="1"/>
      <c r="T73" s="1">
        <f>SUM(OSRRefT22_6x_0)</f>
        <v>100</v>
      </c>
      <c r="U73" s="1"/>
      <c r="V73" s="5">
        <f t="shared" si="41"/>
        <v>1.7507794878649291E-3</v>
      </c>
      <c r="W73" s="1"/>
      <c r="X73" s="1">
        <f t="shared" si="42"/>
        <v>-100</v>
      </c>
      <c r="Y73" s="1"/>
      <c r="Z73" s="5">
        <f t="shared" si="43"/>
        <v>-1</v>
      </c>
    </row>
    <row r="74" spans="1:26" s="24" customFormat="1" hidden="1" outlineLevel="2" x14ac:dyDescent="0.25">
      <c r="A74" s="29"/>
      <c r="B74" s="11" t="str">
        <f>CONCATENATE("          ", "6395", " - ", "DONATION-OFF CAMPUS")</f>
        <v xml:space="preserve">          6395 - DONATION-OFF CAMPUS</v>
      </c>
      <c r="C74" s="11"/>
      <c r="D74" s="7"/>
      <c r="E74" s="2"/>
      <c r="F74" s="6">
        <f t="shared" si="36"/>
        <v>0</v>
      </c>
      <c r="G74" s="2"/>
      <c r="H74" s="7">
        <v>100</v>
      </c>
      <c r="I74" s="2"/>
      <c r="J74" s="6">
        <f t="shared" si="37"/>
        <v>1.7507794878649291E-3</v>
      </c>
      <c r="K74" s="2"/>
      <c r="L74" s="7">
        <f t="shared" si="38"/>
        <v>-100</v>
      </c>
      <c r="M74" s="2"/>
      <c r="N74" s="6">
        <f t="shared" si="39"/>
        <v>-1</v>
      </c>
      <c r="O74" s="11"/>
      <c r="P74" s="7"/>
      <c r="Q74" s="2"/>
      <c r="R74" s="6">
        <f t="shared" si="40"/>
        <v>0</v>
      </c>
      <c r="S74" s="2"/>
      <c r="T74" s="7">
        <v>100</v>
      </c>
      <c r="U74" s="2"/>
      <c r="V74" s="6">
        <f t="shared" si="41"/>
        <v>1.7507794878649291E-3</v>
      </c>
      <c r="W74" s="2"/>
      <c r="X74" s="7">
        <f t="shared" si="42"/>
        <v>-100</v>
      </c>
      <c r="Y74" s="2"/>
      <c r="Z74" s="6">
        <f t="shared" si="43"/>
        <v>-1</v>
      </c>
    </row>
    <row r="75" spans="1:26" s="27" customFormat="1" outlineLevel="1" collapsed="1" x14ac:dyDescent="0.25">
      <c r="A75" s="28"/>
      <c r="B75" s="14" t="str">
        <f>CONCATENATE("     ","Employees' Appreciation                           ")</f>
        <v xml:space="preserve">     Employees' Appreciation                           </v>
      </c>
      <c r="C75" s="14"/>
      <c r="D75" s="1">
        <f>SUM(OSRRefD22_7x_0)</f>
        <v>120.93</v>
      </c>
      <c r="E75" s="1"/>
      <c r="F75" s="5">
        <f t="shared" si="36"/>
        <v>2.3489694971946589E-3</v>
      </c>
      <c r="G75" s="1"/>
      <c r="H75" s="1">
        <f>SUM(OSRRefH22_7x_0)</f>
        <v>75</v>
      </c>
      <c r="I75" s="1"/>
      <c r="J75" s="5">
        <f t="shared" si="37"/>
        <v>1.3130846158986968E-3</v>
      </c>
      <c r="K75" s="1"/>
      <c r="L75" s="1">
        <f t="shared" si="38"/>
        <v>45.930000000000007</v>
      </c>
      <c r="M75" s="1"/>
      <c r="N75" s="5">
        <f t="shared" si="39"/>
        <v>0.61240000000000006</v>
      </c>
      <c r="O75" s="14"/>
      <c r="P75" s="1">
        <f>SUM(OSRRefP22_7x_0)</f>
        <v>120.93</v>
      </c>
      <c r="Q75" s="1"/>
      <c r="R75" s="5">
        <f t="shared" si="40"/>
        <v>2.3489694971946589E-3</v>
      </c>
      <c r="S75" s="1"/>
      <c r="T75" s="1">
        <f>SUM(OSRRefT22_7x_0)</f>
        <v>75</v>
      </c>
      <c r="U75" s="1"/>
      <c r="V75" s="5">
        <f t="shared" si="41"/>
        <v>1.3130846158986968E-3</v>
      </c>
      <c r="W75" s="1"/>
      <c r="X75" s="1">
        <f t="shared" si="42"/>
        <v>45.930000000000007</v>
      </c>
      <c r="Y75" s="1"/>
      <c r="Z75" s="5">
        <f t="shared" si="43"/>
        <v>0.61240000000000006</v>
      </c>
    </row>
    <row r="76" spans="1:26" s="24" customFormat="1" hidden="1" outlineLevel="2" x14ac:dyDescent="0.25">
      <c r="A76" s="29"/>
      <c r="B76" s="11" t="str">
        <f>CONCATENATE("          ", "6277", " - ", "EMPLOYEE APPRECIATION")</f>
        <v xml:space="preserve">          6277 - EMPLOYEE APPRECIATION</v>
      </c>
      <c r="C76" s="11"/>
      <c r="D76" s="7">
        <v>120.93</v>
      </c>
      <c r="E76" s="2"/>
      <c r="F76" s="6">
        <f t="shared" si="36"/>
        <v>2.3489694971946589E-3</v>
      </c>
      <c r="G76" s="2"/>
      <c r="H76" s="7">
        <v>75</v>
      </c>
      <c r="I76" s="2"/>
      <c r="J76" s="6">
        <f t="shared" si="37"/>
        <v>1.3130846158986968E-3</v>
      </c>
      <c r="K76" s="2"/>
      <c r="L76" s="7">
        <f t="shared" si="38"/>
        <v>45.930000000000007</v>
      </c>
      <c r="M76" s="2"/>
      <c r="N76" s="6">
        <f t="shared" si="39"/>
        <v>0.61240000000000006</v>
      </c>
      <c r="O76" s="11"/>
      <c r="P76" s="7">
        <v>120.93</v>
      </c>
      <c r="Q76" s="2"/>
      <c r="R76" s="6">
        <f t="shared" si="40"/>
        <v>2.3489694971946589E-3</v>
      </c>
      <c r="S76" s="2"/>
      <c r="T76" s="7">
        <v>75</v>
      </c>
      <c r="U76" s="2"/>
      <c r="V76" s="6">
        <f t="shared" si="41"/>
        <v>1.3130846158986968E-3</v>
      </c>
      <c r="W76" s="2"/>
      <c r="X76" s="7">
        <f t="shared" si="42"/>
        <v>45.930000000000007</v>
      </c>
      <c r="Y76" s="2"/>
      <c r="Z76" s="6">
        <f t="shared" si="43"/>
        <v>0.61240000000000006</v>
      </c>
    </row>
    <row r="77" spans="1:26" s="27" customFormat="1" outlineLevel="1" collapsed="1" x14ac:dyDescent="0.25">
      <c r="A77" s="28"/>
      <c r="B77" s="14" t="str">
        <f>CONCATENATE("     ","General                                           ")</f>
        <v xml:space="preserve">     General                                           </v>
      </c>
      <c r="C77" s="14"/>
      <c r="D77" s="1">
        <f>SUM(OSRRefD22_8x_0)</f>
        <v>0</v>
      </c>
      <c r="E77" s="1"/>
      <c r="F77" s="5">
        <f t="shared" si="36"/>
        <v>0</v>
      </c>
      <c r="G77" s="1"/>
      <c r="H77" s="1">
        <f>SUM(OSRRefH22_8x_0)</f>
        <v>120</v>
      </c>
      <c r="I77" s="1"/>
      <c r="J77" s="5">
        <f t="shared" si="37"/>
        <v>2.100935385437915E-3</v>
      </c>
      <c r="K77" s="1"/>
      <c r="L77" s="1">
        <f t="shared" si="38"/>
        <v>-120</v>
      </c>
      <c r="M77" s="1"/>
      <c r="N77" s="5">
        <f t="shared" si="39"/>
        <v>-1</v>
      </c>
      <c r="O77" s="14"/>
      <c r="P77" s="1">
        <f>SUM(OSRRefP22_8x_0)</f>
        <v>0</v>
      </c>
      <c r="Q77" s="1"/>
      <c r="R77" s="5">
        <f t="shared" si="40"/>
        <v>0</v>
      </c>
      <c r="S77" s="1"/>
      <c r="T77" s="1">
        <f>SUM(OSRRefT22_8x_0)</f>
        <v>120</v>
      </c>
      <c r="U77" s="1"/>
      <c r="V77" s="5">
        <f t="shared" si="41"/>
        <v>2.100935385437915E-3</v>
      </c>
      <c r="W77" s="1"/>
      <c r="X77" s="1">
        <f t="shared" si="42"/>
        <v>-120</v>
      </c>
      <c r="Y77" s="1"/>
      <c r="Z77" s="5">
        <f t="shared" si="43"/>
        <v>-1</v>
      </c>
    </row>
    <row r="78" spans="1:26" s="24" customFormat="1" hidden="1" outlineLevel="2" x14ac:dyDescent="0.25">
      <c r="A78" s="29"/>
      <c r="B78" s="11" t="str">
        <f>CONCATENATE("          ", "6279", " - ", "GENERAL EXPENSE")</f>
        <v xml:space="preserve">          6279 - GENERAL EXPENSE</v>
      </c>
      <c r="C78" s="11"/>
      <c r="D78" s="7"/>
      <c r="E78" s="2"/>
      <c r="F78" s="6">
        <f t="shared" si="36"/>
        <v>0</v>
      </c>
      <c r="G78" s="2"/>
      <c r="H78" s="7">
        <v>120</v>
      </c>
      <c r="I78" s="2"/>
      <c r="J78" s="6">
        <f t="shared" si="37"/>
        <v>2.100935385437915E-3</v>
      </c>
      <c r="K78" s="2"/>
      <c r="L78" s="7">
        <f t="shared" si="38"/>
        <v>-120</v>
      </c>
      <c r="M78" s="2"/>
      <c r="N78" s="6">
        <f t="shared" si="39"/>
        <v>-1</v>
      </c>
      <c r="O78" s="11"/>
      <c r="P78" s="7"/>
      <c r="Q78" s="2"/>
      <c r="R78" s="6">
        <f t="shared" si="40"/>
        <v>0</v>
      </c>
      <c r="S78" s="2"/>
      <c r="T78" s="7">
        <v>120</v>
      </c>
      <c r="U78" s="2"/>
      <c r="V78" s="6">
        <f t="shared" si="41"/>
        <v>2.100935385437915E-3</v>
      </c>
      <c r="W78" s="2"/>
      <c r="X78" s="7">
        <f t="shared" si="42"/>
        <v>-120</v>
      </c>
      <c r="Y78" s="2"/>
      <c r="Z78" s="6">
        <f t="shared" si="43"/>
        <v>-1</v>
      </c>
    </row>
    <row r="79" spans="1:26" s="27" customFormat="1" outlineLevel="1" collapsed="1" x14ac:dyDescent="0.25">
      <c r="A79" s="28"/>
      <c r="B79" s="14" t="str">
        <f>CONCATENATE("     ","Insurance                                         ")</f>
        <v xml:space="preserve">     Insurance                                         </v>
      </c>
      <c r="C79" s="14"/>
      <c r="D79" s="1">
        <f>SUM(OSRRefD22_9x_0)</f>
        <v>161.18</v>
      </c>
      <c r="E79" s="1"/>
      <c r="F79" s="5">
        <f t="shared" si="36"/>
        <v>3.1307938771010925E-3</v>
      </c>
      <c r="G79" s="1"/>
      <c r="H79" s="1">
        <f>SUM(OSRRefH22_9x_0)</f>
        <v>155</v>
      </c>
      <c r="I79" s="1"/>
      <c r="J79" s="5">
        <f t="shared" si="37"/>
        <v>2.7137082061906401E-3</v>
      </c>
      <c r="K79" s="1"/>
      <c r="L79" s="1">
        <f t="shared" si="38"/>
        <v>6.1800000000000068</v>
      </c>
      <c r="M79" s="1"/>
      <c r="N79" s="5">
        <f t="shared" si="39"/>
        <v>3.9870967741935527E-2</v>
      </c>
      <c r="O79" s="14"/>
      <c r="P79" s="1">
        <f>SUM(OSRRefP22_9x_0)</f>
        <v>161.18</v>
      </c>
      <c r="Q79" s="1"/>
      <c r="R79" s="5">
        <f t="shared" si="40"/>
        <v>3.1307938771010925E-3</v>
      </c>
      <c r="S79" s="1"/>
      <c r="T79" s="1">
        <f>SUM(OSRRefT22_9x_0)</f>
        <v>155</v>
      </c>
      <c r="U79" s="1"/>
      <c r="V79" s="5">
        <f t="shared" si="41"/>
        <v>2.7137082061906401E-3</v>
      </c>
      <c r="W79" s="1"/>
      <c r="X79" s="1">
        <f t="shared" si="42"/>
        <v>6.1800000000000068</v>
      </c>
      <c r="Y79" s="1"/>
      <c r="Z79" s="5">
        <f t="shared" si="43"/>
        <v>3.9870967741935527E-2</v>
      </c>
    </row>
    <row r="80" spans="1:26" s="24" customFormat="1" hidden="1" outlineLevel="2" x14ac:dyDescent="0.25">
      <c r="A80" s="29"/>
      <c r="B80" s="11" t="str">
        <f>CONCATENATE("          ", "6314", " - ", "LIABILITY INSURANCE")</f>
        <v xml:space="preserve">          6314 - LIABILITY INSURANCE</v>
      </c>
      <c r="C80" s="11"/>
      <c r="D80" s="7">
        <v>161.18</v>
      </c>
      <c r="E80" s="2"/>
      <c r="F80" s="6">
        <f t="shared" si="36"/>
        <v>3.1307938771010925E-3</v>
      </c>
      <c r="G80" s="2"/>
      <c r="H80" s="7">
        <v>155</v>
      </c>
      <c r="I80" s="2"/>
      <c r="J80" s="6">
        <f t="shared" si="37"/>
        <v>2.7137082061906401E-3</v>
      </c>
      <c r="K80" s="2"/>
      <c r="L80" s="7">
        <f t="shared" si="38"/>
        <v>6.1800000000000068</v>
      </c>
      <c r="M80" s="2"/>
      <c r="N80" s="6">
        <f t="shared" si="39"/>
        <v>3.9870967741935527E-2</v>
      </c>
      <c r="O80" s="11"/>
      <c r="P80" s="7">
        <v>161.18</v>
      </c>
      <c r="Q80" s="2"/>
      <c r="R80" s="6">
        <f t="shared" si="40"/>
        <v>3.1307938771010925E-3</v>
      </c>
      <c r="S80" s="2"/>
      <c r="T80" s="7">
        <v>155</v>
      </c>
      <c r="U80" s="2"/>
      <c r="V80" s="6">
        <f t="shared" si="41"/>
        <v>2.7137082061906401E-3</v>
      </c>
      <c r="W80" s="2"/>
      <c r="X80" s="7">
        <f t="shared" si="42"/>
        <v>6.1800000000000068</v>
      </c>
      <c r="Y80" s="2"/>
      <c r="Z80" s="6">
        <f t="shared" si="43"/>
        <v>3.9870967741935527E-2</v>
      </c>
    </row>
    <row r="81" spans="1:26" s="27" customFormat="1" outlineLevel="1" collapsed="1" x14ac:dyDescent="0.25">
      <c r="A81" s="28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SUM(OSRRefD22_10x_0)</f>
        <v>300</v>
      </c>
      <c r="E81" s="1"/>
      <c r="F81" s="5">
        <f t="shared" si="36"/>
        <v>5.8272624589299398E-3</v>
      </c>
      <c r="G81" s="1"/>
      <c r="H81" s="1">
        <f>SUM(OSRRefH22_10x_0)</f>
        <v>300</v>
      </c>
      <c r="I81" s="1"/>
      <c r="J81" s="5">
        <f t="shared" si="37"/>
        <v>5.2523384635947872E-3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SUM(OSRRefP22_10x_0)</f>
        <v>300</v>
      </c>
      <c r="Q81" s="1"/>
      <c r="R81" s="5">
        <f t="shared" si="40"/>
        <v>5.8272624589299398E-3</v>
      </c>
      <c r="S81" s="1"/>
      <c r="T81" s="1">
        <f>SUM(OSRRefT22_10x_0)</f>
        <v>300</v>
      </c>
      <c r="U81" s="1"/>
      <c r="V81" s="5">
        <f t="shared" si="41"/>
        <v>5.2523384635947872E-3</v>
      </c>
      <c r="W81" s="1"/>
      <c r="X81" s="1">
        <f t="shared" si="42"/>
        <v>0</v>
      </c>
      <c r="Y81" s="1"/>
      <c r="Z81" s="5">
        <f t="shared" si="43"/>
        <v>0</v>
      </c>
    </row>
    <row r="82" spans="1:26" s="24" customFormat="1" hidden="1" outlineLevel="2" x14ac:dyDescent="0.25">
      <c r="A82" s="29"/>
      <c r="B82" s="11" t="str">
        <f>CONCATENATE("          ", "6408", " - ", "INVENTORY ADJUSTMENT")</f>
        <v xml:space="preserve">          6408 - INVENTORY ADJUSTMENT</v>
      </c>
      <c r="C82" s="11"/>
      <c r="D82" s="7">
        <v>300</v>
      </c>
      <c r="E82" s="2"/>
      <c r="F82" s="6">
        <f t="shared" si="36"/>
        <v>5.8272624589299398E-3</v>
      </c>
      <c r="G82" s="2"/>
      <c r="H82" s="7">
        <v>300</v>
      </c>
      <c r="I82" s="2"/>
      <c r="J82" s="6">
        <f t="shared" si="37"/>
        <v>5.2523384635947872E-3</v>
      </c>
      <c r="K82" s="2"/>
      <c r="L82" s="7">
        <f t="shared" si="38"/>
        <v>0</v>
      </c>
      <c r="M82" s="2"/>
      <c r="N82" s="6">
        <f t="shared" si="39"/>
        <v>0</v>
      </c>
      <c r="O82" s="11"/>
      <c r="P82" s="7">
        <v>300</v>
      </c>
      <c r="Q82" s="2"/>
      <c r="R82" s="6">
        <f t="shared" si="40"/>
        <v>5.8272624589299398E-3</v>
      </c>
      <c r="S82" s="2"/>
      <c r="T82" s="7">
        <v>300</v>
      </c>
      <c r="U82" s="2"/>
      <c r="V82" s="6">
        <f t="shared" si="41"/>
        <v>5.2523384635947872E-3</v>
      </c>
      <c r="W82" s="2"/>
      <c r="X82" s="7">
        <f t="shared" si="42"/>
        <v>0</v>
      </c>
      <c r="Y82" s="2"/>
      <c r="Z82" s="6">
        <f t="shared" si="43"/>
        <v>0</v>
      </c>
    </row>
    <row r="83" spans="1:26" s="27" customFormat="1" outlineLevel="1" collapsed="1" x14ac:dyDescent="0.25">
      <c r="A83" s="28"/>
      <c r="B83" s="14" t="str">
        <f>CONCATENATE("     ","Professional Services                             ")</f>
        <v xml:space="preserve">     Professional Services                             </v>
      </c>
      <c r="C83" s="14"/>
      <c r="D83" s="1">
        <f>SUM(OSRRefD22_11x_0)</f>
        <v>750</v>
      </c>
      <c r="E83" s="1"/>
      <c r="F83" s="5">
        <f t="shared" si="36"/>
        <v>1.4568156147324849E-2</v>
      </c>
      <c r="G83" s="1"/>
      <c r="H83" s="1">
        <f>SUM(OSRRefH22_11x_0)</f>
        <v>900</v>
      </c>
      <c r="I83" s="1"/>
      <c r="J83" s="5">
        <f t="shared" si="37"/>
        <v>1.5757015390784362E-2</v>
      </c>
      <c r="K83" s="1"/>
      <c r="L83" s="1">
        <f t="shared" si="38"/>
        <v>-150</v>
      </c>
      <c r="M83" s="1"/>
      <c r="N83" s="5">
        <f t="shared" si="39"/>
        <v>-0.16666666666666666</v>
      </c>
      <c r="O83" s="14"/>
      <c r="P83" s="1">
        <f>SUM(OSRRefP22_11x_0)</f>
        <v>750</v>
      </c>
      <c r="Q83" s="1"/>
      <c r="R83" s="5">
        <f t="shared" si="40"/>
        <v>1.4568156147324849E-2</v>
      </c>
      <c r="S83" s="1"/>
      <c r="T83" s="1">
        <f>SUM(OSRRefT22_11x_0)</f>
        <v>900</v>
      </c>
      <c r="U83" s="1"/>
      <c r="V83" s="5">
        <f t="shared" si="41"/>
        <v>1.5757015390784362E-2</v>
      </c>
      <c r="W83" s="1"/>
      <c r="X83" s="1">
        <f t="shared" si="42"/>
        <v>-150</v>
      </c>
      <c r="Y83" s="1"/>
      <c r="Z83" s="5">
        <f t="shared" si="43"/>
        <v>-0.16666666666666666</v>
      </c>
    </row>
    <row r="84" spans="1:26" s="24" customFormat="1" hidden="1" outlineLevel="2" x14ac:dyDescent="0.25">
      <c r="A84" s="29"/>
      <c r="B84" s="11" t="str">
        <f>CONCATENATE("          ", "6336", " - ", "PROFESSIONAL SERVICES")</f>
        <v xml:space="preserve">          6336 - PROFESSIONAL SERVICES</v>
      </c>
      <c r="C84" s="11"/>
      <c r="D84" s="7">
        <v>750</v>
      </c>
      <c r="E84" s="2"/>
      <c r="F84" s="6">
        <f t="shared" si="36"/>
        <v>1.4568156147324849E-2</v>
      </c>
      <c r="G84" s="2"/>
      <c r="H84" s="7">
        <v>900</v>
      </c>
      <c r="I84" s="2"/>
      <c r="J84" s="6">
        <f t="shared" si="37"/>
        <v>1.5757015390784362E-2</v>
      </c>
      <c r="K84" s="2"/>
      <c r="L84" s="7">
        <f t="shared" si="38"/>
        <v>-150</v>
      </c>
      <c r="M84" s="2"/>
      <c r="N84" s="6">
        <f t="shared" si="39"/>
        <v>-0.16666666666666666</v>
      </c>
      <c r="O84" s="11"/>
      <c r="P84" s="7">
        <v>750</v>
      </c>
      <c r="Q84" s="2"/>
      <c r="R84" s="6">
        <f t="shared" si="40"/>
        <v>1.4568156147324849E-2</v>
      </c>
      <c r="S84" s="2"/>
      <c r="T84" s="7">
        <v>900</v>
      </c>
      <c r="U84" s="2"/>
      <c r="V84" s="6">
        <f t="shared" si="41"/>
        <v>1.5757015390784362E-2</v>
      </c>
      <c r="W84" s="2"/>
      <c r="X84" s="7">
        <f t="shared" si="42"/>
        <v>-150</v>
      </c>
      <c r="Y84" s="2"/>
      <c r="Z84" s="6">
        <f t="shared" si="43"/>
        <v>-0.16666666666666666</v>
      </c>
    </row>
    <row r="85" spans="1:26" s="27" customFormat="1" outlineLevel="1" collapsed="1" x14ac:dyDescent="0.25">
      <c r="A85" s="28"/>
      <c r="B85" s="14" t="str">
        <f>CONCATENATE("     ","Rent                                              ")</f>
        <v xml:space="preserve">     Rent                                              </v>
      </c>
      <c r="C85" s="14"/>
      <c r="D85" s="1">
        <f>SUM(OSRRefD22_12x_0)</f>
        <v>6900</v>
      </c>
      <c r="E85" s="1"/>
      <c r="F85" s="5">
        <f t="shared" si="36"/>
        <v>0.13402703655538861</v>
      </c>
      <c r="G85" s="1"/>
      <c r="H85" s="1">
        <f>SUM(OSRRefH22_12x_0)</f>
        <v>7200</v>
      </c>
      <c r="I85" s="1"/>
      <c r="J85" s="5">
        <f t="shared" si="37"/>
        <v>0.1260561231262749</v>
      </c>
      <c r="K85" s="1"/>
      <c r="L85" s="1">
        <f t="shared" si="38"/>
        <v>-300</v>
      </c>
      <c r="M85" s="1"/>
      <c r="N85" s="5">
        <f t="shared" si="39"/>
        <v>-4.1666666666666664E-2</v>
      </c>
      <c r="O85" s="14"/>
      <c r="P85" s="1">
        <f>SUM(OSRRefP22_12x_0)</f>
        <v>6900</v>
      </c>
      <c r="Q85" s="1"/>
      <c r="R85" s="5">
        <f t="shared" si="40"/>
        <v>0.13402703655538861</v>
      </c>
      <c r="S85" s="1"/>
      <c r="T85" s="1">
        <f>SUM(OSRRefT22_12x_0)</f>
        <v>7200</v>
      </c>
      <c r="U85" s="1"/>
      <c r="V85" s="5">
        <f t="shared" si="41"/>
        <v>0.1260561231262749</v>
      </c>
      <c r="W85" s="1"/>
      <c r="X85" s="1">
        <f t="shared" si="42"/>
        <v>-300</v>
      </c>
      <c r="Y85" s="1"/>
      <c r="Z85" s="5">
        <f t="shared" si="43"/>
        <v>-4.1666666666666664E-2</v>
      </c>
    </row>
    <row r="86" spans="1:26" s="24" customFormat="1" hidden="1" outlineLevel="2" x14ac:dyDescent="0.25">
      <c r="A86" s="29"/>
      <c r="B86" s="11" t="str">
        <f>CONCATENATE("          ", "6273", " - ", "RENT")</f>
        <v xml:space="preserve">          6273 - RENT</v>
      </c>
      <c r="C86" s="11"/>
      <c r="D86" s="7">
        <v>6900</v>
      </c>
      <c r="E86" s="2"/>
      <c r="F86" s="6">
        <f t="shared" si="36"/>
        <v>0.13402703655538861</v>
      </c>
      <c r="G86" s="2"/>
      <c r="H86" s="7">
        <v>7200</v>
      </c>
      <c r="I86" s="2"/>
      <c r="J86" s="6">
        <f t="shared" si="37"/>
        <v>0.1260561231262749</v>
      </c>
      <c r="K86" s="2"/>
      <c r="L86" s="7">
        <f t="shared" si="38"/>
        <v>-300</v>
      </c>
      <c r="M86" s="2"/>
      <c r="N86" s="6">
        <f t="shared" si="39"/>
        <v>-4.1666666666666664E-2</v>
      </c>
      <c r="O86" s="11"/>
      <c r="P86" s="7">
        <v>6900</v>
      </c>
      <c r="Q86" s="2"/>
      <c r="R86" s="6">
        <f t="shared" si="40"/>
        <v>0.13402703655538861</v>
      </c>
      <c r="S86" s="2"/>
      <c r="T86" s="7">
        <v>7200</v>
      </c>
      <c r="U86" s="2"/>
      <c r="V86" s="6">
        <f t="shared" si="41"/>
        <v>0.1260561231262749</v>
      </c>
      <c r="W86" s="2"/>
      <c r="X86" s="7">
        <f t="shared" si="42"/>
        <v>-300</v>
      </c>
      <c r="Y86" s="2"/>
      <c r="Z86" s="6">
        <f t="shared" si="43"/>
        <v>-4.1666666666666664E-2</v>
      </c>
    </row>
    <row r="87" spans="1:26" s="27" customFormat="1" outlineLevel="1" collapsed="1" x14ac:dyDescent="0.25">
      <c r="A87" s="28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SUM(OSRRefD22_13x_0)</f>
        <v>0</v>
      </c>
      <c r="E87" s="1"/>
      <c r="F87" s="5">
        <f t="shared" si="36"/>
        <v>0</v>
      </c>
      <c r="G87" s="1"/>
      <c r="H87" s="1">
        <f>SUM(OSRRefH22_13x_0)</f>
        <v>100</v>
      </c>
      <c r="I87" s="1"/>
      <c r="J87" s="5">
        <f t="shared" si="37"/>
        <v>1.7507794878649291E-3</v>
      </c>
      <c r="K87" s="1"/>
      <c r="L87" s="1">
        <f t="shared" si="38"/>
        <v>-100</v>
      </c>
      <c r="M87" s="1"/>
      <c r="N87" s="5">
        <f t="shared" si="39"/>
        <v>-1</v>
      </c>
      <c r="O87" s="14"/>
      <c r="P87" s="1">
        <f>SUM(OSRRefP22_13x_0)</f>
        <v>0</v>
      </c>
      <c r="Q87" s="1"/>
      <c r="R87" s="5">
        <f t="shared" si="40"/>
        <v>0</v>
      </c>
      <c r="S87" s="1"/>
      <c r="T87" s="1">
        <f>SUM(OSRRefT22_13x_0)</f>
        <v>100</v>
      </c>
      <c r="U87" s="1"/>
      <c r="V87" s="5">
        <f t="shared" si="41"/>
        <v>1.7507794878649291E-3</v>
      </c>
      <c r="W87" s="1"/>
      <c r="X87" s="1">
        <f t="shared" si="42"/>
        <v>-100</v>
      </c>
      <c r="Y87" s="1"/>
      <c r="Z87" s="5">
        <f t="shared" si="43"/>
        <v>-1</v>
      </c>
    </row>
    <row r="88" spans="1:26" s="24" customFormat="1" hidden="1" outlineLevel="2" x14ac:dyDescent="0.25">
      <c r="A88" s="29"/>
      <c r="B88" s="11" t="str">
        <f>CONCATENATE("          ", "6373", " - ", "MAINTENANCE CONTRACTS")</f>
        <v xml:space="preserve">          6373 - MAINTENANCE CONTRACTS</v>
      </c>
      <c r="C88" s="11"/>
      <c r="D88" s="7"/>
      <c r="E88" s="2"/>
      <c r="F88" s="6">
        <f t="shared" si="36"/>
        <v>0</v>
      </c>
      <c r="G88" s="2"/>
      <c r="H88" s="7">
        <v>0</v>
      </c>
      <c r="I88" s="2"/>
      <c r="J88" s="6">
        <f t="shared" si="37"/>
        <v>0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/>
      <c r="Q88" s="2"/>
      <c r="R88" s="6">
        <f t="shared" si="40"/>
        <v>0</v>
      </c>
      <c r="S88" s="2"/>
      <c r="T88" s="7">
        <v>0</v>
      </c>
      <c r="U88" s="2"/>
      <c r="V88" s="6">
        <f t="shared" si="41"/>
        <v>0</v>
      </c>
      <c r="W88" s="2"/>
      <c r="X88" s="7">
        <f t="shared" si="42"/>
        <v>0</v>
      </c>
      <c r="Y88" s="2"/>
      <c r="Z88" s="6">
        <f t="shared" si="43"/>
        <v>0</v>
      </c>
    </row>
    <row r="89" spans="1:26" s="24" customFormat="1" hidden="1" outlineLevel="2" x14ac:dyDescent="0.25">
      <c r="A89" s="29"/>
      <c r="B89" s="11" t="str">
        <f>CONCATENATE("          ", "6375", " - ", "OUTSIDE REPAIRS &amp; MAINTENANCE")</f>
        <v xml:space="preserve">          6375 - OUTSIDE REPAIRS &amp; MAINTENANCE</v>
      </c>
      <c r="C89" s="11"/>
      <c r="D89" s="7"/>
      <c r="E89" s="2"/>
      <c r="F89" s="6">
        <f t="shared" si="36"/>
        <v>0</v>
      </c>
      <c r="G89" s="2"/>
      <c r="H89" s="7">
        <v>100</v>
      </c>
      <c r="I89" s="2"/>
      <c r="J89" s="6">
        <f t="shared" si="37"/>
        <v>1.7507794878649291E-3</v>
      </c>
      <c r="K89" s="2"/>
      <c r="L89" s="7">
        <f t="shared" si="38"/>
        <v>-100</v>
      </c>
      <c r="M89" s="2"/>
      <c r="N89" s="6">
        <f t="shared" si="39"/>
        <v>-1</v>
      </c>
      <c r="O89" s="11"/>
      <c r="P89" s="7"/>
      <c r="Q89" s="2"/>
      <c r="R89" s="6">
        <f t="shared" si="40"/>
        <v>0</v>
      </c>
      <c r="S89" s="2"/>
      <c r="T89" s="7">
        <v>100</v>
      </c>
      <c r="U89" s="2"/>
      <c r="V89" s="6">
        <f t="shared" si="41"/>
        <v>1.7507794878649291E-3</v>
      </c>
      <c r="W89" s="2"/>
      <c r="X89" s="7">
        <f t="shared" si="42"/>
        <v>-100</v>
      </c>
      <c r="Y89" s="2"/>
      <c r="Z89" s="6">
        <f t="shared" si="43"/>
        <v>-1</v>
      </c>
    </row>
    <row r="90" spans="1:26" s="27" customFormat="1" outlineLevel="1" collapsed="1" x14ac:dyDescent="0.25">
      <c r="A90" s="28"/>
      <c r="B90" s="14" t="str">
        <f>CONCATENATE("     ","Services                                          ")</f>
        <v xml:space="preserve">     Services                                          </v>
      </c>
      <c r="C90" s="14"/>
      <c r="D90" s="1">
        <f>SUM(OSRRefD22_14x_0)</f>
        <v>241.37</v>
      </c>
      <c r="E90" s="1"/>
      <c r="F90" s="5">
        <f t="shared" ref="F90:F93" si="44">IF(D$12=0,0,D90/D$12)</f>
        <v>4.6884211323730655E-3</v>
      </c>
      <c r="G90" s="1"/>
      <c r="H90" s="1">
        <f>SUM(OSRRefH22_14x_0)</f>
        <v>232.5</v>
      </c>
      <c r="I90" s="1"/>
      <c r="J90" s="5">
        <f t="shared" ref="J90:J93" si="45">IF(H$12=0,0,H90/H$12)</f>
        <v>4.0705623092859603E-3</v>
      </c>
      <c r="K90" s="1"/>
      <c r="L90" s="1">
        <f t="shared" ref="L90:L93" si="46">+D90-H90</f>
        <v>8.8700000000000045</v>
      </c>
      <c r="M90" s="1"/>
      <c r="N90" s="5">
        <f t="shared" ref="N90:N93" si="47">IF(H90=0,0,L90/H90)</f>
        <v>3.8150537634408621E-2</v>
      </c>
      <c r="O90" s="14"/>
      <c r="P90" s="1">
        <f>SUM(OSRRefP22_14x_0)</f>
        <v>241.37</v>
      </c>
      <c r="Q90" s="1"/>
      <c r="R90" s="5">
        <f t="shared" ref="R90:R93" si="48">IF(P$12=0,0,P90/P$12)</f>
        <v>4.6884211323730655E-3</v>
      </c>
      <c r="S90" s="1"/>
      <c r="T90" s="1">
        <f>SUM(OSRRefT22_14x_0)</f>
        <v>232.5</v>
      </c>
      <c r="U90" s="1"/>
      <c r="V90" s="5">
        <f t="shared" ref="V90:V93" si="49">IF(T$12=0,0,T90/T$12)</f>
        <v>4.0705623092859603E-3</v>
      </c>
      <c r="W90" s="1"/>
      <c r="X90" s="1">
        <f t="shared" ref="X90:X93" si="50">+P90-T90</f>
        <v>8.8700000000000045</v>
      </c>
      <c r="Y90" s="1"/>
      <c r="Z90" s="5">
        <f t="shared" ref="Z90:Z93" si="51">IF(T90=0,0,X90/T90)</f>
        <v>3.8150537634408621E-2</v>
      </c>
    </row>
    <row r="91" spans="1:26" s="24" customFormat="1" hidden="1" outlineLevel="2" x14ac:dyDescent="0.25">
      <c r="A91" s="29"/>
      <c r="B91" s="11" t="str">
        <f>CONCATENATE("          ", "6283", " - ", "PLANT SERVICE")</f>
        <v xml:space="preserve">          6283 - PLANT SERVICE</v>
      </c>
      <c r="C91" s="11"/>
      <c r="D91" s="7">
        <v>59.55</v>
      </c>
      <c r="E91" s="2"/>
      <c r="F91" s="6">
        <f t="shared" si="44"/>
        <v>1.1567115980975929E-3</v>
      </c>
      <c r="G91" s="2"/>
      <c r="H91" s="7">
        <v>60</v>
      </c>
      <c r="I91" s="2"/>
      <c r="J91" s="6">
        <f t="shared" si="45"/>
        <v>1.0504676927189575E-3</v>
      </c>
      <c r="K91" s="2"/>
      <c r="L91" s="7">
        <f t="shared" si="46"/>
        <v>-0.45000000000000284</v>
      </c>
      <c r="M91" s="2"/>
      <c r="N91" s="6">
        <f t="shared" si="47"/>
        <v>-7.5000000000000474E-3</v>
      </c>
      <c r="O91" s="11"/>
      <c r="P91" s="7">
        <v>59.55</v>
      </c>
      <c r="Q91" s="2"/>
      <c r="R91" s="6">
        <f t="shared" si="48"/>
        <v>1.1567115980975929E-3</v>
      </c>
      <c r="S91" s="2"/>
      <c r="T91" s="7">
        <v>60</v>
      </c>
      <c r="U91" s="2"/>
      <c r="V91" s="6">
        <f t="shared" si="49"/>
        <v>1.0504676927189575E-3</v>
      </c>
      <c r="W91" s="2"/>
      <c r="X91" s="7">
        <f t="shared" si="50"/>
        <v>-0.45000000000000284</v>
      </c>
      <c r="Y91" s="2"/>
      <c r="Z91" s="6">
        <f t="shared" si="51"/>
        <v>-7.5000000000000474E-3</v>
      </c>
    </row>
    <row r="92" spans="1:26" s="24" customFormat="1" hidden="1" outlineLevel="2" x14ac:dyDescent="0.25">
      <c r="A92" s="29"/>
      <c r="B92" s="11" t="str">
        <f>CONCATENATE("          ", "6284", " - ", "TRASH REMOVAL EXPENSE")</f>
        <v xml:space="preserve">          6284 - TRASH REMOVAL EXPENSE</v>
      </c>
      <c r="C92" s="11"/>
      <c r="D92" s="7">
        <v>134.82</v>
      </c>
      <c r="E92" s="2"/>
      <c r="F92" s="6">
        <f t="shared" si="44"/>
        <v>2.6187717490431146E-3</v>
      </c>
      <c r="G92" s="2"/>
      <c r="H92" s="7">
        <v>62.5</v>
      </c>
      <c r="I92" s="2"/>
      <c r="J92" s="6">
        <f t="shared" si="45"/>
        <v>1.0942371799155808E-3</v>
      </c>
      <c r="K92" s="2"/>
      <c r="L92" s="7">
        <f t="shared" si="46"/>
        <v>72.319999999999993</v>
      </c>
      <c r="M92" s="2"/>
      <c r="N92" s="6">
        <f t="shared" si="47"/>
        <v>1.1571199999999999</v>
      </c>
      <c r="O92" s="11"/>
      <c r="P92" s="7">
        <v>134.82</v>
      </c>
      <c r="Q92" s="2"/>
      <c r="R92" s="6">
        <f t="shared" si="48"/>
        <v>2.6187717490431146E-3</v>
      </c>
      <c r="S92" s="2"/>
      <c r="T92" s="7">
        <v>62.5</v>
      </c>
      <c r="U92" s="2"/>
      <c r="V92" s="6">
        <f t="shared" si="49"/>
        <v>1.0942371799155808E-3</v>
      </c>
      <c r="W92" s="2"/>
      <c r="X92" s="7">
        <f t="shared" si="50"/>
        <v>72.319999999999993</v>
      </c>
      <c r="Y92" s="2"/>
      <c r="Z92" s="6">
        <f t="shared" si="51"/>
        <v>1.1571199999999999</v>
      </c>
    </row>
    <row r="93" spans="1:26" s="24" customFormat="1" hidden="1" outlineLevel="2" x14ac:dyDescent="0.25">
      <c r="A93" s="29"/>
      <c r="B93" s="11" t="str">
        <f>CONCATENATE("          ", "6285", " - ", "JANITORIAL SERVICES")</f>
        <v xml:space="preserve">          6285 - JANITORIAL SERVICES</v>
      </c>
      <c r="C93" s="11"/>
      <c r="D93" s="7">
        <v>47</v>
      </c>
      <c r="E93" s="2"/>
      <c r="F93" s="6">
        <f t="shared" si="44"/>
        <v>9.1293778523235717E-4</v>
      </c>
      <c r="G93" s="2"/>
      <c r="H93" s="7">
        <v>110</v>
      </c>
      <c r="I93" s="2"/>
      <c r="J93" s="6">
        <f t="shared" si="45"/>
        <v>1.9258574366514221E-3</v>
      </c>
      <c r="K93" s="2"/>
      <c r="L93" s="7">
        <f t="shared" si="46"/>
        <v>-63</v>
      </c>
      <c r="M93" s="2"/>
      <c r="N93" s="6">
        <f t="shared" si="47"/>
        <v>-0.57272727272727275</v>
      </c>
      <c r="O93" s="11"/>
      <c r="P93" s="7">
        <v>47</v>
      </c>
      <c r="Q93" s="2"/>
      <c r="R93" s="6">
        <f t="shared" si="48"/>
        <v>9.1293778523235717E-4</v>
      </c>
      <c r="S93" s="2"/>
      <c r="T93" s="7">
        <v>110</v>
      </c>
      <c r="U93" s="2"/>
      <c r="V93" s="6">
        <f t="shared" si="49"/>
        <v>1.9258574366514221E-3</v>
      </c>
      <c r="W93" s="2"/>
      <c r="X93" s="7">
        <f t="shared" si="50"/>
        <v>-63</v>
      </c>
      <c r="Y93" s="2"/>
      <c r="Z93" s="6">
        <f t="shared" si="51"/>
        <v>-0.57272727272727275</v>
      </c>
    </row>
    <row r="94" spans="1:26" s="27" customFormat="1" outlineLevel="1" collapsed="1" x14ac:dyDescent="0.25">
      <c r="A94" s="28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SUM(OSRRefD22_15x_0)</f>
        <v>13.42</v>
      </c>
      <c r="E94" s="1"/>
      <c r="F94" s="5">
        <f t="shared" ref="F94:F96" si="52">IF(D$12=0,0,D94/D$12)</f>
        <v>2.6067287399613262E-4</v>
      </c>
      <c r="G94" s="1"/>
      <c r="H94" s="1">
        <f>SUM(OSRRefH22_15x_0)</f>
        <v>685</v>
      </c>
      <c r="I94" s="1"/>
      <c r="J94" s="5">
        <f t="shared" ref="J94:J96" si="53">IF(H$12=0,0,H94/H$12)</f>
        <v>1.1992839491874765E-2</v>
      </c>
      <c r="K94" s="1"/>
      <c r="L94" s="1">
        <f t="shared" ref="L94:L96" si="54">+D94-H94</f>
        <v>-671.58</v>
      </c>
      <c r="M94" s="1"/>
      <c r="N94" s="5">
        <f t="shared" ref="N94:N96" si="55">IF(H94=0,0,L94/H94)</f>
        <v>-0.98040875912408765</v>
      </c>
      <c r="O94" s="14"/>
      <c r="P94" s="1">
        <f>SUM(OSRRefP22_15x_0)</f>
        <v>13.42</v>
      </c>
      <c r="Q94" s="1"/>
      <c r="R94" s="5">
        <f t="shared" ref="R94:R96" si="56">IF(P$12=0,0,P94/P$12)</f>
        <v>2.6067287399613262E-4</v>
      </c>
      <c r="S94" s="1"/>
      <c r="T94" s="1">
        <f>SUM(OSRRefT22_15x_0)</f>
        <v>685</v>
      </c>
      <c r="U94" s="1"/>
      <c r="V94" s="5">
        <f t="shared" ref="V94:V96" si="57">IF(T$12=0,0,T94/T$12)</f>
        <v>1.1992839491874765E-2</v>
      </c>
      <c r="W94" s="1"/>
      <c r="X94" s="1">
        <f t="shared" ref="X94:X96" si="58">+P94-T94</f>
        <v>-671.58</v>
      </c>
      <c r="Y94" s="1"/>
      <c r="Z94" s="5">
        <f t="shared" ref="Z94:Z96" si="59">IF(T94=0,0,X94/T94)</f>
        <v>-0.98040875912408765</v>
      </c>
    </row>
    <row r="95" spans="1:26" s="24" customFormat="1" hidden="1" outlineLevel="2" x14ac:dyDescent="0.25">
      <c r="A95" s="29"/>
      <c r="B95" s="11" t="str">
        <f>CONCATENATE("          ", "6258", " - ", "MEMBERSHIP DUES")</f>
        <v xml:space="preserve">          6258 - MEMBERSHIP DUES</v>
      </c>
      <c r="C95" s="11"/>
      <c r="D95" s="7"/>
      <c r="E95" s="2"/>
      <c r="F95" s="6">
        <f t="shared" si="52"/>
        <v>0</v>
      </c>
      <c r="G95" s="2"/>
      <c r="H95" s="7">
        <v>395</v>
      </c>
      <c r="I95" s="2"/>
      <c r="J95" s="6">
        <f t="shared" si="53"/>
        <v>6.9155789770664697E-3</v>
      </c>
      <c r="K95" s="2"/>
      <c r="L95" s="7">
        <f t="shared" si="54"/>
        <v>-395</v>
      </c>
      <c r="M95" s="2"/>
      <c r="N95" s="6">
        <f t="shared" si="55"/>
        <v>-1</v>
      </c>
      <c r="O95" s="11"/>
      <c r="P95" s="7"/>
      <c r="Q95" s="2"/>
      <c r="R95" s="6">
        <f t="shared" si="56"/>
        <v>0</v>
      </c>
      <c r="S95" s="2"/>
      <c r="T95" s="7">
        <v>395</v>
      </c>
      <c r="U95" s="2"/>
      <c r="V95" s="6">
        <f t="shared" si="57"/>
        <v>6.9155789770664697E-3</v>
      </c>
      <c r="W95" s="2"/>
      <c r="X95" s="7">
        <f t="shared" si="58"/>
        <v>-395</v>
      </c>
      <c r="Y95" s="2"/>
      <c r="Z95" s="6">
        <f t="shared" si="59"/>
        <v>-1</v>
      </c>
    </row>
    <row r="96" spans="1:26" s="24" customFormat="1" hidden="1" outlineLevel="2" x14ac:dyDescent="0.25">
      <c r="A96" s="29"/>
      <c r="B96" s="11" t="str">
        <f>CONCATENATE("          ", "6275", " - ", "SUBSCRIPTIONS")</f>
        <v xml:space="preserve">          6275 - SUBSCRIPTIONS</v>
      </c>
      <c r="C96" s="11"/>
      <c r="D96" s="7">
        <v>13.42</v>
      </c>
      <c r="E96" s="2"/>
      <c r="F96" s="6">
        <f t="shared" si="52"/>
        <v>2.6067287399613262E-4</v>
      </c>
      <c r="G96" s="2"/>
      <c r="H96" s="7">
        <v>290</v>
      </c>
      <c r="I96" s="2"/>
      <c r="J96" s="6">
        <f t="shared" si="53"/>
        <v>5.0772605148082942E-3</v>
      </c>
      <c r="K96" s="2"/>
      <c r="L96" s="7">
        <f t="shared" si="54"/>
        <v>-276.58</v>
      </c>
      <c r="M96" s="2"/>
      <c r="N96" s="6">
        <f t="shared" si="55"/>
        <v>-0.95372413793103439</v>
      </c>
      <c r="O96" s="11"/>
      <c r="P96" s="7">
        <v>13.42</v>
      </c>
      <c r="Q96" s="2"/>
      <c r="R96" s="6">
        <f t="shared" si="56"/>
        <v>2.6067287399613262E-4</v>
      </c>
      <c r="S96" s="2"/>
      <c r="T96" s="7">
        <v>290</v>
      </c>
      <c r="U96" s="2"/>
      <c r="V96" s="6">
        <f t="shared" si="57"/>
        <v>5.0772605148082942E-3</v>
      </c>
      <c r="W96" s="2"/>
      <c r="X96" s="7">
        <f t="shared" si="58"/>
        <v>-276.58</v>
      </c>
      <c r="Y96" s="2"/>
      <c r="Z96" s="6">
        <f t="shared" si="59"/>
        <v>-0.95372413793103439</v>
      </c>
    </row>
    <row r="97" spans="1:26" s="27" customFormat="1" outlineLevel="1" collapsed="1" x14ac:dyDescent="0.25">
      <c r="A97" s="28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SUM(OSRRefD22_16x_0)</f>
        <v>664.73</v>
      </c>
      <c r="E97" s="1"/>
      <c r="F97" s="5">
        <f t="shared" ref="F97:F102" si="60">IF(D$12=0,0,D97/D$12)</f>
        <v>1.2911853914414996E-2</v>
      </c>
      <c r="G97" s="1"/>
      <c r="H97" s="1">
        <f>SUM(OSRRefH22_16x_0)</f>
        <v>235</v>
      </c>
      <c r="I97" s="1"/>
      <c r="J97" s="5">
        <f t="shared" ref="J97:J102" si="61">IF(H$12=0,0,H97/H$12)</f>
        <v>4.1143317964825836E-3</v>
      </c>
      <c r="K97" s="1"/>
      <c r="L97" s="1">
        <f t="shared" ref="L97:L102" si="62">+D97-H97</f>
        <v>429.73</v>
      </c>
      <c r="M97" s="1"/>
      <c r="N97" s="5">
        <f t="shared" ref="N97:N102" si="63">IF(H97=0,0,L97/H97)</f>
        <v>1.8286382978723406</v>
      </c>
      <c r="O97" s="14"/>
      <c r="P97" s="1">
        <f>SUM(OSRRefP22_16x_0)</f>
        <v>664.73</v>
      </c>
      <c r="Q97" s="1"/>
      <c r="R97" s="5">
        <f t="shared" ref="R97:R102" si="64">IF(P$12=0,0,P97/P$12)</f>
        <v>1.2911853914414996E-2</v>
      </c>
      <c r="S97" s="1"/>
      <c r="T97" s="1">
        <f>SUM(OSRRefT22_16x_0)</f>
        <v>235</v>
      </c>
      <c r="U97" s="1"/>
      <c r="V97" s="5">
        <f t="shared" ref="V97:V102" si="65">IF(T$12=0,0,T97/T$12)</f>
        <v>4.1143317964825836E-3</v>
      </c>
      <c r="W97" s="1"/>
      <c r="X97" s="1">
        <f t="shared" ref="X97:X102" si="66">+P97-T97</f>
        <v>429.73</v>
      </c>
      <c r="Y97" s="1"/>
      <c r="Z97" s="5">
        <f t="shared" ref="Z97:Z102" si="67">IF(T97=0,0,X97/T97)</f>
        <v>1.8286382978723406</v>
      </c>
    </row>
    <row r="98" spans="1:26" s="24" customFormat="1" hidden="1" outlineLevel="2" x14ac:dyDescent="0.25">
      <c r="A98" s="29"/>
      <c r="B98" s="11" t="str">
        <f>CONCATENATE("          ", "6234", " - ", "EXPENDABLE SUPPLIES &amp; EQUIPMEN")</f>
        <v xml:space="preserve">          6234 - EXPENDABLE SUPPLIES &amp; EQUIPMEN</v>
      </c>
      <c r="C98" s="11"/>
      <c r="D98" s="7"/>
      <c r="E98" s="2"/>
      <c r="F98" s="6">
        <f t="shared" si="60"/>
        <v>0</v>
      </c>
      <c r="G98" s="2"/>
      <c r="H98" s="7">
        <v>100</v>
      </c>
      <c r="I98" s="2"/>
      <c r="J98" s="6">
        <f t="shared" si="61"/>
        <v>1.7507794878649291E-3</v>
      </c>
      <c r="K98" s="2"/>
      <c r="L98" s="7">
        <f t="shared" si="62"/>
        <v>-100</v>
      </c>
      <c r="M98" s="2"/>
      <c r="N98" s="6">
        <f t="shared" si="63"/>
        <v>-1</v>
      </c>
      <c r="O98" s="11"/>
      <c r="P98" s="7"/>
      <c r="Q98" s="2"/>
      <c r="R98" s="6">
        <f t="shared" si="64"/>
        <v>0</v>
      </c>
      <c r="S98" s="2"/>
      <c r="T98" s="7">
        <v>100</v>
      </c>
      <c r="U98" s="2"/>
      <c r="V98" s="6">
        <f t="shared" si="65"/>
        <v>1.7507794878649291E-3</v>
      </c>
      <c r="W98" s="2"/>
      <c r="X98" s="7">
        <f t="shared" si="66"/>
        <v>-100</v>
      </c>
      <c r="Y98" s="2"/>
      <c r="Z98" s="6">
        <f t="shared" si="67"/>
        <v>-1</v>
      </c>
    </row>
    <row r="99" spans="1:26" s="24" customFormat="1" hidden="1" outlineLevel="2" x14ac:dyDescent="0.25">
      <c r="A99" s="29"/>
      <c r="B99" s="11" t="str">
        <f>CONCATENATE("          ", "6237", " - ", "JANITORIAL SUPPLIES")</f>
        <v xml:space="preserve">          6237 - JANITORIAL SUPPLIES</v>
      </c>
      <c r="C99" s="11"/>
      <c r="D99" s="7"/>
      <c r="E99" s="2"/>
      <c r="F99" s="6">
        <f t="shared" si="60"/>
        <v>0</v>
      </c>
      <c r="G99" s="2"/>
      <c r="H99" s="7">
        <v>10</v>
      </c>
      <c r="I99" s="2"/>
      <c r="J99" s="6">
        <f t="shared" si="61"/>
        <v>1.7507794878649291E-4</v>
      </c>
      <c r="K99" s="2"/>
      <c r="L99" s="7">
        <f t="shared" si="62"/>
        <v>-10</v>
      </c>
      <c r="M99" s="2"/>
      <c r="N99" s="6">
        <f t="shared" si="63"/>
        <v>-1</v>
      </c>
      <c r="O99" s="11"/>
      <c r="P99" s="7"/>
      <c r="Q99" s="2"/>
      <c r="R99" s="6">
        <f t="shared" si="64"/>
        <v>0</v>
      </c>
      <c r="S99" s="2"/>
      <c r="T99" s="7">
        <v>10</v>
      </c>
      <c r="U99" s="2"/>
      <c r="V99" s="6">
        <f t="shared" si="65"/>
        <v>1.7507794878649291E-4</v>
      </c>
      <c r="W99" s="2"/>
      <c r="X99" s="7">
        <f t="shared" si="66"/>
        <v>-10</v>
      </c>
      <c r="Y99" s="2"/>
      <c r="Z99" s="6">
        <f t="shared" si="67"/>
        <v>-1</v>
      </c>
    </row>
    <row r="100" spans="1:26" s="24" customFormat="1" hidden="1" outlineLevel="2" x14ac:dyDescent="0.25">
      <c r="A100" s="29"/>
      <c r="B100" s="11" t="str">
        <f>CONCATENATE("          ", "6241", " - ", "OFFICE EXPENSE")</f>
        <v xml:space="preserve">          6241 - OFFICE EXPENSE</v>
      </c>
      <c r="C100" s="11"/>
      <c r="D100" s="7">
        <v>664.73</v>
      </c>
      <c r="E100" s="2"/>
      <c r="F100" s="6">
        <f t="shared" si="60"/>
        <v>1.2911853914414996E-2</v>
      </c>
      <c r="G100" s="2"/>
      <c r="H100" s="7">
        <v>100</v>
      </c>
      <c r="I100" s="2"/>
      <c r="J100" s="6">
        <f t="shared" si="61"/>
        <v>1.7507794878649291E-3</v>
      </c>
      <c r="K100" s="2"/>
      <c r="L100" s="7">
        <f t="shared" si="62"/>
        <v>564.73</v>
      </c>
      <c r="M100" s="2"/>
      <c r="N100" s="6">
        <f t="shared" si="63"/>
        <v>5.6473000000000004</v>
      </c>
      <c r="O100" s="11"/>
      <c r="P100" s="7">
        <v>664.73</v>
      </c>
      <c r="Q100" s="2"/>
      <c r="R100" s="6">
        <f t="shared" si="64"/>
        <v>1.2911853914414996E-2</v>
      </c>
      <c r="S100" s="2"/>
      <c r="T100" s="7">
        <v>100</v>
      </c>
      <c r="U100" s="2"/>
      <c r="V100" s="6">
        <f t="shared" si="65"/>
        <v>1.7507794878649291E-3</v>
      </c>
      <c r="W100" s="2"/>
      <c r="X100" s="7">
        <f t="shared" si="66"/>
        <v>564.73</v>
      </c>
      <c r="Y100" s="2"/>
      <c r="Z100" s="6">
        <f t="shared" si="67"/>
        <v>5.6473000000000004</v>
      </c>
    </row>
    <row r="101" spans="1:26" s="24" customFormat="1" hidden="1" outlineLevel="2" x14ac:dyDescent="0.25">
      <c r="A101" s="29"/>
      <c r="B101" s="11" t="str">
        <f>CONCATENATE("          ", "6247", " - ", "STORE SUPPLIES")</f>
        <v xml:space="preserve">          6247 - STORE SUPPLIES</v>
      </c>
      <c r="C101" s="11"/>
      <c r="D101" s="7"/>
      <c r="E101" s="2"/>
      <c r="F101" s="6">
        <f t="shared" si="60"/>
        <v>0</v>
      </c>
      <c r="G101" s="2"/>
      <c r="H101" s="7">
        <v>25</v>
      </c>
      <c r="I101" s="2"/>
      <c r="J101" s="6">
        <f t="shared" si="61"/>
        <v>4.3769487196623227E-4</v>
      </c>
      <c r="K101" s="2"/>
      <c r="L101" s="7">
        <f t="shared" si="62"/>
        <v>-25</v>
      </c>
      <c r="M101" s="2"/>
      <c r="N101" s="6">
        <f t="shared" si="63"/>
        <v>-1</v>
      </c>
      <c r="O101" s="11"/>
      <c r="P101" s="7"/>
      <c r="Q101" s="2"/>
      <c r="R101" s="6">
        <f t="shared" si="64"/>
        <v>0</v>
      </c>
      <c r="S101" s="2"/>
      <c r="T101" s="7">
        <v>25</v>
      </c>
      <c r="U101" s="2"/>
      <c r="V101" s="6">
        <f t="shared" si="65"/>
        <v>4.3769487196623227E-4</v>
      </c>
      <c r="W101" s="2"/>
      <c r="X101" s="7">
        <f t="shared" si="66"/>
        <v>-25</v>
      </c>
      <c r="Y101" s="2"/>
      <c r="Z101" s="6">
        <f t="shared" si="67"/>
        <v>-1</v>
      </c>
    </row>
    <row r="102" spans="1:26" s="24" customFormat="1" hidden="1" outlineLevel="2" x14ac:dyDescent="0.25">
      <c r="A102" s="29"/>
      <c r="B102" s="11" t="str">
        <f>CONCATENATE("          ", "6248", " - ", "UNIFORMS")</f>
        <v xml:space="preserve">          6248 - UNIFORMS</v>
      </c>
      <c r="C102" s="11"/>
      <c r="D102" s="7"/>
      <c r="E102" s="2"/>
      <c r="F102" s="6">
        <f t="shared" si="60"/>
        <v>0</v>
      </c>
      <c r="G102" s="2"/>
      <c r="H102" s="7">
        <v>0</v>
      </c>
      <c r="I102" s="2"/>
      <c r="J102" s="6">
        <f t="shared" si="61"/>
        <v>0</v>
      </c>
      <c r="K102" s="2"/>
      <c r="L102" s="7">
        <f t="shared" si="62"/>
        <v>0</v>
      </c>
      <c r="M102" s="2"/>
      <c r="N102" s="6">
        <f t="shared" si="63"/>
        <v>0</v>
      </c>
      <c r="O102" s="11"/>
      <c r="P102" s="7"/>
      <c r="Q102" s="2"/>
      <c r="R102" s="6">
        <f t="shared" si="64"/>
        <v>0</v>
      </c>
      <c r="S102" s="2"/>
      <c r="T102" s="7">
        <v>0</v>
      </c>
      <c r="U102" s="2"/>
      <c r="V102" s="6">
        <f t="shared" si="65"/>
        <v>0</v>
      </c>
      <c r="W102" s="2"/>
      <c r="X102" s="7">
        <f t="shared" si="66"/>
        <v>0</v>
      </c>
      <c r="Y102" s="2"/>
      <c r="Z102" s="6">
        <f t="shared" si="67"/>
        <v>0</v>
      </c>
    </row>
    <row r="103" spans="1:26" s="27" customFormat="1" outlineLevel="1" collapsed="1" x14ac:dyDescent="0.25">
      <c r="A103" s="28"/>
      <c r="B103" s="14" t="str">
        <f>CONCATENATE("     ","Telephone/Data Lines                              ")</f>
        <v xml:space="preserve">     Telephone/Data Lines                              </v>
      </c>
      <c r="C103" s="14"/>
      <c r="D103" s="1">
        <f>SUM(OSRRefD22_17x_0)</f>
        <v>-70.36</v>
      </c>
      <c r="E103" s="1"/>
      <c r="F103" s="5">
        <f t="shared" ref="F103:F105" si="68">IF(D$12=0,0,D103/D$12)</f>
        <v>-1.3666872887010352E-3</v>
      </c>
      <c r="G103" s="1"/>
      <c r="H103" s="1">
        <f>SUM(OSRRefH22_17x_0)</f>
        <v>350</v>
      </c>
      <c r="I103" s="1"/>
      <c r="J103" s="5">
        <f t="shared" ref="J103:J105" si="69">IF(H$12=0,0,H103/H$12)</f>
        <v>6.1277282075272521E-3</v>
      </c>
      <c r="K103" s="1"/>
      <c r="L103" s="1">
        <f t="shared" ref="L103:L105" si="70">+D103-H103</f>
        <v>-420.36</v>
      </c>
      <c r="M103" s="1"/>
      <c r="N103" s="5">
        <f t="shared" ref="N103:N105" si="71">IF(H103=0,0,L103/H103)</f>
        <v>-1.2010285714285716</v>
      </c>
      <c r="O103" s="14"/>
      <c r="P103" s="1">
        <f>SUM(OSRRefP22_17x_0)</f>
        <v>-70.36</v>
      </c>
      <c r="Q103" s="1"/>
      <c r="R103" s="5">
        <f t="shared" ref="R103:R105" si="72">IF(P$12=0,0,P103/P$12)</f>
        <v>-1.3666872887010352E-3</v>
      </c>
      <c r="S103" s="1"/>
      <c r="T103" s="1">
        <f>SUM(OSRRefT22_17x_0)</f>
        <v>350</v>
      </c>
      <c r="U103" s="1"/>
      <c r="V103" s="5">
        <f t="shared" ref="V103:V105" si="73">IF(T$12=0,0,T103/T$12)</f>
        <v>6.1277282075272521E-3</v>
      </c>
      <c r="W103" s="1"/>
      <c r="X103" s="1">
        <f t="shared" ref="X103:X105" si="74">+P103-T103</f>
        <v>-420.36</v>
      </c>
      <c r="Y103" s="1"/>
      <c r="Z103" s="5">
        <f t="shared" ref="Z103:Z105" si="75">IF(T103=0,0,X103/T103)</f>
        <v>-1.2010285714285716</v>
      </c>
    </row>
    <row r="104" spans="1:26" s="24" customFormat="1" hidden="1" outlineLevel="2" x14ac:dyDescent="0.25">
      <c r="A104" s="29"/>
      <c r="B104" s="11" t="str">
        <f>CONCATENATE("          ", "6303", " - ", "DATA PHONE LINES")</f>
        <v xml:space="preserve">          6303 - DATA PHONE LINES</v>
      </c>
      <c r="C104" s="11"/>
      <c r="D104" s="7"/>
      <c r="E104" s="2"/>
      <c r="F104" s="6">
        <f t="shared" si="68"/>
        <v>0</v>
      </c>
      <c r="G104" s="2"/>
      <c r="H104" s="7">
        <v>350</v>
      </c>
      <c r="I104" s="2"/>
      <c r="J104" s="6">
        <f t="shared" si="69"/>
        <v>6.1277282075272521E-3</v>
      </c>
      <c r="K104" s="2"/>
      <c r="L104" s="7">
        <f t="shared" si="70"/>
        <v>-350</v>
      </c>
      <c r="M104" s="2"/>
      <c r="N104" s="6">
        <f t="shared" si="71"/>
        <v>-1</v>
      </c>
      <c r="O104" s="11"/>
      <c r="P104" s="7"/>
      <c r="Q104" s="2"/>
      <c r="R104" s="6">
        <f t="shared" si="72"/>
        <v>0</v>
      </c>
      <c r="S104" s="2"/>
      <c r="T104" s="7">
        <v>350</v>
      </c>
      <c r="U104" s="2"/>
      <c r="V104" s="6">
        <f t="shared" si="73"/>
        <v>6.1277282075272521E-3</v>
      </c>
      <c r="W104" s="2"/>
      <c r="X104" s="7">
        <f t="shared" si="74"/>
        <v>-350</v>
      </c>
      <c r="Y104" s="2"/>
      <c r="Z104" s="6">
        <f t="shared" si="75"/>
        <v>-1</v>
      </c>
    </row>
    <row r="105" spans="1:26" s="24" customFormat="1" hidden="1" outlineLevel="2" x14ac:dyDescent="0.25">
      <c r="A105" s="29"/>
      <c r="B105" s="11" t="str">
        <f>CONCATENATE("          ", "6309", " - ", "TELEPHONE")</f>
        <v xml:space="preserve">          6309 - TELEPHONE</v>
      </c>
      <c r="C105" s="11"/>
      <c r="D105" s="7">
        <v>-70.36</v>
      </c>
      <c r="E105" s="2"/>
      <c r="F105" s="6">
        <f t="shared" si="68"/>
        <v>-1.3666872887010352E-3</v>
      </c>
      <c r="G105" s="2"/>
      <c r="H105" s="7"/>
      <c r="I105" s="2"/>
      <c r="J105" s="6">
        <f t="shared" si="69"/>
        <v>0</v>
      </c>
      <c r="K105" s="2"/>
      <c r="L105" s="7">
        <f t="shared" si="70"/>
        <v>-70.36</v>
      </c>
      <c r="M105" s="2"/>
      <c r="N105" s="6">
        <f t="shared" si="71"/>
        <v>0</v>
      </c>
      <c r="O105" s="11"/>
      <c r="P105" s="7">
        <v>-70.36</v>
      </c>
      <c r="Q105" s="2"/>
      <c r="R105" s="6">
        <f t="shared" si="72"/>
        <v>-1.3666872887010352E-3</v>
      </c>
      <c r="S105" s="2"/>
      <c r="T105" s="7"/>
      <c r="U105" s="2"/>
      <c r="V105" s="6">
        <f t="shared" si="73"/>
        <v>0</v>
      </c>
      <c r="W105" s="2"/>
      <c r="X105" s="7">
        <f t="shared" si="74"/>
        <v>-70.36</v>
      </c>
      <c r="Y105" s="2"/>
      <c r="Z105" s="6">
        <f t="shared" si="75"/>
        <v>0</v>
      </c>
    </row>
    <row r="106" spans="1:26" s="27" customFormat="1" outlineLevel="1" collapsed="1" x14ac:dyDescent="0.25">
      <c r="A106" s="28"/>
      <c r="B106" s="14" t="str">
        <f>CONCATENATE("     ","Training                                          ")</f>
        <v xml:space="preserve">     Training                                          </v>
      </c>
      <c r="C106" s="14"/>
      <c r="D106" s="1">
        <f>SUM(OSRRefD22_18x_0)</f>
        <v>0</v>
      </c>
      <c r="E106" s="1"/>
      <c r="F106" s="5">
        <f t="shared" ref="F106:F111" si="76">IF(D$12=0,0,D106/D$12)</f>
        <v>0</v>
      </c>
      <c r="G106" s="1"/>
      <c r="H106" s="1">
        <f>SUM(OSRRefH22_18x_0)</f>
        <v>0</v>
      </c>
      <c r="I106" s="1"/>
      <c r="J106" s="5">
        <f t="shared" ref="J106:J111" si="77">IF(H$12=0,0,H106/H$12)</f>
        <v>0</v>
      </c>
      <c r="K106" s="1"/>
      <c r="L106" s="1">
        <f t="shared" ref="L106:L111" si="78">+D106-H106</f>
        <v>0</v>
      </c>
      <c r="M106" s="1"/>
      <c r="N106" s="5">
        <f t="shared" ref="N106:N111" si="79">IF(H106=0,0,L106/H106)</f>
        <v>0</v>
      </c>
      <c r="O106" s="14"/>
      <c r="P106" s="1">
        <f>SUM(OSRRefP22_18x_0)</f>
        <v>0</v>
      </c>
      <c r="Q106" s="1"/>
      <c r="R106" s="5">
        <f t="shared" ref="R106:R111" si="80">IF(P$12=0,0,P106/P$12)</f>
        <v>0</v>
      </c>
      <c r="S106" s="1"/>
      <c r="T106" s="1">
        <f>SUM(OSRRefT22_18x_0)</f>
        <v>0</v>
      </c>
      <c r="U106" s="1"/>
      <c r="V106" s="5">
        <f t="shared" ref="V106:V111" si="81">IF(T$12=0,0,T106/T$12)</f>
        <v>0</v>
      </c>
      <c r="W106" s="1"/>
      <c r="X106" s="1">
        <f t="shared" ref="X106:X111" si="82">+P106-T106</f>
        <v>0</v>
      </c>
      <c r="Y106" s="1"/>
      <c r="Z106" s="5">
        <f t="shared" ref="Z106:Z111" si="83">IF(T106=0,0,X106/T106)</f>
        <v>0</v>
      </c>
    </row>
    <row r="107" spans="1:26" s="24" customFormat="1" hidden="1" outlineLevel="2" x14ac:dyDescent="0.25">
      <c r="A107" s="29"/>
      <c r="B107" s="11" t="str">
        <f>CONCATENATE("          ", "6376", " - ", "TRAINING")</f>
        <v xml:space="preserve">          6376 - TRAINING</v>
      </c>
      <c r="C107" s="11"/>
      <c r="D107" s="7"/>
      <c r="E107" s="2"/>
      <c r="F107" s="6">
        <f t="shared" si="76"/>
        <v>0</v>
      </c>
      <c r="G107" s="2"/>
      <c r="H107" s="7">
        <v>0</v>
      </c>
      <c r="I107" s="2"/>
      <c r="J107" s="6">
        <f t="shared" si="77"/>
        <v>0</v>
      </c>
      <c r="K107" s="2"/>
      <c r="L107" s="7">
        <f t="shared" si="78"/>
        <v>0</v>
      </c>
      <c r="M107" s="2"/>
      <c r="N107" s="6">
        <f t="shared" si="79"/>
        <v>0</v>
      </c>
      <c r="O107" s="11"/>
      <c r="P107" s="7"/>
      <c r="Q107" s="2"/>
      <c r="R107" s="6">
        <f t="shared" si="80"/>
        <v>0</v>
      </c>
      <c r="S107" s="2"/>
      <c r="T107" s="7">
        <v>0</v>
      </c>
      <c r="U107" s="2"/>
      <c r="V107" s="6">
        <f t="shared" si="81"/>
        <v>0</v>
      </c>
      <c r="W107" s="2"/>
      <c r="X107" s="7">
        <f t="shared" si="82"/>
        <v>0</v>
      </c>
      <c r="Y107" s="2"/>
      <c r="Z107" s="6">
        <f t="shared" si="83"/>
        <v>0</v>
      </c>
    </row>
    <row r="108" spans="1:26" s="27" customFormat="1" outlineLevel="1" collapsed="1" x14ac:dyDescent="0.25">
      <c r="A108" s="28"/>
      <c r="B108" s="14" t="str">
        <f>CONCATENATE("     ","Travel                                            ")</f>
        <v xml:space="preserve">     Travel                                            </v>
      </c>
      <c r="C108" s="14"/>
      <c r="D108" s="1">
        <f>SUM(OSRRefD22_19x_0)</f>
        <v>0</v>
      </c>
      <c r="E108" s="1"/>
      <c r="F108" s="5">
        <f t="shared" si="76"/>
        <v>0</v>
      </c>
      <c r="G108" s="1"/>
      <c r="H108" s="1">
        <f>SUM(OSRRefH22_19x_0)</f>
        <v>60</v>
      </c>
      <c r="I108" s="1"/>
      <c r="J108" s="5">
        <f t="shared" si="77"/>
        <v>1.0504676927189575E-3</v>
      </c>
      <c r="K108" s="1"/>
      <c r="L108" s="1">
        <f t="shared" si="78"/>
        <v>-60</v>
      </c>
      <c r="M108" s="1"/>
      <c r="N108" s="5">
        <f t="shared" si="79"/>
        <v>-1</v>
      </c>
      <c r="O108" s="14"/>
      <c r="P108" s="1">
        <f>SUM(OSRRefP22_19x_0)</f>
        <v>0</v>
      </c>
      <c r="Q108" s="1"/>
      <c r="R108" s="5">
        <f t="shared" si="80"/>
        <v>0</v>
      </c>
      <c r="S108" s="1"/>
      <c r="T108" s="1">
        <f>SUM(OSRRefT22_19x_0)</f>
        <v>60</v>
      </c>
      <c r="U108" s="1"/>
      <c r="V108" s="5">
        <f t="shared" si="81"/>
        <v>1.0504676927189575E-3</v>
      </c>
      <c r="W108" s="1"/>
      <c r="X108" s="1">
        <f t="shared" si="82"/>
        <v>-60</v>
      </c>
      <c r="Y108" s="1"/>
      <c r="Z108" s="5">
        <f t="shared" si="83"/>
        <v>-1</v>
      </c>
    </row>
    <row r="109" spans="1:26" s="24" customFormat="1" hidden="1" outlineLevel="2" x14ac:dyDescent="0.25">
      <c r="A109" s="29"/>
      <c r="B109" s="11" t="str">
        <f>CONCATENATE("          ", "6294", " - ", "TRAVEL OPERATIONAL")</f>
        <v xml:space="preserve">          6294 - TRAVEL OPERATIONAL</v>
      </c>
      <c r="C109" s="11"/>
      <c r="D109" s="7"/>
      <c r="E109" s="2"/>
      <c r="F109" s="6">
        <f t="shared" si="76"/>
        <v>0</v>
      </c>
      <c r="G109" s="2"/>
      <c r="H109" s="7">
        <v>60</v>
      </c>
      <c r="I109" s="2"/>
      <c r="J109" s="6">
        <f t="shared" si="77"/>
        <v>1.0504676927189575E-3</v>
      </c>
      <c r="K109" s="2"/>
      <c r="L109" s="7">
        <f t="shared" si="78"/>
        <v>-60</v>
      </c>
      <c r="M109" s="2"/>
      <c r="N109" s="6">
        <f t="shared" si="79"/>
        <v>-1</v>
      </c>
      <c r="O109" s="11"/>
      <c r="P109" s="7"/>
      <c r="Q109" s="2"/>
      <c r="R109" s="6">
        <f t="shared" si="80"/>
        <v>0</v>
      </c>
      <c r="S109" s="2"/>
      <c r="T109" s="7">
        <v>60</v>
      </c>
      <c r="U109" s="2"/>
      <c r="V109" s="6">
        <f t="shared" si="81"/>
        <v>1.0504676927189575E-3</v>
      </c>
      <c r="W109" s="2"/>
      <c r="X109" s="7">
        <f t="shared" si="82"/>
        <v>-60</v>
      </c>
      <c r="Y109" s="2"/>
      <c r="Z109" s="6">
        <f t="shared" si="83"/>
        <v>-1</v>
      </c>
    </row>
    <row r="110" spans="1:26" s="27" customFormat="1" outlineLevel="1" collapsed="1" x14ac:dyDescent="0.25">
      <c r="A110" s="28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SUM(OSRRefD22_20x_0)</f>
        <v>43</v>
      </c>
      <c r="E110" s="1"/>
      <c r="F110" s="5">
        <f t="shared" si="76"/>
        <v>8.3524095244662472E-4</v>
      </c>
      <c r="G110" s="1"/>
      <c r="H110" s="1">
        <f>SUM(OSRRefH22_20x_0)</f>
        <v>100</v>
      </c>
      <c r="I110" s="1"/>
      <c r="J110" s="5">
        <f t="shared" si="77"/>
        <v>1.7507794878649291E-3</v>
      </c>
      <c r="K110" s="1"/>
      <c r="L110" s="1">
        <f t="shared" si="78"/>
        <v>-57</v>
      </c>
      <c r="M110" s="1"/>
      <c r="N110" s="5">
        <f t="shared" si="79"/>
        <v>-0.56999999999999995</v>
      </c>
      <c r="O110" s="14"/>
      <c r="P110" s="1">
        <f>SUM(OSRRefP22_20x_0)</f>
        <v>43</v>
      </c>
      <c r="Q110" s="1"/>
      <c r="R110" s="5">
        <f t="shared" si="80"/>
        <v>8.3524095244662472E-4</v>
      </c>
      <c r="S110" s="1"/>
      <c r="T110" s="1">
        <f>SUM(OSRRefT22_20x_0)</f>
        <v>100</v>
      </c>
      <c r="U110" s="1"/>
      <c r="V110" s="5">
        <f t="shared" si="81"/>
        <v>1.7507794878649291E-3</v>
      </c>
      <c r="W110" s="1"/>
      <c r="X110" s="1">
        <f t="shared" si="82"/>
        <v>-57</v>
      </c>
      <c r="Y110" s="1"/>
      <c r="Z110" s="5">
        <f t="shared" si="83"/>
        <v>-0.56999999999999995</v>
      </c>
    </row>
    <row r="111" spans="1:26" s="24" customFormat="1" hidden="1" outlineLevel="2" x14ac:dyDescent="0.25">
      <c r="A111" s="29"/>
      <c r="B111" s="11" t="str">
        <f>CONCATENATE("          ", "6274", " - ", "UTILITIES")</f>
        <v xml:space="preserve">          6274 - UTILITIES</v>
      </c>
      <c r="C111" s="11"/>
      <c r="D111" s="7">
        <v>43</v>
      </c>
      <c r="E111" s="2"/>
      <c r="F111" s="6">
        <f t="shared" si="76"/>
        <v>8.3524095244662472E-4</v>
      </c>
      <c r="G111" s="2"/>
      <c r="H111" s="7">
        <v>100</v>
      </c>
      <c r="I111" s="2"/>
      <c r="J111" s="6">
        <f t="shared" si="77"/>
        <v>1.7507794878649291E-3</v>
      </c>
      <c r="K111" s="2"/>
      <c r="L111" s="7">
        <f t="shared" si="78"/>
        <v>-57</v>
      </c>
      <c r="M111" s="2"/>
      <c r="N111" s="6">
        <f t="shared" si="79"/>
        <v>-0.56999999999999995</v>
      </c>
      <c r="O111" s="11"/>
      <c r="P111" s="7">
        <v>43</v>
      </c>
      <c r="Q111" s="2"/>
      <c r="R111" s="6">
        <f t="shared" si="80"/>
        <v>8.3524095244662472E-4</v>
      </c>
      <c r="S111" s="2"/>
      <c r="T111" s="7">
        <v>100</v>
      </c>
      <c r="U111" s="2"/>
      <c r="V111" s="6">
        <f t="shared" si="81"/>
        <v>1.7507794878649291E-3</v>
      </c>
      <c r="W111" s="2"/>
      <c r="X111" s="7">
        <f t="shared" si="82"/>
        <v>-57</v>
      </c>
      <c r="Y111" s="2"/>
      <c r="Z111" s="6">
        <f t="shared" si="83"/>
        <v>-0.56999999999999995</v>
      </c>
    </row>
    <row r="112" spans="1:26" s="57" customFormat="1" x14ac:dyDescent="0.25">
      <c r="A112" s="36"/>
      <c r="B112" s="36"/>
      <c r="C112" s="36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6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x14ac:dyDescent="0.25">
      <c r="A113" s="10"/>
      <c r="B113" s="25" t="s">
        <v>0</v>
      </c>
      <c r="C113" s="10"/>
      <c r="D113" s="4">
        <f>SUM(0)</f>
        <v>0</v>
      </c>
      <c r="E113" s="4"/>
      <c r="F113" s="12">
        <f>IF(D$12=0,0,D113/D$12)</f>
        <v>0</v>
      </c>
      <c r="G113" s="4"/>
      <c r="H113" s="4">
        <f>SUM(0)</f>
        <v>0</v>
      </c>
      <c r="I113" s="4"/>
      <c r="J113" s="12">
        <f>IF(H$12=0,0,H113/H$12)</f>
        <v>0</v>
      </c>
      <c r="K113" s="4"/>
      <c r="L113" s="4">
        <f>+D113-H113</f>
        <v>0</v>
      </c>
      <c r="M113" s="4"/>
      <c r="N113" s="12">
        <f>IF(H113=0,0,L113/H113)</f>
        <v>0</v>
      </c>
      <c r="O113" s="10"/>
      <c r="P113" s="4">
        <f>SUM(0)</f>
        <v>0</v>
      </c>
      <c r="Q113" s="4"/>
      <c r="R113" s="12">
        <f>IF(P$12=0,0,P113/P$12)</f>
        <v>0</v>
      </c>
      <c r="S113" s="4"/>
      <c r="T113" s="4">
        <f>SUM(0)</f>
        <v>0</v>
      </c>
      <c r="U113" s="4"/>
      <c r="V113" s="12">
        <f>IF(T$12=0,0,T113/T$12)</f>
        <v>0</v>
      </c>
      <c r="W113" s="4"/>
      <c r="X113" s="4">
        <f>+P113-T113</f>
        <v>0</v>
      </c>
      <c r="Y113" s="4"/>
      <c r="Z113" s="12">
        <f>IF(T113=0,0,X113/T113)</f>
        <v>0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6" t="s">
        <v>3</v>
      </c>
      <c r="C115" s="26"/>
      <c r="D115" s="21">
        <f>+D41-D43+D113</f>
        <v>2514.5200000000004</v>
      </c>
      <c r="E115" s="13"/>
      <c r="F115" s="19">
        <f>IF(D$12=0,0,D115/D$12)</f>
        <v>4.884255999409505E-2</v>
      </c>
      <c r="G115" s="13"/>
      <c r="H115" s="21">
        <f>+H41-H43+H113</f>
        <v>3758.5784533365331</v>
      </c>
      <c r="I115" s="13"/>
      <c r="J115" s="19">
        <f>IF(H$12=0,0,H115/H$12)</f>
        <v>6.5804420596326921E-2</v>
      </c>
      <c r="K115" s="15"/>
      <c r="L115" s="21">
        <f>+D115-H115</f>
        <v>-1244.0584533365327</v>
      </c>
      <c r="M115" s="15"/>
      <c r="N115" s="19">
        <f>IF(H115=0,0,L115/H115)</f>
        <v>-0.33099174828509109</v>
      </c>
      <c r="O115" s="25"/>
      <c r="P115" s="21">
        <f>+P41-P43+P113</f>
        <v>2514.5200000000004</v>
      </c>
      <c r="Q115" s="13"/>
      <c r="R115" s="19">
        <f>IF(P$12=0,0,P115/P$12)</f>
        <v>4.884255999409505E-2</v>
      </c>
      <c r="S115" s="13"/>
      <c r="T115" s="21">
        <f>+T41-T43+T113</f>
        <v>3758.5784533365331</v>
      </c>
      <c r="U115" s="13"/>
      <c r="V115" s="19">
        <f>IF(T$12=0,0,T115/T$12)</f>
        <v>6.5804420596326921E-2</v>
      </c>
      <c r="W115" s="15"/>
      <c r="X115" s="21">
        <f>+P115-T115</f>
        <v>-1244.0584533365327</v>
      </c>
      <c r="Y115" s="15"/>
      <c r="Z115" s="19">
        <f>IF(T115=0,0,X115/T115)</f>
        <v>-0.33099174828509109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2"/>
      <c r="B117" s="10" t="s">
        <v>14</v>
      </c>
      <c r="C117" s="10"/>
      <c r="D117" s="4">
        <v>10704.66</v>
      </c>
      <c r="E117" s="4"/>
      <c r="F117" s="12">
        <f>IF(D$12=0,0,D117/D$12)</f>
        <v>0.20792954451202988</v>
      </c>
      <c r="G117" s="4"/>
      <c r="H117" s="4">
        <v>13920</v>
      </c>
      <c r="I117" s="4"/>
      <c r="J117" s="12">
        <f>IF(H$12=0,0,H117/H$12)</f>
        <v>0.24370850471079814</v>
      </c>
      <c r="K117" s="4"/>
      <c r="L117" s="4">
        <f>+D117-H117</f>
        <v>-3215.34</v>
      </c>
      <c r="M117" s="4"/>
      <c r="N117" s="12">
        <f>IF(H117=0,0,L117/H117)</f>
        <v>-0.23098706896551724</v>
      </c>
      <c r="O117" s="10"/>
      <c r="P117" s="4">
        <v>10704.66</v>
      </c>
      <c r="Q117" s="4"/>
      <c r="R117" s="12">
        <f>IF(P$12=0,0,P117/P$12)</f>
        <v>0.20792954451202988</v>
      </c>
      <c r="S117" s="4"/>
      <c r="T117" s="4">
        <v>13920</v>
      </c>
      <c r="U117" s="4"/>
      <c r="V117" s="12">
        <f>IF(T$12=0,0,T117/T$12)</f>
        <v>0.24370850471079814</v>
      </c>
      <c r="W117" s="4"/>
      <c r="X117" s="4">
        <f>+P117-T117</f>
        <v>-3215.34</v>
      </c>
      <c r="Y117" s="4"/>
      <c r="Z117" s="12">
        <f>IF(T117=0,0,X117/T117)</f>
        <v>-0.23098706896551724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6" t="s">
        <v>4</v>
      </c>
      <c r="C119" s="26"/>
      <c r="D119" s="32">
        <f>+D115-D117</f>
        <v>-8190.1399999999994</v>
      </c>
      <c r="E119" s="13"/>
      <c r="F119" s="31">
        <f>IF(D$12=0,0,D119/D$12)</f>
        <v>-0.15908698451793485</v>
      </c>
      <c r="G119" s="13"/>
      <c r="H119" s="32">
        <f>+H115-H117</f>
        <v>-10161.421546663467</v>
      </c>
      <c r="I119" s="13"/>
      <c r="J119" s="31">
        <f>IF(H$12=0,0,H119/H$12)</f>
        <v>-0.1779040841144712</v>
      </c>
      <c r="K119" s="15"/>
      <c r="L119" s="32">
        <f>D119-H119</f>
        <v>1971.2815466634675</v>
      </c>
      <c r="M119" s="15"/>
      <c r="N119" s="31">
        <f>IF(H119=0,0,L119/H119)</f>
        <v>-0.19399663104329568</v>
      </c>
      <c r="O119" s="25"/>
      <c r="P119" s="32">
        <f>+P115-P117</f>
        <v>-8190.1399999999994</v>
      </c>
      <c r="Q119" s="13"/>
      <c r="R119" s="31">
        <f>IF(P$12=0,0,P119/P$12)</f>
        <v>-0.15908698451793485</v>
      </c>
      <c r="S119" s="13"/>
      <c r="T119" s="32">
        <f>+T115-T117</f>
        <v>-10161.421546663467</v>
      </c>
      <c r="U119" s="13"/>
      <c r="V119" s="31">
        <f>IF(T$12=0,0,T119/T$12)</f>
        <v>-0.1779040841144712</v>
      </c>
      <c r="W119" s="15"/>
      <c r="X119" s="32">
        <f>P119-T119</f>
        <v>1971.2815466634675</v>
      </c>
      <c r="Y119" s="15"/>
      <c r="Z119" s="31">
        <f>IF(T119=0,0,X119/T119)</f>
        <v>-0.19399663104329568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6" t="s">
        <v>5</v>
      </c>
      <c r="C122" s="26"/>
      <c r="D122" s="33">
        <f>SUM(D119:D121)</f>
        <v>-8190.1399999999994</v>
      </c>
      <c r="E122" s="13"/>
      <c r="F122" s="34">
        <f>IF(D$12=0,0,D122/D$12)</f>
        <v>-0.15908698451793485</v>
      </c>
      <c r="G122" s="13"/>
      <c r="H122" s="33">
        <f>SUM(H119:H121)</f>
        <v>-10161.421546663467</v>
      </c>
      <c r="I122" s="13"/>
      <c r="J122" s="34">
        <f>IF(H$12=0,0,H122/H$12)</f>
        <v>-0.1779040841144712</v>
      </c>
      <c r="K122" s="15"/>
      <c r="L122" s="33">
        <f>+D122-H122</f>
        <v>1971.2815466634675</v>
      </c>
      <c r="M122" s="15"/>
      <c r="N122" s="34">
        <f>IF(H122=0,0,L122/H122)</f>
        <v>-0.19399663104329568</v>
      </c>
      <c r="O122" s="25"/>
      <c r="P122" s="33">
        <f>SUM(P119:P121)</f>
        <v>-8190.1399999999994</v>
      </c>
      <c r="Q122" s="13"/>
      <c r="R122" s="34">
        <f>IF(P$12=0,0,P122/P$12)</f>
        <v>-0.15908698451793485</v>
      </c>
      <c r="S122" s="13"/>
      <c r="T122" s="33">
        <f>SUM(T119:T121)</f>
        <v>-10161.421546663467</v>
      </c>
      <c r="U122" s="13"/>
      <c r="V122" s="34">
        <f>IF(T$12=0,0,T122/T$12)</f>
        <v>-0.1779040841144712</v>
      </c>
      <c r="W122" s="15"/>
      <c r="X122" s="33">
        <f>+P122-T122</f>
        <v>1971.2815466634675</v>
      </c>
      <c r="Y122" s="15"/>
      <c r="Z122" s="34">
        <f>IF(T122=0,0,X122/T122)</f>
        <v>-0.19399663104329568</v>
      </c>
    </row>
    <row r="123" spans="1:26" ht="15.75" thickTop="1" x14ac:dyDescent="0.25">
      <c r="A123" s="9"/>
      <c r="C123" s="9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A124" s="9"/>
      <c r="B124" s="61">
        <v>43726.67887427083</v>
      </c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25">
      <c r="A125" s="9"/>
      <c r="B125" s="56" t="s">
        <v>314</v>
      </c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A126" s="9"/>
      <c r="B126" s="53"/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25"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305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8909.0899999999983</v>
      </c>
      <c r="E12" s="4"/>
      <c r="F12" s="12"/>
      <c r="G12" s="4"/>
      <c r="H12" s="4">
        <f>SUM(OSRRefH13x_0)</f>
        <v>11400</v>
      </c>
      <c r="I12" s="4"/>
      <c r="J12" s="12"/>
      <c r="K12" s="4"/>
      <c r="L12" s="4">
        <f t="shared" ref="L12:L27" si="0">+D12-H12</f>
        <v>-2490.9100000000017</v>
      </c>
      <c r="M12" s="4"/>
      <c r="N12" s="12">
        <f t="shared" ref="N12:N27" si="1">IF(H12=0,0,L12/H12)</f>
        <v>-0.21850087719298261</v>
      </c>
      <c r="O12" s="10"/>
      <c r="P12" s="4">
        <f>SUM(OSRRefP13x_0)</f>
        <v>8909.0899999999983</v>
      </c>
      <c r="Q12" s="4"/>
      <c r="R12" s="12"/>
      <c r="S12" s="4"/>
      <c r="T12" s="4">
        <f>SUM(OSRRefT13x_0)</f>
        <v>11400</v>
      </c>
      <c r="U12" s="4"/>
      <c r="V12" s="12"/>
      <c r="W12" s="4"/>
      <c r="X12" s="4">
        <f t="shared" ref="X12:X27" si="2">+P12-T12</f>
        <v>-2490.9100000000017</v>
      </c>
      <c r="Y12" s="4"/>
      <c r="Z12" s="12">
        <f t="shared" ref="Z12:Z27" si="3">IF(T12=0,0,X12/T12)</f>
        <v>-0.21850087719298261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7600</v>
      </c>
      <c r="I13" s="2"/>
      <c r="J13" s="22"/>
      <c r="K13" s="2"/>
      <c r="L13" s="2">
        <f t="shared" si="0"/>
        <v>-7600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7600</v>
      </c>
      <c r="U13" s="2"/>
      <c r="V13" s="22"/>
      <c r="W13" s="2"/>
      <c r="X13" s="2">
        <f t="shared" si="2"/>
        <v>-7600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--463.7</f>
        <v>463.7</v>
      </c>
      <c r="E14" s="2"/>
      <c r="F14" s="22"/>
      <c r="G14" s="2"/>
      <c r="H14" s="2"/>
      <c r="I14" s="2"/>
      <c r="J14" s="22"/>
      <c r="K14" s="2"/>
      <c r="L14" s="2">
        <f t="shared" si="0"/>
        <v>463.7</v>
      </c>
      <c r="M14" s="2"/>
      <c r="N14" s="22">
        <f t="shared" si="1"/>
        <v>0</v>
      </c>
      <c r="O14" s="11"/>
      <c r="P14" s="2">
        <f>--463.7</f>
        <v>463.7</v>
      </c>
      <c r="Q14" s="2"/>
      <c r="R14" s="22"/>
      <c r="S14" s="2"/>
      <c r="T14" s="2"/>
      <c r="U14" s="2"/>
      <c r="V14" s="22"/>
      <c r="W14" s="2"/>
      <c r="X14" s="2">
        <f t="shared" si="2"/>
        <v>463.7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--4059.92</f>
        <v>4059.92</v>
      </c>
      <c r="E15" s="2"/>
      <c r="F15" s="22"/>
      <c r="G15" s="2"/>
      <c r="H15" s="2"/>
      <c r="I15" s="2"/>
      <c r="J15" s="22"/>
      <c r="K15" s="2"/>
      <c r="L15" s="2">
        <f t="shared" si="0"/>
        <v>4059.92</v>
      </c>
      <c r="M15" s="2"/>
      <c r="N15" s="22">
        <f t="shared" si="1"/>
        <v>0</v>
      </c>
      <c r="O15" s="11"/>
      <c r="P15" s="2">
        <f>--4059.92</f>
        <v>4059.92</v>
      </c>
      <c r="Q15" s="2"/>
      <c r="R15" s="22"/>
      <c r="S15" s="2"/>
      <c r="T15" s="2"/>
      <c r="U15" s="2"/>
      <c r="V15" s="22"/>
      <c r="W15" s="2"/>
      <c r="X15" s="2">
        <f t="shared" si="2"/>
        <v>4059.92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--15.55</f>
        <v>15.55</v>
      </c>
      <c r="E16" s="2"/>
      <c r="F16" s="22"/>
      <c r="G16" s="2"/>
      <c r="H16" s="2"/>
      <c r="I16" s="2"/>
      <c r="J16" s="22"/>
      <c r="K16" s="2"/>
      <c r="L16" s="2">
        <f t="shared" si="0"/>
        <v>15.55</v>
      </c>
      <c r="M16" s="2"/>
      <c r="N16" s="22">
        <f t="shared" si="1"/>
        <v>0</v>
      </c>
      <c r="O16" s="11"/>
      <c r="P16" s="2">
        <f>--15.55</f>
        <v>15.55</v>
      </c>
      <c r="Q16" s="2"/>
      <c r="R16" s="22"/>
      <c r="S16" s="2"/>
      <c r="T16" s="2"/>
      <c r="U16" s="2"/>
      <c r="V16" s="22"/>
      <c r="W16" s="2"/>
      <c r="X16" s="2">
        <f t="shared" si="2"/>
        <v>15.55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"4047", " - ", "TAXABLE SALES-MISC")</f>
        <v xml:space="preserve">          4047 - TAXABLE SALES-MISC</v>
      </c>
      <c r="C17" s="11"/>
      <c r="D17" s="2">
        <f>--40</f>
        <v>40</v>
      </c>
      <c r="E17" s="2"/>
      <c r="F17" s="22"/>
      <c r="G17" s="2"/>
      <c r="H17" s="2"/>
      <c r="I17" s="2"/>
      <c r="J17" s="22"/>
      <c r="K17" s="2"/>
      <c r="L17" s="2">
        <f t="shared" si="0"/>
        <v>40</v>
      </c>
      <c r="M17" s="2"/>
      <c r="N17" s="22">
        <f t="shared" si="1"/>
        <v>0</v>
      </c>
      <c r="O17" s="11"/>
      <c r="P17" s="2">
        <f>--40</f>
        <v>40</v>
      </c>
      <c r="Q17" s="2"/>
      <c r="R17" s="22"/>
      <c r="S17" s="2"/>
      <c r="T17" s="2"/>
      <c r="U17" s="2"/>
      <c r="V17" s="22"/>
      <c r="W17" s="2"/>
      <c r="X17" s="2">
        <f t="shared" si="2"/>
        <v>40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"4092", " - ", "TAXABLE SALES-GRAD MERCH")</f>
        <v xml:space="preserve">          4092 - TAXABLE SALES-GRAD MERCH</v>
      </c>
      <c r="C18" s="11"/>
      <c r="D18" s="2">
        <f>--2128.63</f>
        <v>2128.63</v>
      </c>
      <c r="E18" s="2"/>
      <c r="F18" s="22"/>
      <c r="G18" s="2"/>
      <c r="H18" s="2"/>
      <c r="I18" s="2"/>
      <c r="J18" s="22"/>
      <c r="K18" s="2"/>
      <c r="L18" s="2">
        <f t="shared" si="0"/>
        <v>2128.63</v>
      </c>
      <c r="M18" s="2"/>
      <c r="N18" s="22">
        <f t="shared" si="1"/>
        <v>0</v>
      </c>
      <c r="O18" s="11"/>
      <c r="P18" s="2">
        <f>--2128.63</f>
        <v>2128.63</v>
      </c>
      <c r="Q18" s="2"/>
      <c r="R18" s="22"/>
      <c r="S18" s="2"/>
      <c r="T18" s="2"/>
      <c r="U18" s="2"/>
      <c r="V18" s="22"/>
      <c r="W18" s="2"/>
      <c r="X18" s="2">
        <f t="shared" si="2"/>
        <v>2128.63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>--35.64</f>
        <v>35.64</v>
      </c>
      <c r="E19" s="2"/>
      <c r="F19" s="22"/>
      <c r="G19" s="2"/>
      <c r="H19" s="2"/>
      <c r="I19" s="2"/>
      <c r="J19" s="22"/>
      <c r="K19" s="2"/>
      <c r="L19" s="2">
        <f t="shared" si="0"/>
        <v>35.64</v>
      </c>
      <c r="M19" s="2"/>
      <c r="N19" s="22">
        <f t="shared" si="1"/>
        <v>0</v>
      </c>
      <c r="O19" s="11"/>
      <c r="P19" s="2">
        <f>--35.64</f>
        <v>35.64</v>
      </c>
      <c r="Q19" s="2"/>
      <c r="R19" s="22"/>
      <c r="S19" s="2"/>
      <c r="T19" s="2"/>
      <c r="U19" s="2"/>
      <c r="V19" s="22"/>
      <c r="W19" s="2"/>
      <c r="X19" s="2">
        <f t="shared" si="2"/>
        <v>35.64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>0</f>
        <v>0</v>
      </c>
      <c r="E20" s="2"/>
      <c r="F20" s="22"/>
      <c r="G20" s="2"/>
      <c r="H20" s="2">
        <v>3800</v>
      </c>
      <c r="I20" s="2"/>
      <c r="J20" s="22"/>
      <c r="K20" s="2"/>
      <c r="L20" s="2">
        <f t="shared" si="0"/>
        <v>-3800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3800</v>
      </c>
      <c r="U20" s="2"/>
      <c r="V20" s="22"/>
      <c r="W20" s="2"/>
      <c r="X20" s="2">
        <f t="shared" si="2"/>
        <v>-3800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--7.95</f>
        <v>7.95</v>
      </c>
      <c r="E21" s="2"/>
      <c r="F21" s="22"/>
      <c r="G21" s="2"/>
      <c r="H21" s="2"/>
      <c r="I21" s="2"/>
      <c r="J21" s="22"/>
      <c r="K21" s="2"/>
      <c r="L21" s="2">
        <f t="shared" si="0"/>
        <v>7.95</v>
      </c>
      <c r="M21" s="2"/>
      <c r="N21" s="22">
        <f t="shared" si="1"/>
        <v>0</v>
      </c>
      <c r="O21" s="11"/>
      <c r="P21" s="2">
        <f>--7.95</f>
        <v>7.95</v>
      </c>
      <c r="Q21" s="2"/>
      <c r="R21" s="22"/>
      <c r="S21" s="2"/>
      <c r="T21" s="2"/>
      <c r="U21" s="2"/>
      <c r="V21" s="22"/>
      <c r="W21" s="2"/>
      <c r="X21" s="2">
        <f t="shared" si="2"/>
        <v>7.95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--111</f>
        <v>111</v>
      </c>
      <c r="E22" s="2"/>
      <c r="F22" s="22"/>
      <c r="G22" s="2"/>
      <c r="H22" s="2"/>
      <c r="I22" s="2"/>
      <c r="J22" s="22"/>
      <c r="K22" s="2"/>
      <c r="L22" s="2">
        <f t="shared" si="0"/>
        <v>111</v>
      </c>
      <c r="M22" s="2"/>
      <c r="N22" s="22">
        <f t="shared" si="1"/>
        <v>0</v>
      </c>
      <c r="O22" s="11"/>
      <c r="P22" s="2">
        <f>--111</f>
        <v>111</v>
      </c>
      <c r="Q22" s="2"/>
      <c r="R22" s="22"/>
      <c r="S22" s="2"/>
      <c r="T22" s="2"/>
      <c r="U22" s="2"/>
      <c r="V22" s="22"/>
      <c r="W22" s="2"/>
      <c r="X22" s="2">
        <f t="shared" si="2"/>
        <v>111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>--2067.1</f>
        <v>2067.1</v>
      </c>
      <c r="E23" s="2"/>
      <c r="F23" s="22"/>
      <c r="G23" s="2"/>
      <c r="H23" s="2"/>
      <c r="I23" s="2"/>
      <c r="J23" s="22"/>
      <c r="K23" s="2"/>
      <c r="L23" s="2">
        <f t="shared" si="0"/>
        <v>2067.1</v>
      </c>
      <c r="M23" s="2"/>
      <c r="N23" s="22">
        <f t="shared" si="1"/>
        <v>0</v>
      </c>
      <c r="O23" s="11"/>
      <c r="P23" s="2">
        <f>--2067.1</f>
        <v>2067.1</v>
      </c>
      <c r="Q23" s="2"/>
      <c r="R23" s="22"/>
      <c r="S23" s="2"/>
      <c r="T23" s="2"/>
      <c r="U23" s="2"/>
      <c r="V23" s="22"/>
      <c r="W23" s="2"/>
      <c r="X23" s="2">
        <f t="shared" si="2"/>
        <v>2067.1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"4147", " - ", "NON-TAXABLE SALES-MISC")</f>
        <v xml:space="preserve">          4147 - NON-TAXABLE SALES-MISC</v>
      </c>
      <c r="C24" s="11"/>
      <c r="D24" s="2">
        <f>--16.5</f>
        <v>16.5</v>
      </c>
      <c r="E24" s="2"/>
      <c r="F24" s="22"/>
      <c r="G24" s="2"/>
      <c r="H24" s="2"/>
      <c r="I24" s="2"/>
      <c r="J24" s="22"/>
      <c r="K24" s="2"/>
      <c r="L24" s="2">
        <f t="shared" si="0"/>
        <v>16.5</v>
      </c>
      <c r="M24" s="2"/>
      <c r="N24" s="22">
        <f t="shared" si="1"/>
        <v>0</v>
      </c>
      <c r="O24" s="11"/>
      <c r="P24" s="2">
        <f>--16.5</f>
        <v>16.5</v>
      </c>
      <c r="Q24" s="2"/>
      <c r="R24" s="22"/>
      <c r="S24" s="2"/>
      <c r="T24" s="2"/>
      <c r="U24" s="2"/>
      <c r="V24" s="22"/>
      <c r="W24" s="2"/>
      <c r="X24" s="2">
        <f t="shared" si="2"/>
        <v>16.5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-10.75</f>
        <v>-10.75</v>
      </c>
      <c r="E25" s="2"/>
      <c r="F25" s="22"/>
      <c r="G25" s="2"/>
      <c r="H25" s="2"/>
      <c r="I25" s="2"/>
      <c r="J25" s="22"/>
      <c r="K25" s="2"/>
      <c r="L25" s="2">
        <f t="shared" si="0"/>
        <v>-10.75</v>
      </c>
      <c r="M25" s="2"/>
      <c r="N25" s="22">
        <f t="shared" si="1"/>
        <v>0</v>
      </c>
      <c r="O25" s="11"/>
      <c r="P25" s="2">
        <f>-10.75</f>
        <v>-10.75</v>
      </c>
      <c r="Q25" s="2"/>
      <c r="R25" s="22"/>
      <c r="S25" s="2"/>
      <c r="T25" s="2"/>
      <c r="U25" s="2"/>
      <c r="V25" s="22"/>
      <c r="W25" s="2"/>
      <c r="X25" s="2">
        <f t="shared" si="2"/>
        <v>-10.75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-16.2</f>
        <v>-16.2</v>
      </c>
      <c r="E26" s="2"/>
      <c r="F26" s="22"/>
      <c r="G26" s="2"/>
      <c r="H26" s="2"/>
      <c r="I26" s="2"/>
      <c r="J26" s="22"/>
      <c r="K26" s="2"/>
      <c r="L26" s="2">
        <f t="shared" si="0"/>
        <v>-16.2</v>
      </c>
      <c r="M26" s="2"/>
      <c r="N26" s="22">
        <f t="shared" si="1"/>
        <v>0</v>
      </c>
      <c r="O26" s="11"/>
      <c r="P26" s="2">
        <f>-16.2</f>
        <v>-16.2</v>
      </c>
      <c r="Q26" s="2"/>
      <c r="R26" s="22"/>
      <c r="S26" s="2"/>
      <c r="T26" s="2"/>
      <c r="U26" s="2"/>
      <c r="V26" s="22"/>
      <c r="W26" s="2"/>
      <c r="X26" s="2">
        <f t="shared" si="2"/>
        <v>-16.2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"4292", " - ", "SALES RETURN TAXABLE-GRAD MERC")</f>
        <v xml:space="preserve">          4292 - SALES RETURN TAXABLE-GRAD MERC</v>
      </c>
      <c r="C27" s="11"/>
      <c r="D27" s="2">
        <f>-9.95</f>
        <v>-9.9499999999999993</v>
      </c>
      <c r="E27" s="2"/>
      <c r="F27" s="22"/>
      <c r="G27" s="2"/>
      <c r="H27" s="2"/>
      <c r="I27" s="2"/>
      <c r="J27" s="22"/>
      <c r="K27" s="2"/>
      <c r="L27" s="2">
        <f t="shared" si="0"/>
        <v>-9.9499999999999993</v>
      </c>
      <c r="M27" s="2"/>
      <c r="N27" s="22">
        <f t="shared" si="1"/>
        <v>0</v>
      </c>
      <c r="O27" s="11"/>
      <c r="P27" s="2">
        <f>-9.95</f>
        <v>-9.9499999999999993</v>
      </c>
      <c r="Q27" s="2"/>
      <c r="R27" s="22"/>
      <c r="S27" s="2"/>
      <c r="T27" s="2"/>
      <c r="U27" s="2"/>
      <c r="V27" s="22"/>
      <c r="W27" s="2"/>
      <c r="X27" s="2">
        <f t="shared" si="2"/>
        <v>-9.9499999999999993</v>
      </c>
      <c r="Y27" s="2"/>
      <c r="Z27" s="22">
        <f t="shared" si="3"/>
        <v>0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5" t="s">
        <v>8</v>
      </c>
      <c r="C29" s="10"/>
      <c r="D29" s="4">
        <f>SUM(OSRRefD16x_0)</f>
        <v>1044.4499999999998</v>
      </c>
      <c r="E29" s="4"/>
      <c r="F29" s="12">
        <f t="shared" ref="F29:F33" si="4">IF(D$12=0,0,D29/D$12)</f>
        <v>0.11723419563614242</v>
      </c>
      <c r="G29" s="4"/>
      <c r="H29" s="4">
        <f>SUM(OSRRefH16x_0)</f>
        <v>0</v>
      </c>
      <c r="I29" s="4"/>
      <c r="J29" s="12">
        <f t="shared" ref="J29:J33" si="5">IF(H$12=0,0,H29/H$12)</f>
        <v>0</v>
      </c>
      <c r="K29" s="4"/>
      <c r="L29" s="4">
        <f t="shared" ref="L29:L33" si="6">+D29-H29</f>
        <v>1044.4499999999998</v>
      </c>
      <c r="M29" s="4"/>
      <c r="N29" s="12">
        <f t="shared" ref="N29:N33" si="7">IF(H29=0,0,L29/H29)</f>
        <v>0</v>
      </c>
      <c r="O29" s="10"/>
      <c r="P29" s="4">
        <f>SUM(OSRRefP16x_0)</f>
        <v>1044.4499999999998</v>
      </c>
      <c r="Q29" s="4"/>
      <c r="R29" s="12">
        <f t="shared" ref="R29:R33" si="8">IF(P$12=0,0,P29/P$12)</f>
        <v>0.11723419563614242</v>
      </c>
      <c r="S29" s="4"/>
      <c r="T29" s="4">
        <f>SUM(OSRRefT16x_0)</f>
        <v>0</v>
      </c>
      <c r="U29" s="4"/>
      <c r="V29" s="12">
        <f t="shared" ref="V29:V33" si="9">IF(T$12=0,0,T29/T$12)</f>
        <v>0</v>
      </c>
      <c r="W29" s="4"/>
      <c r="X29" s="4">
        <f t="shared" ref="X29:X33" si="10">+P29-T29</f>
        <v>1044.4499999999998</v>
      </c>
      <c r="Y29" s="4"/>
      <c r="Z29" s="12">
        <f t="shared" ref="Z29:Z33" si="11">IF(T29=0,0,X29/T29)</f>
        <v>0</v>
      </c>
    </row>
    <row r="30" spans="1:26" s="24" customFormat="1" hidden="1" outlineLevel="1" x14ac:dyDescent="0.25">
      <c r="A30" s="51"/>
      <c r="B30" s="11" t="str">
        <f>CONCATENATE("          ", "5092", " - ", "PURCHASES @ COST-GRAD MERCH")</f>
        <v xml:space="preserve">          5092 - PURCHASES @ COST-GRAD MERCH</v>
      </c>
      <c r="C30" s="11"/>
      <c r="D30" s="2">
        <v>1228.5999999999999</v>
      </c>
      <c r="E30" s="2"/>
      <c r="F30" s="22">
        <f t="shared" si="4"/>
        <v>0.13790409570449957</v>
      </c>
      <c r="G30" s="2"/>
      <c r="H30" s="2"/>
      <c r="I30" s="2"/>
      <c r="J30" s="22">
        <f t="shared" si="5"/>
        <v>0</v>
      </c>
      <c r="K30" s="2"/>
      <c r="L30" s="2">
        <f t="shared" si="6"/>
        <v>1228.5999999999999</v>
      </c>
      <c r="M30" s="2"/>
      <c r="N30" s="22">
        <f t="shared" si="7"/>
        <v>0</v>
      </c>
      <c r="O30" s="11"/>
      <c r="P30" s="2">
        <v>1228.5999999999999</v>
      </c>
      <c r="Q30" s="2"/>
      <c r="R30" s="22">
        <f t="shared" si="8"/>
        <v>0.13790409570449957</v>
      </c>
      <c r="S30" s="2"/>
      <c r="T30" s="2"/>
      <c r="U30" s="2"/>
      <c r="V30" s="22">
        <f t="shared" si="9"/>
        <v>0</v>
      </c>
      <c r="W30" s="2"/>
      <c r="X30" s="2">
        <f t="shared" si="10"/>
        <v>1228.5999999999999</v>
      </c>
      <c r="Y30" s="2"/>
      <c r="Z30" s="22">
        <f t="shared" si="11"/>
        <v>0</v>
      </c>
    </row>
    <row r="31" spans="1:26" s="24" customFormat="1" hidden="1" outlineLevel="1" x14ac:dyDescent="0.25">
      <c r="A31" s="51"/>
      <c r="B31" s="11" t="str">
        <f>CONCATENATE("          ", "5095", " - ", "PURCHASES @ COST-CUSTOMER SERV")</f>
        <v xml:space="preserve">          5095 - PURCHASES @ COST-CUSTOMER SERV</v>
      </c>
      <c r="C31" s="11"/>
      <c r="D31" s="2">
        <v>11.85</v>
      </c>
      <c r="E31" s="2"/>
      <c r="F31" s="22">
        <f t="shared" si="4"/>
        <v>1.3301021765410386E-3</v>
      </c>
      <c r="G31" s="2"/>
      <c r="H31" s="2"/>
      <c r="I31" s="2"/>
      <c r="J31" s="22">
        <f t="shared" si="5"/>
        <v>0</v>
      </c>
      <c r="K31" s="2"/>
      <c r="L31" s="2">
        <f t="shared" si="6"/>
        <v>11.85</v>
      </c>
      <c r="M31" s="2"/>
      <c r="N31" s="22">
        <f t="shared" si="7"/>
        <v>0</v>
      </c>
      <c r="O31" s="11"/>
      <c r="P31" s="2">
        <v>11.85</v>
      </c>
      <c r="Q31" s="2"/>
      <c r="R31" s="22">
        <f t="shared" si="8"/>
        <v>1.3301021765410386E-3</v>
      </c>
      <c r="S31" s="2"/>
      <c r="T31" s="2"/>
      <c r="U31" s="2"/>
      <c r="V31" s="22">
        <f t="shared" si="9"/>
        <v>0</v>
      </c>
      <c r="W31" s="2"/>
      <c r="X31" s="2">
        <f t="shared" si="10"/>
        <v>11.85</v>
      </c>
      <c r="Y31" s="2"/>
      <c r="Z31" s="22">
        <f t="shared" si="11"/>
        <v>0</v>
      </c>
    </row>
    <row r="32" spans="1:26" s="24" customFormat="1" hidden="1" outlineLevel="1" x14ac:dyDescent="0.25">
      <c r="A32" s="51"/>
      <c r="B32" s="11" t="str">
        <f>CONCATENATE("          ", "5200", " - ", "PURCHASES OFFSET")</f>
        <v xml:space="preserve">          5200 - PURCHASES OFFSET</v>
      </c>
      <c r="C32" s="11"/>
      <c r="D32" s="2">
        <v>-1241</v>
      </c>
      <c r="E32" s="2"/>
      <c r="F32" s="22">
        <f t="shared" si="4"/>
        <v>-0.13929593258121764</v>
      </c>
      <c r="G32" s="2"/>
      <c r="H32" s="2"/>
      <c r="I32" s="2"/>
      <c r="J32" s="22">
        <f t="shared" si="5"/>
        <v>0</v>
      </c>
      <c r="K32" s="2"/>
      <c r="L32" s="2">
        <f t="shared" si="6"/>
        <v>-1241</v>
      </c>
      <c r="M32" s="2"/>
      <c r="N32" s="22">
        <f t="shared" si="7"/>
        <v>0</v>
      </c>
      <c r="O32" s="11"/>
      <c r="P32" s="2">
        <v>-1241</v>
      </c>
      <c r="Q32" s="2"/>
      <c r="R32" s="22">
        <f t="shared" si="8"/>
        <v>-0.13929593258121764</v>
      </c>
      <c r="S32" s="2"/>
      <c r="T32" s="2"/>
      <c r="U32" s="2"/>
      <c r="V32" s="22">
        <f t="shared" si="9"/>
        <v>0</v>
      </c>
      <c r="W32" s="2"/>
      <c r="X32" s="2">
        <f t="shared" si="10"/>
        <v>-1241</v>
      </c>
      <c r="Y32" s="2"/>
      <c r="Z32" s="22">
        <f t="shared" si="11"/>
        <v>0</v>
      </c>
    </row>
    <row r="33" spans="1:26" s="24" customFormat="1" hidden="1" outlineLevel="1" x14ac:dyDescent="0.25">
      <c r="A33" s="51"/>
      <c r="B33" s="11" t="str">
        <f>CONCATENATE("          ", "5300", " - ", "COG$ OFFSET")</f>
        <v xml:space="preserve">          5300 - COG$ OFFSET</v>
      </c>
      <c r="C33" s="11"/>
      <c r="D33" s="2">
        <v>1045</v>
      </c>
      <c r="E33" s="2"/>
      <c r="F33" s="22">
        <f t="shared" si="4"/>
        <v>0.11729593033631944</v>
      </c>
      <c r="G33" s="2"/>
      <c r="H33" s="2"/>
      <c r="I33" s="2"/>
      <c r="J33" s="22">
        <f t="shared" si="5"/>
        <v>0</v>
      </c>
      <c r="K33" s="2"/>
      <c r="L33" s="2">
        <f t="shared" si="6"/>
        <v>1045</v>
      </c>
      <c r="M33" s="2"/>
      <c r="N33" s="22">
        <f t="shared" si="7"/>
        <v>0</v>
      </c>
      <c r="O33" s="11"/>
      <c r="P33" s="2">
        <v>1045</v>
      </c>
      <c r="Q33" s="2"/>
      <c r="R33" s="22">
        <f t="shared" si="8"/>
        <v>0.11729593033631944</v>
      </c>
      <c r="S33" s="2"/>
      <c r="T33" s="2"/>
      <c r="U33" s="2"/>
      <c r="V33" s="22">
        <f t="shared" si="9"/>
        <v>0</v>
      </c>
      <c r="W33" s="2"/>
      <c r="X33" s="2">
        <f t="shared" si="10"/>
        <v>1045</v>
      </c>
      <c r="Y33" s="2"/>
      <c r="Z33" s="22">
        <f t="shared" si="11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6" t="s">
        <v>6</v>
      </c>
      <c r="C35" s="26"/>
      <c r="D35" s="21">
        <f>D12-D29</f>
        <v>7864.6399999999985</v>
      </c>
      <c r="E35" s="13"/>
      <c r="F35" s="19">
        <f>IF(D$12=0,0,D35/D$12)</f>
        <v>0.88276580436385754</v>
      </c>
      <c r="G35" s="13"/>
      <c r="H35" s="21">
        <f>H12-H29</f>
        <v>11400</v>
      </c>
      <c r="I35" s="13"/>
      <c r="J35" s="19">
        <f>IF(H$12=0,0,H35/H$12)</f>
        <v>1</v>
      </c>
      <c r="K35" s="15"/>
      <c r="L35" s="21">
        <f>+D35-H35</f>
        <v>-3535.3600000000015</v>
      </c>
      <c r="M35" s="15"/>
      <c r="N35" s="19">
        <f>IF(H35=0,0,L35/H35)</f>
        <v>-0.31011929824561418</v>
      </c>
      <c r="O35" s="25"/>
      <c r="P35" s="21">
        <f>P12-P29</f>
        <v>7864.6399999999985</v>
      </c>
      <c r="Q35" s="13"/>
      <c r="R35" s="19">
        <f>IF(P$12=0,0,P35/P$12)</f>
        <v>0.88276580436385754</v>
      </c>
      <c r="S35" s="13"/>
      <c r="T35" s="21">
        <f>T12-T29</f>
        <v>11400</v>
      </c>
      <c r="U35" s="13"/>
      <c r="V35" s="19">
        <f>IF(T$12=0,0,T35/T$12)</f>
        <v>1</v>
      </c>
      <c r="W35" s="15"/>
      <c r="X35" s="21">
        <f>+P35-T35</f>
        <v>-3535.3600000000015</v>
      </c>
      <c r="Y35" s="15"/>
      <c r="Z35" s="19">
        <f>IF(T35=0,0,X35/T35)</f>
        <v>-0.31011929824561418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5" t="s">
        <v>9</v>
      </c>
      <c r="C37" s="10"/>
      <c r="D37" s="20">
        <f>SUM(OSRRefD22x_0)</f>
        <v>34743.360000000001</v>
      </c>
      <c r="E37" s="20"/>
      <c r="F37" s="30">
        <f t="shared" ref="F37:F47" si="12">IF(D$12=0,0,D37/D$12)</f>
        <v>3.8997652958944187</v>
      </c>
      <c r="G37" s="20"/>
      <c r="H37" s="20">
        <f>SUM(OSRRefH22x_0)</f>
        <v>53173.652637963554</v>
      </c>
      <c r="I37" s="20"/>
      <c r="J37" s="30">
        <f t="shared" ref="J37:J47" si="13">IF(H$12=0,0,H37/H$12)</f>
        <v>4.6643554945582064</v>
      </c>
      <c r="K37" s="4"/>
      <c r="L37" s="20">
        <f t="shared" ref="L37:L47" si="14">+D37-H37</f>
        <v>-18430.292637963554</v>
      </c>
      <c r="M37" s="4"/>
      <c r="N37" s="30">
        <f t="shared" ref="N37:N47" si="15">IF(H37=0,0,L37/H37)</f>
        <v>-0.34660572903365244</v>
      </c>
      <c r="O37" s="10"/>
      <c r="P37" s="20">
        <f>SUM(OSRRefP22x_0)</f>
        <v>34743.360000000001</v>
      </c>
      <c r="Q37" s="20"/>
      <c r="R37" s="30">
        <f t="shared" ref="R37:R47" si="16">IF(P$12=0,0,P37/P$12)</f>
        <v>3.8997652958944187</v>
      </c>
      <c r="S37" s="20"/>
      <c r="T37" s="20">
        <f>SUM(OSRRefT22x_0)</f>
        <v>53173.652637963554</v>
      </c>
      <c r="U37" s="20"/>
      <c r="V37" s="30">
        <f t="shared" ref="V37:V47" si="17">IF(T$12=0,0,T37/T$12)</f>
        <v>4.6643554945582064</v>
      </c>
      <c r="W37" s="4"/>
      <c r="X37" s="20">
        <f t="shared" ref="X37:X47" si="18">+P37-T37</f>
        <v>-18430.292637963554</v>
      </c>
      <c r="Y37" s="4"/>
      <c r="Z37" s="30">
        <f t="shared" ref="Z37:Z47" si="19">IF(T37=0,0,X37/T37)</f>
        <v>-0.34660572903365244</v>
      </c>
    </row>
    <row r="38" spans="1:26" s="27" customFormat="1" outlineLevel="1" collapsed="1" x14ac:dyDescent="0.25">
      <c r="A38" s="28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7908.2500000000009</v>
      </c>
      <c r="E38" s="1"/>
      <c r="F38" s="5">
        <f t="shared" si="12"/>
        <v>0.88766080486334775</v>
      </c>
      <c r="G38" s="1"/>
      <c r="H38" s="1">
        <f>SUM(OSRRefH22_0x_0)</f>
        <v>7768.361890148165</v>
      </c>
      <c r="I38" s="1"/>
      <c r="J38" s="5">
        <f t="shared" si="13"/>
        <v>0.68143525352176881</v>
      </c>
      <c r="K38" s="1"/>
      <c r="L38" s="1">
        <f t="shared" si="14"/>
        <v>139.88810985183591</v>
      </c>
      <c r="M38" s="1"/>
      <c r="N38" s="5">
        <f t="shared" si="15"/>
        <v>1.800741415371521E-2</v>
      </c>
      <c r="O38" s="14"/>
      <c r="P38" s="1">
        <f>SUM(OSRRefP22_0x_0)</f>
        <v>7908.2500000000009</v>
      </c>
      <c r="Q38" s="1"/>
      <c r="R38" s="5">
        <f t="shared" si="16"/>
        <v>0.88766080486334775</v>
      </c>
      <c r="S38" s="1"/>
      <c r="T38" s="1">
        <f>SUM(OSRRefT22_0x_0)</f>
        <v>7768.361890148165</v>
      </c>
      <c r="U38" s="1"/>
      <c r="V38" s="5">
        <f t="shared" si="17"/>
        <v>0.68143525352176881</v>
      </c>
      <c r="W38" s="1"/>
      <c r="X38" s="1">
        <f t="shared" si="18"/>
        <v>139.88810985183591</v>
      </c>
      <c r="Y38" s="1"/>
      <c r="Z38" s="5">
        <f t="shared" si="19"/>
        <v>1.800741415371521E-2</v>
      </c>
    </row>
    <row r="39" spans="1:26" s="24" customFormat="1" hidden="1" outlineLevel="2" x14ac:dyDescent="0.25">
      <c r="A39" s="29"/>
      <c r="B39" s="11" t="str">
        <f>CONCATENATE("          ", "6111", " - ", "F.I.C.A.")</f>
        <v xml:space="preserve">          6111 - F.I.C.A.</v>
      </c>
      <c r="C39" s="11"/>
      <c r="D39" s="7">
        <v>1126.8</v>
      </c>
      <c r="E39" s="2"/>
      <c r="F39" s="6">
        <f t="shared" si="12"/>
        <v>0.12647756392628204</v>
      </c>
      <c r="G39" s="2"/>
      <c r="H39" s="7">
        <v>1734.1697865872311</v>
      </c>
      <c r="I39" s="2"/>
      <c r="J39" s="6">
        <f t="shared" si="13"/>
        <v>0.15212015671817816</v>
      </c>
      <c r="K39" s="2"/>
      <c r="L39" s="7">
        <f t="shared" si="14"/>
        <v>-607.36978658723115</v>
      </c>
      <c r="M39" s="2"/>
      <c r="N39" s="6">
        <f t="shared" si="15"/>
        <v>-0.35023663270163863</v>
      </c>
      <c r="O39" s="11"/>
      <c r="P39" s="7">
        <v>1126.8</v>
      </c>
      <c r="Q39" s="2"/>
      <c r="R39" s="6">
        <f t="shared" si="16"/>
        <v>0.12647756392628204</v>
      </c>
      <c r="S39" s="2"/>
      <c r="T39" s="7">
        <v>1734.1697865872311</v>
      </c>
      <c r="U39" s="2"/>
      <c r="V39" s="6">
        <f t="shared" si="17"/>
        <v>0.15212015671817816</v>
      </c>
      <c r="W39" s="2"/>
      <c r="X39" s="7">
        <f t="shared" si="18"/>
        <v>-607.36978658723115</v>
      </c>
      <c r="Y39" s="2"/>
      <c r="Z39" s="6">
        <f t="shared" si="19"/>
        <v>-0.35023663270163863</v>
      </c>
    </row>
    <row r="40" spans="1:26" s="24" customFormat="1" hidden="1" outlineLevel="2" x14ac:dyDescent="0.25">
      <c r="A40" s="29"/>
      <c r="B40" s="11" t="str">
        <f>CONCATENATE("          ", "6112", " - ", "COMPENSATION INSURANCE")</f>
        <v xml:space="preserve">          6112 - COMPENSATION INSURANCE</v>
      </c>
      <c r="C40" s="11"/>
      <c r="D40" s="7">
        <v>178.47</v>
      </c>
      <c r="E40" s="2"/>
      <c r="F40" s="6">
        <f t="shared" si="12"/>
        <v>2.0032348982892759E-2</v>
      </c>
      <c r="G40" s="2"/>
      <c r="H40" s="7">
        <v>297.99340576923061</v>
      </c>
      <c r="I40" s="2"/>
      <c r="J40" s="6">
        <f t="shared" si="13"/>
        <v>2.6139772435897421E-2</v>
      </c>
      <c r="K40" s="2"/>
      <c r="L40" s="7">
        <f t="shared" si="14"/>
        <v>-119.52340576923061</v>
      </c>
      <c r="M40" s="2"/>
      <c r="N40" s="6">
        <f t="shared" si="15"/>
        <v>-0.4010941297868546</v>
      </c>
      <c r="O40" s="11"/>
      <c r="P40" s="7">
        <v>178.47</v>
      </c>
      <c r="Q40" s="2"/>
      <c r="R40" s="6">
        <f t="shared" si="16"/>
        <v>2.0032348982892759E-2</v>
      </c>
      <c r="S40" s="2"/>
      <c r="T40" s="7">
        <v>297.99340576923061</v>
      </c>
      <c r="U40" s="2"/>
      <c r="V40" s="6">
        <f t="shared" si="17"/>
        <v>2.6139772435897421E-2</v>
      </c>
      <c r="W40" s="2"/>
      <c r="X40" s="7">
        <f t="shared" si="18"/>
        <v>-119.52340576923061</v>
      </c>
      <c r="Y40" s="2"/>
      <c r="Z40" s="6">
        <f t="shared" si="19"/>
        <v>-0.4010941297868546</v>
      </c>
    </row>
    <row r="41" spans="1:26" s="24" customFormat="1" hidden="1" outlineLevel="2" x14ac:dyDescent="0.25">
      <c r="A41" s="29"/>
      <c r="B41" s="11" t="str">
        <f>CONCATENATE("          ", "6113", " - ", "GROUP INSURANCE")</f>
        <v xml:space="preserve">          6113 - GROUP INSURANCE</v>
      </c>
      <c r="C41" s="11"/>
      <c r="D41" s="7">
        <v>2741.79</v>
      </c>
      <c r="E41" s="2"/>
      <c r="F41" s="6">
        <f t="shared" si="12"/>
        <v>0.30775197017877254</v>
      </c>
      <c r="G41" s="2"/>
      <c r="H41" s="7">
        <v>2704</v>
      </c>
      <c r="I41" s="2"/>
      <c r="J41" s="6">
        <f t="shared" si="13"/>
        <v>0.23719298245614034</v>
      </c>
      <c r="K41" s="2"/>
      <c r="L41" s="7">
        <f t="shared" si="14"/>
        <v>37.789999999999964</v>
      </c>
      <c r="M41" s="2"/>
      <c r="N41" s="6">
        <f t="shared" si="15"/>
        <v>1.3975591715976317E-2</v>
      </c>
      <c r="O41" s="11"/>
      <c r="P41" s="7">
        <v>2741.79</v>
      </c>
      <c r="Q41" s="2"/>
      <c r="R41" s="6">
        <f t="shared" si="16"/>
        <v>0.30775197017877254</v>
      </c>
      <c r="S41" s="2"/>
      <c r="T41" s="7">
        <v>2704</v>
      </c>
      <c r="U41" s="2"/>
      <c r="V41" s="6">
        <f t="shared" si="17"/>
        <v>0.23719298245614034</v>
      </c>
      <c r="W41" s="2"/>
      <c r="X41" s="7">
        <f t="shared" si="18"/>
        <v>37.789999999999964</v>
      </c>
      <c r="Y41" s="2"/>
      <c r="Z41" s="6">
        <f t="shared" si="19"/>
        <v>1.3975591715976317E-2</v>
      </c>
    </row>
    <row r="42" spans="1:26" s="24" customFormat="1" hidden="1" outlineLevel="2" x14ac:dyDescent="0.25">
      <c r="A42" s="29"/>
      <c r="B42" s="11" t="str">
        <f>CONCATENATE("          ", "6114", " - ", "STATE UNEMPLOYMENT INSURANCE")</f>
        <v xml:space="preserve">          6114 - STATE UNEMPLOYMENT INSURANCE</v>
      </c>
      <c r="C42" s="11"/>
      <c r="D42" s="7">
        <v>38.78</v>
      </c>
      <c r="E42" s="2"/>
      <c r="F42" s="6">
        <f t="shared" si="12"/>
        <v>4.3528575870262851E-3</v>
      </c>
      <c r="G42" s="2"/>
      <c r="H42" s="7">
        <v>58.915999544320002</v>
      </c>
      <c r="I42" s="2"/>
      <c r="J42" s="6">
        <f t="shared" si="13"/>
        <v>5.1680701354666668E-3</v>
      </c>
      <c r="K42" s="2"/>
      <c r="L42" s="7">
        <f t="shared" si="14"/>
        <v>-20.135999544320001</v>
      </c>
      <c r="M42" s="2"/>
      <c r="N42" s="6">
        <f t="shared" si="15"/>
        <v>-0.34177472503326611</v>
      </c>
      <c r="O42" s="11"/>
      <c r="P42" s="7">
        <v>38.78</v>
      </c>
      <c r="Q42" s="2"/>
      <c r="R42" s="6">
        <f t="shared" si="16"/>
        <v>4.3528575870262851E-3</v>
      </c>
      <c r="S42" s="2"/>
      <c r="T42" s="7">
        <v>58.915999544320002</v>
      </c>
      <c r="U42" s="2"/>
      <c r="V42" s="6">
        <f t="shared" si="17"/>
        <v>5.1680701354666668E-3</v>
      </c>
      <c r="W42" s="2"/>
      <c r="X42" s="7">
        <f t="shared" si="18"/>
        <v>-20.135999544320001</v>
      </c>
      <c r="Y42" s="2"/>
      <c r="Z42" s="6">
        <f t="shared" si="19"/>
        <v>-0.34177472503326611</v>
      </c>
    </row>
    <row r="43" spans="1:26" s="24" customFormat="1" hidden="1" outlineLevel="2" x14ac:dyDescent="0.25">
      <c r="A43" s="29"/>
      <c r="B43" s="11" t="str">
        <f>CONCATENATE("          ", "6115", " - ", "P.E.R.S.")</f>
        <v xml:space="preserve">          6115 - P.E.R.S.</v>
      </c>
      <c r="C43" s="11"/>
      <c r="D43" s="7">
        <v>1156.69</v>
      </c>
      <c r="E43" s="2"/>
      <c r="F43" s="6">
        <f t="shared" si="12"/>
        <v>0.12983256426862905</v>
      </c>
      <c r="G43" s="2"/>
      <c r="H43" s="7">
        <v>1348.812257692306</v>
      </c>
      <c r="I43" s="2"/>
      <c r="J43" s="6">
        <f t="shared" si="13"/>
        <v>0.11831686470985141</v>
      </c>
      <c r="K43" s="2"/>
      <c r="L43" s="7">
        <f t="shared" si="14"/>
        <v>-192.12225769230599</v>
      </c>
      <c r="M43" s="2"/>
      <c r="N43" s="6">
        <f t="shared" si="15"/>
        <v>-0.14243810181634139</v>
      </c>
      <c r="O43" s="11"/>
      <c r="P43" s="7">
        <v>1156.69</v>
      </c>
      <c r="Q43" s="2"/>
      <c r="R43" s="6">
        <f t="shared" si="16"/>
        <v>0.12983256426862905</v>
      </c>
      <c r="S43" s="2"/>
      <c r="T43" s="7">
        <v>1348.812257692306</v>
      </c>
      <c r="U43" s="2"/>
      <c r="V43" s="6">
        <f t="shared" si="17"/>
        <v>0.11831686470985141</v>
      </c>
      <c r="W43" s="2"/>
      <c r="X43" s="7">
        <f t="shared" si="18"/>
        <v>-192.12225769230599</v>
      </c>
      <c r="Y43" s="2"/>
      <c r="Z43" s="6">
        <f t="shared" si="19"/>
        <v>-0.14243810181634139</v>
      </c>
    </row>
    <row r="44" spans="1:26" s="24" customFormat="1" hidden="1" outlineLevel="2" x14ac:dyDescent="0.25">
      <c r="A44" s="29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2"/>
        <v>0</v>
      </c>
      <c r="G44" s="2"/>
      <c r="H44" s="7">
        <v>0</v>
      </c>
      <c r="I44" s="2"/>
      <c r="J44" s="6">
        <f t="shared" si="13"/>
        <v>0</v>
      </c>
      <c r="K44" s="2"/>
      <c r="L44" s="7">
        <f t="shared" si="14"/>
        <v>0</v>
      </c>
      <c r="M44" s="2"/>
      <c r="N44" s="6">
        <f t="shared" si="15"/>
        <v>0</v>
      </c>
      <c r="O44" s="11"/>
      <c r="P44" s="7"/>
      <c r="Q44" s="2"/>
      <c r="R44" s="6">
        <f t="shared" si="16"/>
        <v>0</v>
      </c>
      <c r="S44" s="2"/>
      <c r="T44" s="7">
        <v>0</v>
      </c>
      <c r="U44" s="2"/>
      <c r="V44" s="6">
        <f t="shared" si="17"/>
        <v>0</v>
      </c>
      <c r="W44" s="2"/>
      <c r="X44" s="7">
        <f t="shared" si="18"/>
        <v>0</v>
      </c>
      <c r="Y44" s="2"/>
      <c r="Z44" s="6">
        <f t="shared" si="19"/>
        <v>0</v>
      </c>
    </row>
    <row r="45" spans="1:26" s="24" customFormat="1" hidden="1" outlineLevel="2" x14ac:dyDescent="0.25">
      <c r="A45" s="29"/>
      <c r="B45" s="11" t="str">
        <f>CONCATENATE("          ", "6118", " - ", "VACATION")</f>
        <v xml:space="preserve">          6118 - VACATION</v>
      </c>
      <c r="C45" s="11"/>
      <c r="D45" s="7">
        <v>1532.28</v>
      </c>
      <c r="E45" s="2"/>
      <c r="F45" s="6">
        <f t="shared" si="12"/>
        <v>0.17199062979496224</v>
      </c>
      <c r="G45" s="2"/>
      <c r="H45" s="7">
        <v>784.19317307692302</v>
      </c>
      <c r="I45" s="2"/>
      <c r="J45" s="6">
        <f t="shared" si="13"/>
        <v>6.8788874831309035E-2</v>
      </c>
      <c r="K45" s="2"/>
      <c r="L45" s="7">
        <f t="shared" si="14"/>
        <v>748.08682692307696</v>
      </c>
      <c r="M45" s="2"/>
      <c r="N45" s="6">
        <f t="shared" si="15"/>
        <v>0.95395733169650498</v>
      </c>
      <c r="O45" s="11"/>
      <c r="P45" s="7">
        <v>1532.28</v>
      </c>
      <c r="Q45" s="2"/>
      <c r="R45" s="6">
        <f t="shared" si="16"/>
        <v>0.17199062979496224</v>
      </c>
      <c r="S45" s="2"/>
      <c r="T45" s="7">
        <v>784.19317307692302</v>
      </c>
      <c r="U45" s="2"/>
      <c r="V45" s="6">
        <f t="shared" si="17"/>
        <v>6.8788874831309035E-2</v>
      </c>
      <c r="W45" s="2"/>
      <c r="X45" s="7">
        <f t="shared" si="18"/>
        <v>748.08682692307696</v>
      </c>
      <c r="Y45" s="2"/>
      <c r="Z45" s="6">
        <f t="shared" si="19"/>
        <v>0.95395733169650498</v>
      </c>
    </row>
    <row r="46" spans="1:26" s="24" customFormat="1" hidden="1" outlineLevel="2" x14ac:dyDescent="0.25">
      <c r="A46" s="29"/>
      <c r="B46" s="11" t="str">
        <f>CONCATENATE("          ", "6119", " - ", "SICK LEAVE")</f>
        <v xml:space="preserve">          6119 - SICK LEAVE</v>
      </c>
      <c r="C46" s="11"/>
      <c r="D46" s="7">
        <v>891.06</v>
      </c>
      <c r="E46" s="2"/>
      <c r="F46" s="6">
        <f t="shared" si="12"/>
        <v>0.10001694898132134</v>
      </c>
      <c r="G46" s="2"/>
      <c r="H46" s="7">
        <v>540.27726747815416</v>
      </c>
      <c r="I46" s="2"/>
      <c r="J46" s="6">
        <f t="shared" si="13"/>
        <v>4.7392742761241592E-2</v>
      </c>
      <c r="K46" s="2"/>
      <c r="L46" s="7">
        <f t="shared" si="14"/>
        <v>350.78273252184579</v>
      </c>
      <c r="M46" s="2"/>
      <c r="N46" s="6">
        <f t="shared" si="15"/>
        <v>0.64926428268801728</v>
      </c>
      <c r="O46" s="11"/>
      <c r="P46" s="7">
        <v>891.06</v>
      </c>
      <c r="Q46" s="2"/>
      <c r="R46" s="6">
        <f t="shared" si="16"/>
        <v>0.10001694898132134</v>
      </c>
      <c r="S46" s="2"/>
      <c r="T46" s="7">
        <v>540.27726747815416</v>
      </c>
      <c r="U46" s="2"/>
      <c r="V46" s="6">
        <f t="shared" si="17"/>
        <v>4.7392742761241592E-2</v>
      </c>
      <c r="W46" s="2"/>
      <c r="X46" s="7">
        <f t="shared" si="18"/>
        <v>350.78273252184579</v>
      </c>
      <c r="Y46" s="2"/>
      <c r="Z46" s="6">
        <f t="shared" si="19"/>
        <v>0.64926428268801728</v>
      </c>
    </row>
    <row r="47" spans="1:26" s="24" customFormat="1" hidden="1" outlineLevel="2" x14ac:dyDescent="0.25">
      <c r="A47" s="29"/>
      <c r="B47" s="11" t="str">
        <f>CONCATENATE("          ", "6156", " - ", "EMPLOYEE MEALS")</f>
        <v xml:space="preserve">          6156 - EMPLOYEE MEALS</v>
      </c>
      <c r="C47" s="11"/>
      <c r="D47" s="7">
        <v>242.38</v>
      </c>
      <c r="E47" s="2"/>
      <c r="F47" s="6">
        <f t="shared" si="12"/>
        <v>2.7205921143461344E-2</v>
      </c>
      <c r="G47" s="2"/>
      <c r="H47" s="7">
        <v>300</v>
      </c>
      <c r="I47" s="2"/>
      <c r="J47" s="6">
        <f t="shared" si="13"/>
        <v>2.6315789473684209E-2</v>
      </c>
      <c r="K47" s="2"/>
      <c r="L47" s="7">
        <f t="shared" si="14"/>
        <v>-57.620000000000005</v>
      </c>
      <c r="M47" s="2"/>
      <c r="N47" s="6">
        <f t="shared" si="15"/>
        <v>-0.19206666666666669</v>
      </c>
      <c r="O47" s="11"/>
      <c r="P47" s="7">
        <v>242.38</v>
      </c>
      <c r="Q47" s="2"/>
      <c r="R47" s="6">
        <f t="shared" si="16"/>
        <v>2.7205921143461344E-2</v>
      </c>
      <c r="S47" s="2"/>
      <c r="T47" s="7">
        <v>300</v>
      </c>
      <c r="U47" s="2"/>
      <c r="V47" s="6">
        <f t="shared" si="17"/>
        <v>2.6315789473684209E-2</v>
      </c>
      <c r="W47" s="2"/>
      <c r="X47" s="7">
        <f t="shared" si="18"/>
        <v>-57.620000000000005</v>
      </c>
      <c r="Y47" s="2"/>
      <c r="Z47" s="6">
        <f t="shared" si="19"/>
        <v>-0.19206666666666669</v>
      </c>
    </row>
    <row r="48" spans="1:26" s="27" customFormat="1" outlineLevel="1" collapsed="1" x14ac:dyDescent="0.25">
      <c r="A48" s="28"/>
      <c r="B48" s="14" t="str">
        <f>CONCATENATE("     ","*Payroll                                          ")</f>
        <v xml:space="preserve">     *Payroll                                          </v>
      </c>
      <c r="C48" s="14"/>
      <c r="D48" s="1">
        <f>SUM(OSRRefD22_1x_0)</f>
        <v>17921.870000000003</v>
      </c>
      <c r="E48" s="1"/>
      <c r="F48" s="5">
        <f t="shared" ref="F48:F58" si="20">IF(D$12=0,0,D48/D$12)</f>
        <v>2.0116386746570081</v>
      </c>
      <c r="G48" s="1"/>
      <c r="H48" s="1">
        <f>SUM(OSRRefH22_1x_0)</f>
        <v>21405.29074781539</v>
      </c>
      <c r="I48" s="1"/>
      <c r="J48" s="5">
        <f t="shared" ref="J48:J58" si="21">IF(H$12=0,0,H48/H$12)</f>
        <v>1.877657083141701</v>
      </c>
      <c r="K48" s="1"/>
      <c r="L48" s="1">
        <f t="shared" ref="L48:L58" si="22">+D48-H48</f>
        <v>-3483.4207478153876</v>
      </c>
      <c r="M48" s="1"/>
      <c r="N48" s="5">
        <f t="shared" ref="N48:N58" si="23">IF(H48=0,0,L48/H48)</f>
        <v>-0.16273643693304671</v>
      </c>
      <c r="O48" s="14"/>
      <c r="P48" s="1">
        <f>SUM(OSRRefP22_1x_0)</f>
        <v>17921.870000000003</v>
      </c>
      <c r="Q48" s="1"/>
      <c r="R48" s="5">
        <f t="shared" ref="R48:R58" si="24">IF(P$12=0,0,P48/P$12)</f>
        <v>2.0116386746570081</v>
      </c>
      <c r="S48" s="1"/>
      <c r="T48" s="1">
        <f>SUM(OSRRefT22_1x_0)</f>
        <v>21405.29074781539</v>
      </c>
      <c r="U48" s="1"/>
      <c r="V48" s="5">
        <f t="shared" ref="V48:V58" si="25">IF(T$12=0,0,T48/T$12)</f>
        <v>1.877657083141701</v>
      </c>
      <c r="W48" s="1"/>
      <c r="X48" s="1">
        <f t="shared" ref="X48:X58" si="26">+P48-T48</f>
        <v>-3483.4207478153876</v>
      </c>
      <c r="Y48" s="1"/>
      <c r="Z48" s="5">
        <f t="shared" ref="Z48:Z58" si="27">IF(T48=0,0,X48/T48)</f>
        <v>-0.16273643693304671</v>
      </c>
    </row>
    <row r="49" spans="1:26" s="24" customFormat="1" hidden="1" outlineLevel="2" x14ac:dyDescent="0.25">
      <c r="A49" s="29"/>
      <c r="B49" s="11" t="str">
        <f>CONCATENATE("          ", "6001", " - ", "ADMINISTRATIVE SALARIES")</f>
        <v xml:space="preserve">          6001 - ADMINISTRATIVE SALARIES</v>
      </c>
      <c r="C49" s="11"/>
      <c r="D49" s="7"/>
      <c r="E49" s="2"/>
      <c r="F49" s="6">
        <f t="shared" si="20"/>
        <v>0</v>
      </c>
      <c r="G49" s="2"/>
      <c r="H49" s="7">
        <v>7488.179000000001</v>
      </c>
      <c r="I49" s="2"/>
      <c r="J49" s="6">
        <f t="shared" si="21"/>
        <v>0.65685780701754393</v>
      </c>
      <c r="K49" s="2"/>
      <c r="L49" s="7">
        <f t="shared" si="22"/>
        <v>-7488.179000000001</v>
      </c>
      <c r="M49" s="2"/>
      <c r="N49" s="6">
        <f t="shared" si="23"/>
        <v>-1</v>
      </c>
      <c r="O49" s="11"/>
      <c r="P49" s="7"/>
      <c r="Q49" s="2"/>
      <c r="R49" s="6">
        <f t="shared" si="24"/>
        <v>0</v>
      </c>
      <c r="S49" s="2"/>
      <c r="T49" s="7">
        <v>7488.179000000001</v>
      </c>
      <c r="U49" s="2"/>
      <c r="V49" s="6">
        <f t="shared" si="25"/>
        <v>0.65685780701754393</v>
      </c>
      <c r="W49" s="2"/>
      <c r="X49" s="7">
        <f t="shared" si="26"/>
        <v>-7488.179000000001</v>
      </c>
      <c r="Y49" s="2"/>
      <c r="Z49" s="6">
        <f t="shared" si="27"/>
        <v>-1</v>
      </c>
    </row>
    <row r="50" spans="1:26" s="24" customFormat="1" hidden="1" outlineLevel="2" x14ac:dyDescent="0.25">
      <c r="A50" s="29"/>
      <c r="B50" s="11" t="str">
        <f>CONCATENATE("          ", "6002", " - ", "STAFF SALARIES")</f>
        <v xml:space="preserve">          6002 - STAFF SALARIES</v>
      </c>
      <c r="C50" s="11"/>
      <c r="D50" s="7">
        <v>13674.37</v>
      </c>
      <c r="E50" s="2"/>
      <c r="F50" s="6">
        <f t="shared" si="20"/>
        <v>1.53487842192637</v>
      </c>
      <c r="G50" s="2"/>
      <c r="H50" s="7">
        <v>6940.9753846153908</v>
      </c>
      <c r="I50" s="2"/>
      <c r="J50" s="6">
        <f t="shared" si="21"/>
        <v>0.60885748987854305</v>
      </c>
      <c r="K50" s="2"/>
      <c r="L50" s="7">
        <f t="shared" si="22"/>
        <v>6733.39461538461</v>
      </c>
      <c r="M50" s="2"/>
      <c r="N50" s="6">
        <f t="shared" si="23"/>
        <v>0.97009342956454192</v>
      </c>
      <c r="O50" s="11"/>
      <c r="P50" s="7">
        <v>13674.37</v>
      </c>
      <c r="Q50" s="2"/>
      <c r="R50" s="6">
        <f t="shared" si="24"/>
        <v>1.53487842192637</v>
      </c>
      <c r="S50" s="2"/>
      <c r="T50" s="7">
        <v>6940.9753846153908</v>
      </c>
      <c r="U50" s="2"/>
      <c r="V50" s="6">
        <f t="shared" si="25"/>
        <v>0.60885748987854305</v>
      </c>
      <c r="W50" s="2"/>
      <c r="X50" s="7">
        <f t="shared" si="26"/>
        <v>6733.39461538461</v>
      </c>
      <c r="Y50" s="2"/>
      <c r="Z50" s="6">
        <f t="shared" si="27"/>
        <v>0.97009342956454192</v>
      </c>
    </row>
    <row r="51" spans="1:26" s="24" customFormat="1" hidden="1" outlineLevel="2" x14ac:dyDescent="0.25">
      <c r="A51" s="29"/>
      <c r="B51" s="11" t="str">
        <f>CONCATENATE("          ", "6003", " - ", "STAFF HOURLY-9 MONTH")</f>
        <v xml:space="preserve">          6003 - STAFF HOURLY-9 MONTH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25">
      <c r="A52" s="29"/>
      <c r="B52" s="11" t="str">
        <f>CONCATENATE("          ", "6004", " - ", "STAFF HOURLY")</f>
        <v xml:space="preserve">          6004 - STAFF HOURLY</v>
      </c>
      <c r="C52" s="11"/>
      <c r="D52" s="7"/>
      <c r="E52" s="2"/>
      <c r="F52" s="6">
        <f t="shared" si="20"/>
        <v>0</v>
      </c>
      <c r="G52" s="2"/>
      <c r="H52" s="7">
        <v>3220</v>
      </c>
      <c r="I52" s="2"/>
      <c r="J52" s="6">
        <f t="shared" si="21"/>
        <v>0.28245614035087718</v>
      </c>
      <c r="K52" s="2"/>
      <c r="L52" s="7">
        <f t="shared" si="22"/>
        <v>-3220</v>
      </c>
      <c r="M52" s="2"/>
      <c r="N52" s="6">
        <f t="shared" si="23"/>
        <v>-1</v>
      </c>
      <c r="O52" s="11"/>
      <c r="P52" s="7"/>
      <c r="Q52" s="2"/>
      <c r="R52" s="6">
        <f t="shared" si="24"/>
        <v>0</v>
      </c>
      <c r="S52" s="2"/>
      <c r="T52" s="7">
        <v>3220</v>
      </c>
      <c r="U52" s="2"/>
      <c r="V52" s="6">
        <f t="shared" si="25"/>
        <v>0.28245614035087718</v>
      </c>
      <c r="W52" s="2"/>
      <c r="X52" s="7">
        <f t="shared" si="26"/>
        <v>-3220</v>
      </c>
      <c r="Y52" s="2"/>
      <c r="Z52" s="6">
        <f t="shared" si="27"/>
        <v>-1</v>
      </c>
    </row>
    <row r="53" spans="1:26" s="24" customFormat="1" hidden="1" outlineLevel="2" x14ac:dyDescent="0.25">
      <c r="A53" s="29"/>
      <c r="B53" s="11" t="str">
        <f>CONCATENATE("          ", "6005", " - ", "TEMPORARY WAGES-HOURLY")</f>
        <v xml:space="preserve">          6005 - TEMPORARY WAGES-HOURLY</v>
      </c>
      <c r="C53" s="11"/>
      <c r="D53" s="7">
        <v>987</v>
      </c>
      <c r="E53" s="2"/>
      <c r="F53" s="6">
        <f t="shared" si="20"/>
        <v>0.11078572559038018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987</v>
      </c>
      <c r="M53" s="2"/>
      <c r="N53" s="6">
        <f t="shared" si="23"/>
        <v>0</v>
      </c>
      <c r="O53" s="11"/>
      <c r="P53" s="7">
        <v>987</v>
      </c>
      <c r="Q53" s="2"/>
      <c r="R53" s="6">
        <f t="shared" si="24"/>
        <v>0.11078572559038018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987</v>
      </c>
      <c r="Y53" s="2"/>
      <c r="Z53" s="6">
        <f t="shared" si="27"/>
        <v>0</v>
      </c>
    </row>
    <row r="54" spans="1:26" s="24" customFormat="1" hidden="1" outlineLevel="2" x14ac:dyDescent="0.25">
      <c r="A54" s="29"/>
      <c r="B54" s="11" t="str">
        <f>CONCATENATE("          ", "6006", " - ", "TEMPORARY PART TIME")</f>
        <v xml:space="preserve">          6006 - TEMPORARY PART TIME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9"/>
      <c r="B55" s="11" t="str">
        <f>CONCATENATE("          ", "6007", " - ", "STUDENT HOURLY")</f>
        <v xml:space="preserve">          6007 - STUDENT HOURLY</v>
      </c>
      <c r="C55" s="11"/>
      <c r="D55" s="7">
        <v>3260.5</v>
      </c>
      <c r="E55" s="2"/>
      <c r="F55" s="6">
        <f t="shared" si="20"/>
        <v>0.36597452714025797</v>
      </c>
      <c r="G55" s="2"/>
      <c r="H55" s="7">
        <v>3756.1363631999998</v>
      </c>
      <c r="I55" s="2"/>
      <c r="J55" s="6">
        <f t="shared" si="21"/>
        <v>0.32948564589473683</v>
      </c>
      <c r="K55" s="2"/>
      <c r="L55" s="7">
        <f t="shared" si="22"/>
        <v>-495.63636319999978</v>
      </c>
      <c r="M55" s="2"/>
      <c r="N55" s="6">
        <f t="shared" si="23"/>
        <v>-0.13195377251366555</v>
      </c>
      <c r="O55" s="11"/>
      <c r="P55" s="7">
        <v>3260.5</v>
      </c>
      <c r="Q55" s="2"/>
      <c r="R55" s="6">
        <f t="shared" si="24"/>
        <v>0.36597452714025797</v>
      </c>
      <c r="S55" s="2"/>
      <c r="T55" s="7">
        <v>3756.1363631999998</v>
      </c>
      <c r="U55" s="2"/>
      <c r="V55" s="6">
        <f t="shared" si="25"/>
        <v>0.32948564589473683</v>
      </c>
      <c r="W55" s="2"/>
      <c r="X55" s="7">
        <f t="shared" si="26"/>
        <v>-495.63636319999978</v>
      </c>
      <c r="Y55" s="2"/>
      <c r="Z55" s="6">
        <f t="shared" si="27"/>
        <v>-0.13195377251366555</v>
      </c>
    </row>
    <row r="56" spans="1:26" s="24" customFormat="1" hidden="1" outlineLevel="2" x14ac:dyDescent="0.25">
      <c r="A56" s="29"/>
      <c r="B56" s="11" t="str">
        <f>CONCATENATE("          ", "6008", " - ", "STUDENT HOURLY-FICA EXEMPT")</f>
        <v xml:space="preserve">          6008 - STUDENT HOURLY-FICA EXEMPT</v>
      </c>
      <c r="C56" s="11"/>
      <c r="D56" s="7"/>
      <c r="E56" s="2"/>
      <c r="F56" s="6">
        <f t="shared" si="20"/>
        <v>0</v>
      </c>
      <c r="G56" s="2"/>
      <c r="H56" s="7">
        <v>0</v>
      </c>
      <c r="I56" s="2"/>
      <c r="J56" s="6">
        <f t="shared" si="21"/>
        <v>0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/>
      <c r="Q56" s="2"/>
      <c r="R56" s="6">
        <f t="shared" si="24"/>
        <v>0</v>
      </c>
      <c r="S56" s="2"/>
      <c r="T56" s="7">
        <v>0</v>
      </c>
      <c r="U56" s="2"/>
      <c r="V56" s="6">
        <f t="shared" si="25"/>
        <v>0</v>
      </c>
      <c r="W56" s="2"/>
      <c r="X56" s="7">
        <f t="shared" si="26"/>
        <v>0</v>
      </c>
      <c r="Y56" s="2"/>
      <c r="Z56" s="6">
        <f t="shared" si="27"/>
        <v>0</v>
      </c>
    </row>
    <row r="57" spans="1:26" s="24" customFormat="1" hidden="1" outlineLevel="2" x14ac:dyDescent="0.25">
      <c r="A57" s="29"/>
      <c r="B57" s="11" t="str">
        <f>CONCATENATE("          ", "6009", " - ", "TEMPORARY-SEASONAL")</f>
        <v xml:space="preserve">          6009 - TEMPORARY-SEASONAL</v>
      </c>
      <c r="C57" s="11"/>
      <c r="D57" s="7"/>
      <c r="E57" s="2"/>
      <c r="F57" s="6">
        <f t="shared" si="20"/>
        <v>0</v>
      </c>
      <c r="G57" s="2"/>
      <c r="H57" s="7">
        <v>0</v>
      </c>
      <c r="I57" s="2"/>
      <c r="J57" s="6">
        <f t="shared" si="21"/>
        <v>0</v>
      </c>
      <c r="K57" s="2"/>
      <c r="L57" s="7">
        <f t="shared" si="22"/>
        <v>0</v>
      </c>
      <c r="M57" s="2"/>
      <c r="N57" s="6">
        <f t="shared" si="23"/>
        <v>0</v>
      </c>
      <c r="O57" s="11"/>
      <c r="P57" s="7"/>
      <c r="Q57" s="2"/>
      <c r="R57" s="6">
        <f t="shared" si="24"/>
        <v>0</v>
      </c>
      <c r="S57" s="2"/>
      <c r="T57" s="7">
        <v>0</v>
      </c>
      <c r="U57" s="2"/>
      <c r="V57" s="6">
        <f t="shared" si="25"/>
        <v>0</v>
      </c>
      <c r="W57" s="2"/>
      <c r="X57" s="7">
        <f t="shared" si="26"/>
        <v>0</v>
      </c>
      <c r="Y57" s="2"/>
      <c r="Z57" s="6">
        <f t="shared" si="27"/>
        <v>0</v>
      </c>
    </row>
    <row r="58" spans="1:26" s="24" customFormat="1" hidden="1" outlineLevel="2" x14ac:dyDescent="0.25">
      <c r="A58" s="29"/>
      <c r="B58" s="11" t="str">
        <f>CONCATENATE("          ", "6010", " - ", "GRATUITY")</f>
        <v xml:space="preserve">          6010 - GRATUITY</v>
      </c>
      <c r="C58" s="11"/>
      <c r="D58" s="7"/>
      <c r="E58" s="2"/>
      <c r="F58" s="6">
        <f t="shared" si="20"/>
        <v>0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/>
      <c r="Q58" s="2"/>
      <c r="R58" s="6">
        <f t="shared" si="24"/>
        <v>0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0</v>
      </c>
      <c r="Y58" s="2"/>
      <c r="Z58" s="6">
        <f t="shared" si="27"/>
        <v>0</v>
      </c>
    </row>
    <row r="59" spans="1:26" s="27" customFormat="1" outlineLevel="1" collapsed="1" x14ac:dyDescent="0.25">
      <c r="A59" s="28"/>
      <c r="B59" s="14" t="str">
        <f>CONCATENATE("     ","Advertising/Promo                                 ")</f>
        <v xml:space="preserve">     Advertising/Promo                                 </v>
      </c>
      <c r="C59" s="14"/>
      <c r="D59" s="1">
        <f>SUM(OSRRefD22_2x_0)</f>
        <v>0</v>
      </c>
      <c r="E59" s="1"/>
      <c r="F59" s="5">
        <f t="shared" ref="F59:F71" si="28">IF(D$12=0,0,D59/D$12)</f>
        <v>0</v>
      </c>
      <c r="G59" s="1"/>
      <c r="H59" s="1">
        <f>SUM(OSRRefH22_2x_0)</f>
        <v>100</v>
      </c>
      <c r="I59" s="1"/>
      <c r="J59" s="5">
        <f t="shared" ref="J59:J71" si="29">IF(H$12=0,0,H59/H$12)</f>
        <v>8.771929824561403E-3</v>
      </c>
      <c r="K59" s="1"/>
      <c r="L59" s="1">
        <f t="shared" ref="L59:L71" si="30">+D59-H59</f>
        <v>-100</v>
      </c>
      <c r="M59" s="1"/>
      <c r="N59" s="5">
        <f t="shared" ref="N59:N71" si="31">IF(H59=0,0,L59/H59)</f>
        <v>-1</v>
      </c>
      <c r="O59" s="14"/>
      <c r="P59" s="1">
        <f>SUM(OSRRefP22_2x_0)</f>
        <v>0</v>
      </c>
      <c r="Q59" s="1"/>
      <c r="R59" s="5">
        <f t="shared" ref="R59:R71" si="32">IF(P$12=0,0,P59/P$12)</f>
        <v>0</v>
      </c>
      <c r="S59" s="1"/>
      <c r="T59" s="1">
        <f>SUM(OSRRefT22_2x_0)</f>
        <v>100</v>
      </c>
      <c r="U59" s="1"/>
      <c r="V59" s="5">
        <f t="shared" ref="V59:V71" si="33">IF(T$12=0,0,T59/T$12)</f>
        <v>8.771929824561403E-3</v>
      </c>
      <c r="W59" s="1"/>
      <c r="X59" s="1">
        <f t="shared" ref="X59:X71" si="34">+P59-T59</f>
        <v>-100</v>
      </c>
      <c r="Y59" s="1"/>
      <c r="Z59" s="5">
        <f t="shared" ref="Z59:Z71" si="35">IF(T59=0,0,X59/T59)</f>
        <v>-1</v>
      </c>
    </row>
    <row r="60" spans="1:26" s="24" customFormat="1" hidden="1" outlineLevel="2" x14ac:dyDescent="0.25">
      <c r="A60" s="29"/>
      <c r="B60" s="11" t="str">
        <f>CONCATENATE("          ", "6362", " - ", "ADVERTISING EXPENSE")</f>
        <v xml:space="preserve">          6362 - ADVERTISING EXPENSE</v>
      </c>
      <c r="C60" s="11"/>
      <c r="D60" s="7"/>
      <c r="E60" s="2"/>
      <c r="F60" s="6">
        <f t="shared" si="28"/>
        <v>0</v>
      </c>
      <c r="G60" s="2"/>
      <c r="H60" s="7">
        <v>100</v>
      </c>
      <c r="I60" s="2"/>
      <c r="J60" s="6">
        <f t="shared" si="29"/>
        <v>8.771929824561403E-3</v>
      </c>
      <c r="K60" s="2"/>
      <c r="L60" s="7">
        <f t="shared" si="30"/>
        <v>-100</v>
      </c>
      <c r="M60" s="2"/>
      <c r="N60" s="6">
        <f t="shared" si="31"/>
        <v>-1</v>
      </c>
      <c r="O60" s="11"/>
      <c r="P60" s="7"/>
      <c r="Q60" s="2"/>
      <c r="R60" s="6">
        <f t="shared" si="32"/>
        <v>0</v>
      </c>
      <c r="S60" s="2"/>
      <c r="T60" s="7">
        <v>100</v>
      </c>
      <c r="U60" s="2"/>
      <c r="V60" s="6">
        <f t="shared" si="33"/>
        <v>8.771929824561403E-3</v>
      </c>
      <c r="W60" s="2"/>
      <c r="X60" s="7">
        <f t="shared" si="34"/>
        <v>-100</v>
      </c>
      <c r="Y60" s="2"/>
      <c r="Z60" s="6">
        <f t="shared" si="35"/>
        <v>-1</v>
      </c>
    </row>
    <row r="61" spans="1:26" s="27" customFormat="1" outlineLevel="1" collapsed="1" x14ac:dyDescent="0.25">
      <c r="A61" s="28"/>
      <c r="B61" s="14" t="str">
        <f>CONCATENATE("     ","Depreciation                                      ")</f>
        <v xml:space="preserve">     Depreciation                                      </v>
      </c>
      <c r="C61" s="14"/>
      <c r="D61" s="1">
        <f>SUM(OSRRefD22_3x_0)</f>
        <v>0</v>
      </c>
      <c r="E61" s="1"/>
      <c r="F61" s="5">
        <f t="shared" si="28"/>
        <v>0</v>
      </c>
      <c r="G61" s="1"/>
      <c r="H61" s="1">
        <f>SUM(OSRRefH22_3x_0)</f>
        <v>0</v>
      </c>
      <c r="I61" s="1"/>
      <c r="J61" s="5">
        <f t="shared" si="29"/>
        <v>0</v>
      </c>
      <c r="K61" s="1"/>
      <c r="L61" s="1">
        <f t="shared" si="30"/>
        <v>0</v>
      </c>
      <c r="M61" s="1"/>
      <c r="N61" s="5">
        <f t="shared" si="31"/>
        <v>0</v>
      </c>
      <c r="O61" s="14"/>
      <c r="P61" s="1">
        <f>SUM(OSRRefP22_3x_0)</f>
        <v>0</v>
      </c>
      <c r="Q61" s="1"/>
      <c r="R61" s="5">
        <f t="shared" si="32"/>
        <v>0</v>
      </c>
      <c r="S61" s="1"/>
      <c r="T61" s="1">
        <f>SUM(OSRRefT22_3x_0)</f>
        <v>0</v>
      </c>
      <c r="U61" s="1"/>
      <c r="V61" s="5">
        <f t="shared" si="33"/>
        <v>0</v>
      </c>
      <c r="W61" s="1"/>
      <c r="X61" s="1">
        <f t="shared" si="34"/>
        <v>0</v>
      </c>
      <c r="Y61" s="1"/>
      <c r="Z61" s="5">
        <f t="shared" si="35"/>
        <v>0</v>
      </c>
    </row>
    <row r="62" spans="1:26" s="24" customFormat="1" hidden="1" outlineLevel="2" x14ac:dyDescent="0.25">
      <c r="A62" s="29"/>
      <c r="B62" s="11" t="str">
        <f>CONCATENATE("          ", "6322", " - ", "EQUIPMENT DEPRECIATION EXPENSE")</f>
        <v xml:space="preserve">          6322 - EQUIPMENT DEPRECIATION EXPENSE</v>
      </c>
      <c r="C62" s="11"/>
      <c r="D62" s="7"/>
      <c r="E62" s="2"/>
      <c r="F62" s="6">
        <f t="shared" si="28"/>
        <v>0</v>
      </c>
      <c r="G62" s="2"/>
      <c r="H62" s="7">
        <v>0</v>
      </c>
      <c r="I62" s="2"/>
      <c r="J62" s="6">
        <f t="shared" si="29"/>
        <v>0</v>
      </c>
      <c r="K62" s="2"/>
      <c r="L62" s="7">
        <f t="shared" si="30"/>
        <v>0</v>
      </c>
      <c r="M62" s="2"/>
      <c r="N62" s="6">
        <f t="shared" si="31"/>
        <v>0</v>
      </c>
      <c r="O62" s="11"/>
      <c r="P62" s="7"/>
      <c r="Q62" s="2"/>
      <c r="R62" s="6">
        <f t="shared" si="32"/>
        <v>0</v>
      </c>
      <c r="S62" s="2"/>
      <c r="T62" s="7">
        <v>0</v>
      </c>
      <c r="U62" s="2"/>
      <c r="V62" s="6">
        <f t="shared" si="33"/>
        <v>0</v>
      </c>
      <c r="W62" s="2"/>
      <c r="X62" s="7">
        <f t="shared" si="34"/>
        <v>0</v>
      </c>
      <c r="Y62" s="2"/>
      <c r="Z62" s="6">
        <f t="shared" si="35"/>
        <v>0</v>
      </c>
    </row>
    <row r="63" spans="1:26" s="27" customFormat="1" outlineLevel="1" collapsed="1" x14ac:dyDescent="0.25">
      <c r="A63" s="28"/>
      <c r="B63" s="14" t="str">
        <f>CONCATENATE("     ","Discounts and Markdowns                           ")</f>
        <v xml:space="preserve">     Discounts and Markdowns                           </v>
      </c>
      <c r="C63" s="14"/>
      <c r="D63" s="1">
        <f>SUM(OSRRefD22_4x_0)</f>
        <v>68.47</v>
      </c>
      <c r="E63" s="1"/>
      <c r="F63" s="5">
        <f t="shared" si="28"/>
        <v>7.6854089474907104E-3</v>
      </c>
      <c r="G63" s="1"/>
      <c r="H63" s="1">
        <f>SUM(OSRRefH22_4x_0)</f>
        <v>700</v>
      </c>
      <c r="I63" s="1"/>
      <c r="J63" s="5">
        <f t="shared" si="29"/>
        <v>6.1403508771929821E-2</v>
      </c>
      <c r="K63" s="1"/>
      <c r="L63" s="1">
        <f t="shared" si="30"/>
        <v>-631.53</v>
      </c>
      <c r="M63" s="1"/>
      <c r="N63" s="5">
        <f t="shared" si="31"/>
        <v>-0.90218571428571426</v>
      </c>
      <c r="O63" s="14"/>
      <c r="P63" s="1">
        <f>SUM(OSRRefP22_4x_0)</f>
        <v>68.47</v>
      </c>
      <c r="Q63" s="1"/>
      <c r="R63" s="5">
        <f t="shared" si="32"/>
        <v>7.6854089474907104E-3</v>
      </c>
      <c r="S63" s="1"/>
      <c r="T63" s="1">
        <f>SUM(OSRRefT22_4x_0)</f>
        <v>700</v>
      </c>
      <c r="U63" s="1"/>
      <c r="V63" s="5">
        <f t="shared" si="33"/>
        <v>6.1403508771929821E-2</v>
      </c>
      <c r="W63" s="1"/>
      <c r="X63" s="1">
        <f t="shared" si="34"/>
        <v>-631.53</v>
      </c>
      <c r="Y63" s="1"/>
      <c r="Z63" s="5">
        <f t="shared" si="35"/>
        <v>-0.90218571428571426</v>
      </c>
    </row>
    <row r="64" spans="1:26" s="24" customFormat="1" hidden="1" outlineLevel="2" x14ac:dyDescent="0.25">
      <c r="A64" s="29"/>
      <c r="B64" s="11" t="str">
        <f>CONCATENATE("          ", "6382", " - ", "DISCOUNTS/MARK DOWNS")</f>
        <v xml:space="preserve">          6382 - DISCOUNTS/MARK DOWNS</v>
      </c>
      <c r="C64" s="11"/>
      <c r="D64" s="7">
        <v>68.47</v>
      </c>
      <c r="E64" s="2"/>
      <c r="F64" s="6">
        <f t="shared" si="28"/>
        <v>7.6854089474907104E-3</v>
      </c>
      <c r="G64" s="2"/>
      <c r="H64" s="7">
        <v>700</v>
      </c>
      <c r="I64" s="2"/>
      <c r="J64" s="6">
        <f t="shared" si="29"/>
        <v>6.1403508771929821E-2</v>
      </c>
      <c r="K64" s="2"/>
      <c r="L64" s="7">
        <f t="shared" si="30"/>
        <v>-631.53</v>
      </c>
      <c r="M64" s="2"/>
      <c r="N64" s="6">
        <f t="shared" si="31"/>
        <v>-0.90218571428571426</v>
      </c>
      <c r="O64" s="11"/>
      <c r="P64" s="7">
        <v>68.47</v>
      </c>
      <c r="Q64" s="2"/>
      <c r="R64" s="6">
        <f t="shared" si="32"/>
        <v>7.6854089474907104E-3</v>
      </c>
      <c r="S64" s="2"/>
      <c r="T64" s="7">
        <v>700</v>
      </c>
      <c r="U64" s="2"/>
      <c r="V64" s="6">
        <f t="shared" si="33"/>
        <v>6.1403508771929821E-2</v>
      </c>
      <c r="W64" s="2"/>
      <c r="X64" s="7">
        <f t="shared" si="34"/>
        <v>-631.53</v>
      </c>
      <c r="Y64" s="2"/>
      <c r="Z64" s="6">
        <f t="shared" si="35"/>
        <v>-0.90218571428571426</v>
      </c>
    </row>
    <row r="65" spans="1:26" s="27" customFormat="1" outlineLevel="1" collapsed="1" x14ac:dyDescent="0.25">
      <c r="A65" s="28"/>
      <c r="B65" s="14" t="str">
        <f>CONCATENATE("     ","Employees' Appreciation                           ")</f>
        <v xml:space="preserve">     Employees' Appreciation                           </v>
      </c>
      <c r="C65" s="14"/>
      <c r="D65" s="1">
        <f>SUM(OSRRefD22_5x_0)</f>
        <v>0</v>
      </c>
      <c r="E65" s="1"/>
      <c r="F65" s="5">
        <f t="shared" si="28"/>
        <v>0</v>
      </c>
      <c r="G65" s="1"/>
      <c r="H65" s="1">
        <f>SUM(OSRRefH22_5x_0)</f>
        <v>100</v>
      </c>
      <c r="I65" s="1"/>
      <c r="J65" s="5">
        <f t="shared" si="29"/>
        <v>8.771929824561403E-3</v>
      </c>
      <c r="K65" s="1"/>
      <c r="L65" s="1">
        <f t="shared" si="30"/>
        <v>-100</v>
      </c>
      <c r="M65" s="1"/>
      <c r="N65" s="5">
        <f t="shared" si="31"/>
        <v>-1</v>
      </c>
      <c r="O65" s="14"/>
      <c r="P65" s="1">
        <f>SUM(OSRRefP22_5x_0)</f>
        <v>0</v>
      </c>
      <c r="Q65" s="1"/>
      <c r="R65" s="5">
        <f t="shared" si="32"/>
        <v>0</v>
      </c>
      <c r="S65" s="1"/>
      <c r="T65" s="1">
        <f>SUM(OSRRefT22_5x_0)</f>
        <v>100</v>
      </c>
      <c r="U65" s="1"/>
      <c r="V65" s="5">
        <f t="shared" si="33"/>
        <v>8.771929824561403E-3</v>
      </c>
      <c r="W65" s="1"/>
      <c r="X65" s="1">
        <f t="shared" si="34"/>
        <v>-100</v>
      </c>
      <c r="Y65" s="1"/>
      <c r="Z65" s="5">
        <f t="shared" si="35"/>
        <v>-1</v>
      </c>
    </row>
    <row r="66" spans="1:26" s="24" customFormat="1" hidden="1" outlineLevel="2" x14ac:dyDescent="0.25">
      <c r="A66" s="29"/>
      <c r="B66" s="11" t="str">
        <f>CONCATENATE("          ", "6277", " - ", "EMPLOYEE APPRECIATION")</f>
        <v xml:space="preserve">          6277 - EMPLOYEE APPRECIATION</v>
      </c>
      <c r="C66" s="11"/>
      <c r="D66" s="7"/>
      <c r="E66" s="2"/>
      <c r="F66" s="6">
        <f t="shared" si="28"/>
        <v>0</v>
      </c>
      <c r="G66" s="2"/>
      <c r="H66" s="7">
        <v>100</v>
      </c>
      <c r="I66" s="2"/>
      <c r="J66" s="6">
        <f t="shared" si="29"/>
        <v>8.771929824561403E-3</v>
      </c>
      <c r="K66" s="2"/>
      <c r="L66" s="7">
        <f t="shared" si="30"/>
        <v>-100</v>
      </c>
      <c r="M66" s="2"/>
      <c r="N66" s="6">
        <f t="shared" si="31"/>
        <v>-1</v>
      </c>
      <c r="O66" s="11"/>
      <c r="P66" s="7"/>
      <c r="Q66" s="2"/>
      <c r="R66" s="6">
        <f t="shared" si="32"/>
        <v>0</v>
      </c>
      <c r="S66" s="2"/>
      <c r="T66" s="7">
        <v>100</v>
      </c>
      <c r="U66" s="2"/>
      <c r="V66" s="6">
        <f t="shared" si="33"/>
        <v>8.771929824561403E-3</v>
      </c>
      <c r="W66" s="2"/>
      <c r="X66" s="7">
        <f t="shared" si="34"/>
        <v>-100</v>
      </c>
      <c r="Y66" s="2"/>
      <c r="Z66" s="6">
        <f t="shared" si="35"/>
        <v>-1</v>
      </c>
    </row>
    <row r="67" spans="1:26" s="27" customFormat="1" outlineLevel="1" collapsed="1" x14ac:dyDescent="0.25">
      <c r="A67" s="28"/>
      <c r="B67" s="14" t="str">
        <f>CONCATENATE("     ","Equipment Rental                                  ")</f>
        <v xml:space="preserve">     Equipment Rental                                  </v>
      </c>
      <c r="C67" s="14"/>
      <c r="D67" s="1">
        <f>SUM(OSRRefD22_6x_0)</f>
        <v>1205.6400000000001</v>
      </c>
      <c r="E67" s="1"/>
      <c r="F67" s="5">
        <f t="shared" si="28"/>
        <v>0.13532695258438296</v>
      </c>
      <c r="G67" s="1"/>
      <c r="H67" s="1">
        <f>SUM(OSRRefH22_6x_0)</f>
        <v>3000</v>
      </c>
      <c r="I67" s="1"/>
      <c r="J67" s="5">
        <f t="shared" si="29"/>
        <v>0.26315789473684209</v>
      </c>
      <c r="K67" s="1"/>
      <c r="L67" s="1">
        <f t="shared" si="30"/>
        <v>-1794.36</v>
      </c>
      <c r="M67" s="1"/>
      <c r="N67" s="5">
        <f t="shared" si="31"/>
        <v>-0.59811999999999999</v>
      </c>
      <c r="O67" s="14"/>
      <c r="P67" s="1">
        <f>SUM(OSRRefP22_6x_0)</f>
        <v>1205.6400000000001</v>
      </c>
      <c r="Q67" s="1"/>
      <c r="R67" s="5">
        <f t="shared" si="32"/>
        <v>0.13532695258438296</v>
      </c>
      <c r="S67" s="1"/>
      <c r="T67" s="1">
        <f>SUM(OSRRefT22_6x_0)</f>
        <v>3000</v>
      </c>
      <c r="U67" s="1"/>
      <c r="V67" s="5">
        <f t="shared" si="33"/>
        <v>0.26315789473684209</v>
      </c>
      <c r="W67" s="1"/>
      <c r="X67" s="1">
        <f t="shared" si="34"/>
        <v>-1794.36</v>
      </c>
      <c r="Y67" s="1"/>
      <c r="Z67" s="5">
        <f t="shared" si="35"/>
        <v>-0.59811999999999999</v>
      </c>
    </row>
    <row r="68" spans="1:26" s="24" customFormat="1" hidden="1" outlineLevel="2" x14ac:dyDescent="0.25">
      <c r="A68" s="29"/>
      <c r="B68" s="11" t="str">
        <f>CONCATENATE("          ", "6351", " - ", "EQUIPMENT RENTAL")</f>
        <v xml:space="preserve">          6351 - EQUIPMENT RENTAL</v>
      </c>
      <c r="C68" s="11"/>
      <c r="D68" s="7">
        <v>1205.6400000000001</v>
      </c>
      <c r="E68" s="2"/>
      <c r="F68" s="6">
        <f t="shared" si="28"/>
        <v>0.13532695258438296</v>
      </c>
      <c r="G68" s="2"/>
      <c r="H68" s="7">
        <v>3000</v>
      </c>
      <c r="I68" s="2"/>
      <c r="J68" s="6">
        <f t="shared" si="29"/>
        <v>0.26315789473684209</v>
      </c>
      <c r="K68" s="2"/>
      <c r="L68" s="7">
        <f t="shared" si="30"/>
        <v>-1794.36</v>
      </c>
      <c r="M68" s="2"/>
      <c r="N68" s="6">
        <f t="shared" si="31"/>
        <v>-0.59811999999999999</v>
      </c>
      <c r="O68" s="11"/>
      <c r="P68" s="7">
        <v>1205.6400000000001</v>
      </c>
      <c r="Q68" s="2"/>
      <c r="R68" s="6">
        <f t="shared" si="32"/>
        <v>0.13532695258438296</v>
      </c>
      <c r="S68" s="2"/>
      <c r="T68" s="7">
        <v>3000</v>
      </c>
      <c r="U68" s="2"/>
      <c r="V68" s="6">
        <f t="shared" si="33"/>
        <v>0.26315789473684209</v>
      </c>
      <c r="W68" s="2"/>
      <c r="X68" s="7">
        <f t="shared" si="34"/>
        <v>-1794.36</v>
      </c>
      <c r="Y68" s="2"/>
      <c r="Z68" s="6">
        <f t="shared" si="35"/>
        <v>-0.59811999999999999</v>
      </c>
    </row>
    <row r="69" spans="1:26" s="27" customFormat="1" outlineLevel="1" collapsed="1" x14ac:dyDescent="0.25">
      <c r="A69" s="28"/>
      <c r="B69" s="14" t="str">
        <f>CONCATENATE("     ","Freight out/Postage                               ")</f>
        <v xml:space="preserve">     Freight out/Postage                               </v>
      </c>
      <c r="C69" s="14"/>
      <c r="D69" s="1">
        <f>SUM(OSRRefD22_7x_0)</f>
        <v>-2596.42</v>
      </c>
      <c r="E69" s="1"/>
      <c r="F69" s="5">
        <f t="shared" si="28"/>
        <v>-0.29143492769744167</v>
      </c>
      <c r="G69" s="1"/>
      <c r="H69" s="1">
        <f>SUM(OSRRefH22_7x_0)</f>
        <v>-1300</v>
      </c>
      <c r="I69" s="1"/>
      <c r="J69" s="5">
        <f t="shared" si="29"/>
        <v>-0.11403508771929824</v>
      </c>
      <c r="K69" s="1"/>
      <c r="L69" s="1">
        <f t="shared" si="30"/>
        <v>-1296.42</v>
      </c>
      <c r="M69" s="1"/>
      <c r="N69" s="5">
        <f t="shared" si="31"/>
        <v>0.99724615384615389</v>
      </c>
      <c r="O69" s="14"/>
      <c r="P69" s="1">
        <f>SUM(OSRRefP22_7x_0)</f>
        <v>-2596.42</v>
      </c>
      <c r="Q69" s="1"/>
      <c r="R69" s="5">
        <f t="shared" si="32"/>
        <v>-0.29143492769744167</v>
      </c>
      <c r="S69" s="1"/>
      <c r="T69" s="1">
        <f>SUM(OSRRefT22_7x_0)</f>
        <v>-1300</v>
      </c>
      <c r="U69" s="1"/>
      <c r="V69" s="5">
        <f t="shared" si="33"/>
        <v>-0.11403508771929824</v>
      </c>
      <c r="W69" s="1"/>
      <c r="X69" s="1">
        <f t="shared" si="34"/>
        <v>-1296.42</v>
      </c>
      <c r="Y69" s="1"/>
      <c r="Z69" s="5">
        <f t="shared" si="35"/>
        <v>0.99724615384615389</v>
      </c>
    </row>
    <row r="70" spans="1:26" s="24" customFormat="1" hidden="1" outlineLevel="2" x14ac:dyDescent="0.25">
      <c r="A70" s="29"/>
      <c r="B70" s="11" t="str">
        <f>CONCATENATE("          ", "6305", " - ", "FREIGHT OUT")</f>
        <v xml:space="preserve">          6305 - FREIGHT OUT</v>
      </c>
      <c r="C70" s="11"/>
      <c r="D70" s="7">
        <v>1053.1300000000001</v>
      </c>
      <c r="E70" s="2"/>
      <c r="F70" s="6">
        <f t="shared" si="28"/>
        <v>0.11820848144984508</v>
      </c>
      <c r="G70" s="2"/>
      <c r="H70" s="7">
        <v>-1300</v>
      </c>
      <c r="I70" s="2"/>
      <c r="J70" s="6">
        <f t="shared" si="29"/>
        <v>-0.11403508771929824</v>
      </c>
      <c r="K70" s="2"/>
      <c r="L70" s="7">
        <f t="shared" si="30"/>
        <v>2353.13</v>
      </c>
      <c r="M70" s="2"/>
      <c r="N70" s="6">
        <f t="shared" si="31"/>
        <v>-1.8101</v>
      </c>
      <c r="O70" s="11"/>
      <c r="P70" s="7">
        <v>1053.1300000000001</v>
      </c>
      <c r="Q70" s="2"/>
      <c r="R70" s="6">
        <f t="shared" si="32"/>
        <v>0.11820848144984508</v>
      </c>
      <c r="S70" s="2"/>
      <c r="T70" s="7">
        <v>-1300</v>
      </c>
      <c r="U70" s="2"/>
      <c r="V70" s="6">
        <f t="shared" si="33"/>
        <v>-0.11403508771929824</v>
      </c>
      <c r="W70" s="2"/>
      <c r="X70" s="7">
        <f t="shared" si="34"/>
        <v>2353.13</v>
      </c>
      <c r="Y70" s="2"/>
      <c r="Z70" s="6">
        <f t="shared" si="35"/>
        <v>-1.8101</v>
      </c>
    </row>
    <row r="71" spans="1:26" s="24" customFormat="1" hidden="1" outlineLevel="2" x14ac:dyDescent="0.25">
      <c r="A71" s="29"/>
      <c r="B71" s="11" t="str">
        <f>CONCATENATE("          ", "6307", " - ", "POSTAGE")</f>
        <v xml:space="preserve">          6307 - POSTAGE</v>
      </c>
      <c r="C71" s="11"/>
      <c r="D71" s="7">
        <v>-3649.55</v>
      </c>
      <c r="E71" s="2"/>
      <c r="F71" s="6">
        <f t="shared" si="28"/>
        <v>-0.40964340914728675</v>
      </c>
      <c r="G71" s="2"/>
      <c r="H71" s="7"/>
      <c r="I71" s="2"/>
      <c r="J71" s="6">
        <f t="shared" si="29"/>
        <v>0</v>
      </c>
      <c r="K71" s="2"/>
      <c r="L71" s="7">
        <f t="shared" si="30"/>
        <v>-3649.55</v>
      </c>
      <c r="M71" s="2"/>
      <c r="N71" s="6">
        <f t="shared" si="31"/>
        <v>0</v>
      </c>
      <c r="O71" s="11"/>
      <c r="P71" s="7">
        <v>-3649.55</v>
      </c>
      <c r="Q71" s="2"/>
      <c r="R71" s="6">
        <f t="shared" si="32"/>
        <v>-0.40964340914728675</v>
      </c>
      <c r="S71" s="2"/>
      <c r="T71" s="7"/>
      <c r="U71" s="2"/>
      <c r="V71" s="6">
        <f t="shared" si="33"/>
        <v>0</v>
      </c>
      <c r="W71" s="2"/>
      <c r="X71" s="7">
        <f t="shared" si="34"/>
        <v>-3649.55</v>
      </c>
      <c r="Y71" s="2"/>
      <c r="Z71" s="6">
        <f t="shared" si="35"/>
        <v>0</v>
      </c>
    </row>
    <row r="72" spans="1:26" s="27" customFormat="1" outlineLevel="1" collapsed="1" x14ac:dyDescent="0.25">
      <c r="A72" s="28"/>
      <c r="B72" s="14" t="str">
        <f>CONCATENATE("     ","General                                           ")</f>
        <v xml:space="preserve">     General                                           </v>
      </c>
      <c r="C72" s="14"/>
      <c r="D72" s="1">
        <f>SUM(OSRRefD22_8x_0)</f>
        <v>0</v>
      </c>
      <c r="E72" s="1"/>
      <c r="F72" s="5">
        <f t="shared" ref="F72:F78" si="36">IF(D$12=0,0,D72/D$12)</f>
        <v>0</v>
      </c>
      <c r="G72" s="1"/>
      <c r="H72" s="1">
        <f>SUM(OSRRefH22_8x_0)</f>
        <v>200</v>
      </c>
      <c r="I72" s="1"/>
      <c r="J72" s="5">
        <f t="shared" ref="J72:J78" si="37">IF(H$12=0,0,H72/H$12)</f>
        <v>1.7543859649122806E-2</v>
      </c>
      <c r="K72" s="1"/>
      <c r="L72" s="1">
        <f t="shared" ref="L72:L78" si="38">+D72-H72</f>
        <v>-200</v>
      </c>
      <c r="M72" s="1"/>
      <c r="N72" s="5">
        <f t="shared" ref="N72:N78" si="39">IF(H72=0,0,L72/H72)</f>
        <v>-1</v>
      </c>
      <c r="O72" s="14"/>
      <c r="P72" s="1">
        <f>SUM(OSRRefP22_8x_0)</f>
        <v>0</v>
      </c>
      <c r="Q72" s="1"/>
      <c r="R72" s="5">
        <f t="shared" ref="R72:R78" si="40">IF(P$12=0,0,P72/P$12)</f>
        <v>0</v>
      </c>
      <c r="S72" s="1"/>
      <c r="T72" s="1">
        <f>SUM(OSRRefT22_8x_0)</f>
        <v>200</v>
      </c>
      <c r="U72" s="1"/>
      <c r="V72" s="5">
        <f t="shared" ref="V72:V78" si="41">IF(T$12=0,0,T72/T$12)</f>
        <v>1.7543859649122806E-2</v>
      </c>
      <c r="W72" s="1"/>
      <c r="X72" s="1">
        <f t="shared" ref="X72:X78" si="42">+P72-T72</f>
        <v>-200</v>
      </c>
      <c r="Y72" s="1"/>
      <c r="Z72" s="5">
        <f t="shared" ref="Z72:Z78" si="43">IF(T72=0,0,X72/T72)</f>
        <v>-1</v>
      </c>
    </row>
    <row r="73" spans="1:26" s="24" customFormat="1" hidden="1" outlineLevel="2" x14ac:dyDescent="0.25">
      <c r="A73" s="29"/>
      <c r="B73" s="11" t="str">
        <f>CONCATENATE("          ", "6279", " - ", "GENERAL EXPENSE")</f>
        <v xml:space="preserve">          6279 - GENERAL EXPENSE</v>
      </c>
      <c r="C73" s="11"/>
      <c r="D73" s="7"/>
      <c r="E73" s="2"/>
      <c r="F73" s="6">
        <f t="shared" si="36"/>
        <v>0</v>
      </c>
      <c r="G73" s="2"/>
      <c r="H73" s="7">
        <v>200</v>
      </c>
      <c r="I73" s="2"/>
      <c r="J73" s="6">
        <f t="shared" si="37"/>
        <v>1.7543859649122806E-2</v>
      </c>
      <c r="K73" s="2"/>
      <c r="L73" s="7">
        <f t="shared" si="38"/>
        <v>-200</v>
      </c>
      <c r="M73" s="2"/>
      <c r="N73" s="6">
        <f t="shared" si="39"/>
        <v>-1</v>
      </c>
      <c r="O73" s="11"/>
      <c r="P73" s="7"/>
      <c r="Q73" s="2"/>
      <c r="R73" s="6">
        <f t="shared" si="40"/>
        <v>0</v>
      </c>
      <c r="S73" s="2"/>
      <c r="T73" s="7">
        <v>200</v>
      </c>
      <c r="U73" s="2"/>
      <c r="V73" s="6">
        <f t="shared" si="41"/>
        <v>1.7543859649122806E-2</v>
      </c>
      <c r="W73" s="2"/>
      <c r="X73" s="7">
        <f t="shared" si="42"/>
        <v>-200</v>
      </c>
      <c r="Y73" s="2"/>
      <c r="Z73" s="6">
        <f t="shared" si="43"/>
        <v>-1</v>
      </c>
    </row>
    <row r="74" spans="1:26" s="27" customFormat="1" outlineLevel="1" collapsed="1" x14ac:dyDescent="0.25">
      <c r="A74" s="28"/>
      <c r="B74" s="14" t="str">
        <f>CONCATENATE("     ","Repair and Maintenance                            ")</f>
        <v xml:space="preserve">     Repair and Maintenance                            </v>
      </c>
      <c r="C74" s="14"/>
      <c r="D74" s="1">
        <f>SUM(OSRRefD22_9x_0)</f>
        <v>5942.4</v>
      </c>
      <c r="E74" s="1"/>
      <c r="F74" s="5">
        <f t="shared" si="36"/>
        <v>0.66700414969430111</v>
      </c>
      <c r="G74" s="1"/>
      <c r="H74" s="1">
        <f>SUM(OSRRefH22_9x_0)</f>
        <v>7000</v>
      </c>
      <c r="I74" s="1"/>
      <c r="J74" s="5">
        <f t="shared" si="37"/>
        <v>0.61403508771929827</v>
      </c>
      <c r="K74" s="1"/>
      <c r="L74" s="1">
        <f t="shared" si="38"/>
        <v>-1057.6000000000004</v>
      </c>
      <c r="M74" s="1"/>
      <c r="N74" s="5">
        <f t="shared" si="39"/>
        <v>-0.15108571428571435</v>
      </c>
      <c r="O74" s="14"/>
      <c r="P74" s="1">
        <f>SUM(OSRRefP22_9x_0)</f>
        <v>5942.4</v>
      </c>
      <c r="Q74" s="1"/>
      <c r="R74" s="5">
        <f t="shared" si="40"/>
        <v>0.66700414969430111</v>
      </c>
      <c r="S74" s="1"/>
      <c r="T74" s="1">
        <f>SUM(OSRRefT22_9x_0)</f>
        <v>7000</v>
      </c>
      <c r="U74" s="1"/>
      <c r="V74" s="5">
        <f t="shared" si="41"/>
        <v>0.61403508771929827</v>
      </c>
      <c r="W74" s="1"/>
      <c r="X74" s="1">
        <f t="shared" si="42"/>
        <v>-1057.6000000000004</v>
      </c>
      <c r="Y74" s="1"/>
      <c r="Z74" s="5">
        <f t="shared" si="43"/>
        <v>-0.15108571428571435</v>
      </c>
    </row>
    <row r="75" spans="1:26" s="24" customFormat="1" hidden="1" outlineLevel="2" x14ac:dyDescent="0.25">
      <c r="A75" s="29"/>
      <c r="B75" s="11" t="str">
        <f>CONCATENATE("          ", "6373", " - ", "MAINTENANCE CONTRACTS")</f>
        <v xml:space="preserve">          6373 - MAINTENANCE CONTRACTS</v>
      </c>
      <c r="C75" s="11"/>
      <c r="D75" s="7">
        <v>5942.4</v>
      </c>
      <c r="E75" s="2"/>
      <c r="F75" s="6">
        <f t="shared" si="36"/>
        <v>0.66700414969430111</v>
      </c>
      <c r="G75" s="2"/>
      <c r="H75" s="7">
        <v>7000</v>
      </c>
      <c r="I75" s="2"/>
      <c r="J75" s="6">
        <f t="shared" si="37"/>
        <v>0.61403508771929827</v>
      </c>
      <c r="K75" s="2"/>
      <c r="L75" s="7">
        <f t="shared" si="38"/>
        <v>-1057.6000000000004</v>
      </c>
      <c r="M75" s="2"/>
      <c r="N75" s="6">
        <f t="shared" si="39"/>
        <v>-0.15108571428571435</v>
      </c>
      <c r="O75" s="11"/>
      <c r="P75" s="7">
        <v>5942.4</v>
      </c>
      <c r="Q75" s="2"/>
      <c r="R75" s="6">
        <f t="shared" si="40"/>
        <v>0.66700414969430111</v>
      </c>
      <c r="S75" s="2"/>
      <c r="T75" s="7">
        <v>7000</v>
      </c>
      <c r="U75" s="2"/>
      <c r="V75" s="6">
        <f t="shared" si="41"/>
        <v>0.61403508771929827</v>
      </c>
      <c r="W75" s="2"/>
      <c r="X75" s="7">
        <f t="shared" si="42"/>
        <v>-1057.6000000000004</v>
      </c>
      <c r="Y75" s="2"/>
      <c r="Z75" s="6">
        <f t="shared" si="43"/>
        <v>-0.15108571428571435</v>
      </c>
    </row>
    <row r="76" spans="1:26" s="27" customFormat="1" outlineLevel="1" collapsed="1" x14ac:dyDescent="0.25">
      <c r="A76" s="28"/>
      <c r="B76" s="14" t="str">
        <f>CONCATENATE("     ","Royalty &amp; Commissions                             ")</f>
        <v xml:space="preserve">     Royalty &amp; Commissions                             </v>
      </c>
      <c r="C76" s="14"/>
      <c r="D76" s="1">
        <f>SUM(OSRRefD22_10x_0)</f>
        <v>605.01</v>
      </c>
      <c r="E76" s="1"/>
      <c r="F76" s="5">
        <f t="shared" si="36"/>
        <v>6.790929264380538E-2</v>
      </c>
      <c r="G76" s="1"/>
      <c r="H76" s="1">
        <f>SUM(OSRRefH22_10x_0)</f>
        <v>11000</v>
      </c>
      <c r="I76" s="1"/>
      <c r="J76" s="5">
        <f t="shared" si="37"/>
        <v>0.96491228070175439</v>
      </c>
      <c r="K76" s="1"/>
      <c r="L76" s="1">
        <f t="shared" si="38"/>
        <v>-10394.99</v>
      </c>
      <c r="M76" s="1"/>
      <c r="N76" s="5">
        <f t="shared" si="39"/>
        <v>-0.94499909090909084</v>
      </c>
      <c r="O76" s="14"/>
      <c r="P76" s="1">
        <f>SUM(OSRRefP22_10x_0)</f>
        <v>605.01</v>
      </c>
      <c r="Q76" s="1"/>
      <c r="R76" s="5">
        <f t="shared" si="40"/>
        <v>6.790929264380538E-2</v>
      </c>
      <c r="S76" s="1"/>
      <c r="T76" s="1">
        <f>SUM(OSRRefT22_10x_0)</f>
        <v>11000</v>
      </c>
      <c r="U76" s="1"/>
      <c r="V76" s="5">
        <f t="shared" si="41"/>
        <v>0.96491228070175439</v>
      </c>
      <c r="W76" s="1"/>
      <c r="X76" s="1">
        <f t="shared" si="42"/>
        <v>-10394.99</v>
      </c>
      <c r="Y76" s="1"/>
      <c r="Z76" s="5">
        <f t="shared" si="43"/>
        <v>-0.94499909090909084</v>
      </c>
    </row>
    <row r="77" spans="1:26" s="24" customFormat="1" hidden="1" outlineLevel="2" x14ac:dyDescent="0.25">
      <c r="A77" s="29"/>
      <c r="B77" s="11" t="str">
        <f>CONCATENATE("          ", "6254", " - ", "ROYALTY &amp; COMMISSIONS")</f>
        <v xml:space="preserve">          6254 - ROYALTY &amp; COMMISSIONS</v>
      </c>
      <c r="C77" s="11"/>
      <c r="D77" s="7"/>
      <c r="E77" s="2"/>
      <c r="F77" s="6">
        <f t="shared" si="36"/>
        <v>0</v>
      </c>
      <c r="G77" s="2"/>
      <c r="H77" s="7">
        <v>11000</v>
      </c>
      <c r="I77" s="2"/>
      <c r="J77" s="6">
        <f t="shared" si="37"/>
        <v>0.96491228070175439</v>
      </c>
      <c r="K77" s="2"/>
      <c r="L77" s="7">
        <f t="shared" si="38"/>
        <v>-11000</v>
      </c>
      <c r="M77" s="2"/>
      <c r="N77" s="6">
        <f t="shared" si="39"/>
        <v>-1</v>
      </c>
      <c r="O77" s="11"/>
      <c r="P77" s="7"/>
      <c r="Q77" s="2"/>
      <c r="R77" s="6">
        <f t="shared" si="40"/>
        <v>0</v>
      </c>
      <c r="S77" s="2"/>
      <c r="T77" s="7">
        <v>11000</v>
      </c>
      <c r="U77" s="2"/>
      <c r="V77" s="6">
        <f t="shared" si="41"/>
        <v>0.96491228070175439</v>
      </c>
      <c r="W77" s="2"/>
      <c r="X77" s="7">
        <f t="shared" si="42"/>
        <v>-11000</v>
      </c>
      <c r="Y77" s="2"/>
      <c r="Z77" s="6">
        <f t="shared" si="43"/>
        <v>-1</v>
      </c>
    </row>
    <row r="78" spans="1:26" s="24" customFormat="1" hidden="1" outlineLevel="2" x14ac:dyDescent="0.25">
      <c r="A78" s="29"/>
      <c r="B78" s="11" t="str">
        <f>CONCATENATE("          ", "6259", " - ", "ROYALTY &amp; COMMISSIONS")</f>
        <v xml:space="preserve">          6259 - ROYALTY &amp; COMMISSIONS</v>
      </c>
      <c r="C78" s="11"/>
      <c r="D78" s="7">
        <v>605.01</v>
      </c>
      <c r="E78" s="2"/>
      <c r="F78" s="6">
        <f t="shared" si="36"/>
        <v>6.790929264380538E-2</v>
      </c>
      <c r="G78" s="2"/>
      <c r="H78" s="7"/>
      <c r="I78" s="2"/>
      <c r="J78" s="6">
        <f t="shared" si="37"/>
        <v>0</v>
      </c>
      <c r="K78" s="2"/>
      <c r="L78" s="7">
        <f t="shared" si="38"/>
        <v>605.01</v>
      </c>
      <c r="M78" s="2"/>
      <c r="N78" s="6">
        <f t="shared" si="39"/>
        <v>0</v>
      </c>
      <c r="O78" s="11"/>
      <c r="P78" s="7">
        <v>605.01</v>
      </c>
      <c r="Q78" s="2"/>
      <c r="R78" s="6">
        <f t="shared" si="40"/>
        <v>6.790929264380538E-2</v>
      </c>
      <c r="S78" s="2"/>
      <c r="T78" s="7"/>
      <c r="U78" s="2"/>
      <c r="V78" s="6">
        <f t="shared" si="41"/>
        <v>0</v>
      </c>
      <c r="W78" s="2"/>
      <c r="X78" s="7">
        <f t="shared" si="42"/>
        <v>605.01</v>
      </c>
      <c r="Y78" s="2"/>
      <c r="Z78" s="6">
        <f t="shared" si="43"/>
        <v>0</v>
      </c>
    </row>
    <row r="79" spans="1:26" s="27" customFormat="1" outlineLevel="1" collapsed="1" x14ac:dyDescent="0.25">
      <c r="A79" s="28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SUM(OSRRefD22_11x_0)</f>
        <v>3495.6899999999996</v>
      </c>
      <c r="E79" s="1"/>
      <c r="F79" s="5">
        <f t="shared" ref="F79:F82" si="44">IF(D$12=0,0,D79/D$12)</f>
        <v>0.39237340738504162</v>
      </c>
      <c r="G79" s="1"/>
      <c r="H79" s="1">
        <f>SUM(OSRRefH22_11x_0)</f>
        <v>3000</v>
      </c>
      <c r="I79" s="1"/>
      <c r="J79" s="5">
        <f t="shared" ref="J79:J82" si="45">IF(H$12=0,0,H79/H$12)</f>
        <v>0.26315789473684209</v>
      </c>
      <c r="K79" s="1"/>
      <c r="L79" s="1">
        <f t="shared" ref="L79:L82" si="46">+D79-H79</f>
        <v>495.6899999999996</v>
      </c>
      <c r="M79" s="1"/>
      <c r="N79" s="5">
        <f t="shared" ref="N79:N82" si="47">IF(H79=0,0,L79/H79)</f>
        <v>0.16522999999999988</v>
      </c>
      <c r="O79" s="14"/>
      <c r="P79" s="1">
        <f>SUM(OSRRefP22_11x_0)</f>
        <v>3495.6899999999996</v>
      </c>
      <c r="Q79" s="1"/>
      <c r="R79" s="5">
        <f t="shared" ref="R79:R82" si="48">IF(P$12=0,0,P79/P$12)</f>
        <v>0.39237340738504162</v>
      </c>
      <c r="S79" s="1"/>
      <c r="T79" s="1">
        <f>SUM(OSRRefT22_11x_0)</f>
        <v>3000</v>
      </c>
      <c r="U79" s="1"/>
      <c r="V79" s="5">
        <f t="shared" ref="V79:V82" si="49">IF(T$12=0,0,T79/T$12)</f>
        <v>0.26315789473684209</v>
      </c>
      <c r="W79" s="1"/>
      <c r="X79" s="1">
        <f t="shared" ref="X79:X82" si="50">+P79-T79</f>
        <v>495.6899999999996</v>
      </c>
      <c r="Y79" s="1"/>
      <c r="Z79" s="5">
        <f t="shared" ref="Z79:Z82" si="51">IF(T79=0,0,X79/T79)</f>
        <v>0.16522999999999988</v>
      </c>
    </row>
    <row r="80" spans="1:26" s="24" customFormat="1" hidden="1" outlineLevel="2" x14ac:dyDescent="0.25">
      <c r="A80" s="29"/>
      <c r="B80" s="11" t="str">
        <f>CONCATENATE("          ", "6234", " - ", "EXPENDABLE SUPPLIES &amp; EQUIPMEN")</f>
        <v xml:space="preserve">          6234 - EXPENDABLE SUPPLIES &amp; EQUIPMEN</v>
      </c>
      <c r="C80" s="11"/>
      <c r="D80" s="7">
        <v>17.27</v>
      </c>
      <c r="E80" s="2"/>
      <c r="F80" s="6">
        <f t="shared" si="44"/>
        <v>1.9384695855581213E-3</v>
      </c>
      <c r="G80" s="2"/>
      <c r="H80" s="7"/>
      <c r="I80" s="2"/>
      <c r="J80" s="6">
        <f t="shared" si="45"/>
        <v>0</v>
      </c>
      <c r="K80" s="2"/>
      <c r="L80" s="7">
        <f t="shared" si="46"/>
        <v>17.27</v>
      </c>
      <c r="M80" s="2"/>
      <c r="N80" s="6">
        <f t="shared" si="47"/>
        <v>0</v>
      </c>
      <c r="O80" s="11"/>
      <c r="P80" s="7">
        <v>17.27</v>
      </c>
      <c r="Q80" s="2"/>
      <c r="R80" s="6">
        <f t="shared" si="48"/>
        <v>1.9384695855581213E-3</v>
      </c>
      <c r="S80" s="2"/>
      <c r="T80" s="7"/>
      <c r="U80" s="2"/>
      <c r="V80" s="6">
        <f t="shared" si="49"/>
        <v>0</v>
      </c>
      <c r="W80" s="2"/>
      <c r="X80" s="7">
        <f t="shared" si="50"/>
        <v>17.27</v>
      </c>
      <c r="Y80" s="2"/>
      <c r="Z80" s="6">
        <f t="shared" si="51"/>
        <v>0</v>
      </c>
    </row>
    <row r="81" spans="1:26" s="24" customFormat="1" hidden="1" outlineLevel="2" x14ac:dyDescent="0.25">
      <c r="A81" s="29"/>
      <c r="B81" s="11" t="str">
        <f>CONCATENATE("          ", "6243", " - ", "PAPER SUPPLIES")</f>
        <v xml:space="preserve">          6243 - PAPER SUPPLIES</v>
      </c>
      <c r="C81" s="11"/>
      <c r="D81" s="7">
        <v>1161.3399999999999</v>
      </c>
      <c r="E81" s="2"/>
      <c r="F81" s="6">
        <f t="shared" si="44"/>
        <v>0.13035450309739829</v>
      </c>
      <c r="G81" s="2"/>
      <c r="H81" s="7">
        <v>250</v>
      </c>
      <c r="I81" s="2"/>
      <c r="J81" s="6">
        <f t="shared" si="45"/>
        <v>2.1929824561403508E-2</v>
      </c>
      <c r="K81" s="2"/>
      <c r="L81" s="7">
        <f t="shared" si="46"/>
        <v>911.33999999999992</v>
      </c>
      <c r="M81" s="2"/>
      <c r="N81" s="6">
        <f t="shared" si="47"/>
        <v>3.6453599999999997</v>
      </c>
      <c r="O81" s="11"/>
      <c r="P81" s="7">
        <v>1161.3399999999999</v>
      </c>
      <c r="Q81" s="2"/>
      <c r="R81" s="6">
        <f t="shared" si="48"/>
        <v>0.13035450309739829</v>
      </c>
      <c r="S81" s="2"/>
      <c r="T81" s="7">
        <v>250</v>
      </c>
      <c r="U81" s="2"/>
      <c r="V81" s="6">
        <f t="shared" si="49"/>
        <v>2.1929824561403508E-2</v>
      </c>
      <c r="W81" s="2"/>
      <c r="X81" s="7">
        <f t="shared" si="50"/>
        <v>911.33999999999992</v>
      </c>
      <c r="Y81" s="2"/>
      <c r="Z81" s="6">
        <f t="shared" si="51"/>
        <v>3.6453599999999997</v>
      </c>
    </row>
    <row r="82" spans="1:26" s="24" customFormat="1" hidden="1" outlineLevel="2" x14ac:dyDescent="0.25">
      <c r="A82" s="29"/>
      <c r="B82" s="11" t="str">
        <f>CONCATENATE("          ", "6247", " - ", "STORE SUPPLIES")</f>
        <v xml:space="preserve">          6247 - STORE SUPPLIES</v>
      </c>
      <c r="C82" s="11"/>
      <c r="D82" s="7">
        <v>2317.08</v>
      </c>
      <c r="E82" s="2"/>
      <c r="F82" s="6">
        <f t="shared" si="44"/>
        <v>0.26008043470208519</v>
      </c>
      <c r="G82" s="2"/>
      <c r="H82" s="7">
        <v>2750</v>
      </c>
      <c r="I82" s="2"/>
      <c r="J82" s="6">
        <f t="shared" si="45"/>
        <v>0.2412280701754386</v>
      </c>
      <c r="K82" s="2"/>
      <c r="L82" s="7">
        <f t="shared" si="46"/>
        <v>-432.92000000000007</v>
      </c>
      <c r="M82" s="2"/>
      <c r="N82" s="6">
        <f t="shared" si="47"/>
        <v>-0.15742545454545456</v>
      </c>
      <c r="O82" s="11"/>
      <c r="P82" s="7">
        <v>2317.08</v>
      </c>
      <c r="Q82" s="2"/>
      <c r="R82" s="6">
        <f t="shared" si="48"/>
        <v>0.26008043470208519</v>
      </c>
      <c r="S82" s="2"/>
      <c r="T82" s="7">
        <v>2750</v>
      </c>
      <c r="U82" s="2"/>
      <c r="V82" s="6">
        <f t="shared" si="49"/>
        <v>0.2412280701754386</v>
      </c>
      <c r="W82" s="2"/>
      <c r="X82" s="7">
        <f t="shared" si="50"/>
        <v>-432.92000000000007</v>
      </c>
      <c r="Y82" s="2"/>
      <c r="Z82" s="6">
        <f t="shared" si="51"/>
        <v>-0.15742545454545456</v>
      </c>
    </row>
    <row r="83" spans="1:26" s="27" customFormat="1" outlineLevel="1" collapsed="1" x14ac:dyDescent="0.25">
      <c r="A83" s="28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SUM(OSRRefD22_12x_0)</f>
        <v>192.45</v>
      </c>
      <c r="E83" s="1"/>
      <c r="F83" s="5">
        <f t="shared" ref="F83:F85" si="52">IF(D$12=0,0,D83/D$12)</f>
        <v>2.1601532816482943E-2</v>
      </c>
      <c r="G83" s="1"/>
      <c r="H83" s="1">
        <f>SUM(OSRRefH22_12x_0)</f>
        <v>200</v>
      </c>
      <c r="I83" s="1"/>
      <c r="J83" s="5">
        <f t="shared" ref="J83:J85" si="53">IF(H$12=0,0,H83/H$12)</f>
        <v>1.7543859649122806E-2</v>
      </c>
      <c r="K83" s="1"/>
      <c r="L83" s="1">
        <f t="shared" ref="L83:L85" si="54">+D83-H83</f>
        <v>-7.5500000000000114</v>
      </c>
      <c r="M83" s="1"/>
      <c r="N83" s="5">
        <f t="shared" ref="N83:N85" si="55">IF(H83=0,0,L83/H83)</f>
        <v>-3.7750000000000054E-2</v>
      </c>
      <c r="O83" s="14"/>
      <c r="P83" s="1">
        <f>SUM(OSRRefP22_12x_0)</f>
        <v>192.45</v>
      </c>
      <c r="Q83" s="1"/>
      <c r="R83" s="5">
        <f t="shared" ref="R83:R85" si="56">IF(P$12=0,0,P83/P$12)</f>
        <v>2.1601532816482943E-2</v>
      </c>
      <c r="S83" s="1"/>
      <c r="T83" s="1">
        <f>SUM(OSRRefT22_12x_0)</f>
        <v>200</v>
      </c>
      <c r="U83" s="1"/>
      <c r="V83" s="5">
        <f t="shared" ref="V83:V85" si="57">IF(T$12=0,0,T83/T$12)</f>
        <v>1.7543859649122806E-2</v>
      </c>
      <c r="W83" s="1"/>
      <c r="X83" s="1">
        <f t="shared" ref="X83:X85" si="58">+P83-T83</f>
        <v>-7.5500000000000114</v>
      </c>
      <c r="Y83" s="1"/>
      <c r="Z83" s="5">
        <f t="shared" ref="Z83:Z85" si="59">IF(T83=0,0,X83/T83)</f>
        <v>-3.7750000000000054E-2</v>
      </c>
    </row>
    <row r="84" spans="1:26" s="24" customFormat="1" hidden="1" outlineLevel="2" x14ac:dyDescent="0.25">
      <c r="A84" s="29"/>
      <c r="B84" s="11" t="str">
        <f>CONCATENATE("          ", "6303", " - ", "DATA PHONE LINES")</f>
        <v xml:space="preserve">          6303 - DATA PHONE LINES</v>
      </c>
      <c r="C84" s="11"/>
      <c r="D84" s="7"/>
      <c r="E84" s="2"/>
      <c r="F84" s="6">
        <f t="shared" si="52"/>
        <v>0</v>
      </c>
      <c r="G84" s="2"/>
      <c r="H84" s="7">
        <v>200</v>
      </c>
      <c r="I84" s="2"/>
      <c r="J84" s="6">
        <f t="shared" si="53"/>
        <v>1.7543859649122806E-2</v>
      </c>
      <c r="K84" s="2"/>
      <c r="L84" s="7">
        <f t="shared" si="54"/>
        <v>-200</v>
      </c>
      <c r="M84" s="2"/>
      <c r="N84" s="6">
        <f t="shared" si="55"/>
        <v>-1</v>
      </c>
      <c r="O84" s="11"/>
      <c r="P84" s="7"/>
      <c r="Q84" s="2"/>
      <c r="R84" s="6">
        <f t="shared" si="56"/>
        <v>0</v>
      </c>
      <c r="S84" s="2"/>
      <c r="T84" s="7">
        <v>200</v>
      </c>
      <c r="U84" s="2"/>
      <c r="V84" s="6">
        <f t="shared" si="57"/>
        <v>1.7543859649122806E-2</v>
      </c>
      <c r="W84" s="2"/>
      <c r="X84" s="7">
        <f t="shared" si="58"/>
        <v>-200</v>
      </c>
      <c r="Y84" s="2"/>
      <c r="Z84" s="6">
        <f t="shared" si="59"/>
        <v>-1</v>
      </c>
    </row>
    <row r="85" spans="1:26" s="24" customFormat="1" hidden="1" outlineLevel="2" x14ac:dyDescent="0.25">
      <c r="A85" s="29"/>
      <c r="B85" s="11" t="str">
        <f>CONCATENATE("          ", "6309", " - ", "TELEPHONE")</f>
        <v xml:space="preserve">          6309 - TELEPHONE</v>
      </c>
      <c r="C85" s="11"/>
      <c r="D85" s="7">
        <v>192.45</v>
      </c>
      <c r="E85" s="2"/>
      <c r="F85" s="6">
        <f t="shared" si="52"/>
        <v>2.1601532816482943E-2</v>
      </c>
      <c r="G85" s="2"/>
      <c r="H85" s="7"/>
      <c r="I85" s="2"/>
      <c r="J85" s="6">
        <f t="shared" si="53"/>
        <v>0</v>
      </c>
      <c r="K85" s="2"/>
      <c r="L85" s="7">
        <f t="shared" si="54"/>
        <v>192.45</v>
      </c>
      <c r="M85" s="2"/>
      <c r="N85" s="6">
        <f t="shared" si="55"/>
        <v>0</v>
      </c>
      <c r="O85" s="11"/>
      <c r="P85" s="7">
        <v>192.45</v>
      </c>
      <c r="Q85" s="2"/>
      <c r="R85" s="6">
        <f t="shared" si="56"/>
        <v>2.1601532816482943E-2</v>
      </c>
      <c r="S85" s="2"/>
      <c r="T85" s="7"/>
      <c r="U85" s="2"/>
      <c r="V85" s="6">
        <f t="shared" si="57"/>
        <v>0</v>
      </c>
      <c r="W85" s="2"/>
      <c r="X85" s="7">
        <f t="shared" si="58"/>
        <v>192.45</v>
      </c>
      <c r="Y85" s="2"/>
      <c r="Z85" s="6">
        <f t="shared" si="59"/>
        <v>0</v>
      </c>
    </row>
    <row r="86" spans="1:26" s="57" customFormat="1" x14ac:dyDescent="0.25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5" t="s">
        <v>0</v>
      </c>
      <c r="C87" s="10"/>
      <c r="D87" s="4">
        <f>SUM(OSRRefD25x_0)</f>
        <v>13598.7</v>
      </c>
      <c r="E87" s="4"/>
      <c r="F87" s="12">
        <f t="shared" ref="F87:F92" si="60">IF(D$12=0,0,D87/D$12)</f>
        <v>1.5263848496311074</v>
      </c>
      <c r="G87" s="4"/>
      <c r="H87" s="4">
        <f>SUM(OSRRefH25x_0)</f>
        <v>25750</v>
      </c>
      <c r="I87" s="4"/>
      <c r="J87" s="12">
        <f t="shared" ref="J87:J92" si="61">IF(H$12=0,0,H87/H$12)</f>
        <v>2.2587719298245612</v>
      </c>
      <c r="K87" s="4"/>
      <c r="L87" s="4">
        <f t="shared" ref="L87:L92" si="62">+D87-H87</f>
        <v>-12151.3</v>
      </c>
      <c r="M87" s="4"/>
      <c r="N87" s="12">
        <f t="shared" ref="N87:N92" si="63">IF(H87=0,0,L87/H87)</f>
        <v>-0.47189514563106794</v>
      </c>
      <c r="O87" s="10"/>
      <c r="P87" s="4">
        <f>SUM(OSRRefP25x_0)</f>
        <v>13598.7</v>
      </c>
      <c r="Q87" s="4"/>
      <c r="R87" s="12">
        <f t="shared" ref="R87:R92" si="64">IF(P$12=0,0,P87/P$12)</f>
        <v>1.5263848496311074</v>
      </c>
      <c r="S87" s="4"/>
      <c r="T87" s="4">
        <f>SUM(OSRRefT25x_0)</f>
        <v>25750</v>
      </c>
      <c r="U87" s="4"/>
      <c r="V87" s="12">
        <f t="shared" ref="V87:V92" si="65">IF(T$12=0,0,T87/T$12)</f>
        <v>2.2587719298245612</v>
      </c>
      <c r="W87" s="4"/>
      <c r="X87" s="4">
        <f t="shared" ref="X87:X92" si="66">+P87-T87</f>
        <v>-12151.3</v>
      </c>
      <c r="Y87" s="4"/>
      <c r="Z87" s="12">
        <f t="shared" ref="Z87:Z92" si="67">IF(T87=0,0,X87/T87)</f>
        <v>-0.47189514563106794</v>
      </c>
    </row>
    <row r="88" spans="1:26" s="24" customFormat="1" hidden="1" outlineLevel="1" x14ac:dyDescent="0.25">
      <c r="A88" s="51"/>
      <c r="B88" s="11" t="str">
        <f>CONCATENATE("          ", "4098", " - ", "TAXABLE SALES-GRAD RENTALS")</f>
        <v xml:space="preserve">          4098 - TAXABLE SALES-GRAD RENTALS</v>
      </c>
      <c r="C88" s="11"/>
      <c r="D88" s="2">
        <f>--74.7</f>
        <v>74.7</v>
      </c>
      <c r="E88" s="2"/>
      <c r="F88" s="22">
        <f t="shared" si="60"/>
        <v>8.3846947331321173E-3</v>
      </c>
      <c r="G88" s="2"/>
      <c r="H88" s="2"/>
      <c r="I88" s="2"/>
      <c r="J88" s="22">
        <f t="shared" si="61"/>
        <v>0</v>
      </c>
      <c r="K88" s="2"/>
      <c r="L88" s="2">
        <f t="shared" si="62"/>
        <v>74.7</v>
      </c>
      <c r="M88" s="2"/>
      <c r="N88" s="22">
        <f t="shared" si="63"/>
        <v>0</v>
      </c>
      <c r="O88" s="11"/>
      <c r="P88" s="2">
        <f>--74.7</f>
        <v>74.7</v>
      </c>
      <c r="Q88" s="2"/>
      <c r="R88" s="22">
        <f t="shared" si="64"/>
        <v>8.3846947331321173E-3</v>
      </c>
      <c r="S88" s="2"/>
      <c r="T88" s="2"/>
      <c r="U88" s="2"/>
      <c r="V88" s="22">
        <f t="shared" si="65"/>
        <v>0</v>
      </c>
      <c r="W88" s="2"/>
      <c r="X88" s="2">
        <f t="shared" si="66"/>
        <v>74.7</v>
      </c>
      <c r="Y88" s="2"/>
      <c r="Z88" s="22">
        <f t="shared" si="67"/>
        <v>0</v>
      </c>
    </row>
    <row r="89" spans="1:26" s="24" customFormat="1" hidden="1" outlineLevel="1" x14ac:dyDescent="0.25">
      <c r="A89" s="51"/>
      <c r="B89" s="11" t="str">
        <f>CONCATENATE("          ", "4198", " - ", "NON-TAXABLE SALES-GRAD RENTALS")</f>
        <v xml:space="preserve">          4198 - NON-TAXABLE SALES-GRAD RENTALS</v>
      </c>
      <c r="C89" s="11"/>
      <c r="D89" s="2">
        <f>--255</f>
        <v>255</v>
      </c>
      <c r="E89" s="2"/>
      <c r="F89" s="22">
        <f t="shared" si="60"/>
        <v>2.8622451900250201E-2</v>
      </c>
      <c r="G89" s="2"/>
      <c r="H89" s="2"/>
      <c r="I89" s="2"/>
      <c r="J89" s="22">
        <f t="shared" si="61"/>
        <v>0</v>
      </c>
      <c r="K89" s="2"/>
      <c r="L89" s="2">
        <f t="shared" si="62"/>
        <v>255</v>
      </c>
      <c r="M89" s="2"/>
      <c r="N89" s="22">
        <f t="shared" si="63"/>
        <v>0</v>
      </c>
      <c r="O89" s="11"/>
      <c r="P89" s="2">
        <f>--255</f>
        <v>255</v>
      </c>
      <c r="Q89" s="2"/>
      <c r="R89" s="22">
        <f t="shared" si="64"/>
        <v>2.8622451900250201E-2</v>
      </c>
      <c r="S89" s="2"/>
      <c r="T89" s="2"/>
      <c r="U89" s="2"/>
      <c r="V89" s="22">
        <f t="shared" si="65"/>
        <v>0</v>
      </c>
      <c r="W89" s="2"/>
      <c r="X89" s="2">
        <f t="shared" si="66"/>
        <v>255</v>
      </c>
      <c r="Y89" s="2"/>
      <c r="Z89" s="22">
        <f t="shared" si="67"/>
        <v>0</v>
      </c>
    </row>
    <row r="90" spans="1:26" s="24" customFormat="1" hidden="1" outlineLevel="1" x14ac:dyDescent="0.25">
      <c r="A90" s="51"/>
      <c r="B90" s="11" t="str">
        <f>CONCATENATE("          ", "9150", " - ", "MISC. INCOME")</f>
        <v xml:space="preserve">          9150 - MISC. INCOME</v>
      </c>
      <c r="C90" s="11"/>
      <c r="D90" s="2">
        <f>--13269</f>
        <v>13269</v>
      </c>
      <c r="E90" s="2"/>
      <c r="F90" s="22">
        <f t="shared" si="60"/>
        <v>1.4893777029977251</v>
      </c>
      <c r="G90" s="2"/>
      <c r="H90" s="2"/>
      <c r="I90" s="2"/>
      <c r="J90" s="22">
        <f t="shared" si="61"/>
        <v>0</v>
      </c>
      <c r="K90" s="2"/>
      <c r="L90" s="2">
        <f t="shared" si="62"/>
        <v>13269</v>
      </c>
      <c r="M90" s="2"/>
      <c r="N90" s="22">
        <f t="shared" si="63"/>
        <v>0</v>
      </c>
      <c r="O90" s="11"/>
      <c r="P90" s="2">
        <f>--13269</f>
        <v>13269</v>
      </c>
      <c r="Q90" s="2"/>
      <c r="R90" s="22">
        <f t="shared" si="64"/>
        <v>1.4893777029977251</v>
      </c>
      <c r="S90" s="2"/>
      <c r="T90" s="2"/>
      <c r="U90" s="2"/>
      <c r="V90" s="22">
        <f t="shared" si="65"/>
        <v>0</v>
      </c>
      <c r="W90" s="2"/>
      <c r="X90" s="2">
        <f t="shared" si="66"/>
        <v>13269</v>
      </c>
      <c r="Y90" s="2"/>
      <c r="Z90" s="22">
        <f t="shared" si="67"/>
        <v>0</v>
      </c>
    </row>
    <row r="91" spans="1:26" s="24" customFormat="1" hidden="1" outlineLevel="1" x14ac:dyDescent="0.25">
      <c r="A91" s="51"/>
      <c r="B91" s="11" t="str">
        <f>CONCATENATE("          ", "9151", " - ", "MISC. INCOME")</f>
        <v xml:space="preserve">          9151 - MISC. INCOME</v>
      </c>
      <c r="C91" s="11"/>
      <c r="D91" s="2">
        <f t="shared" ref="D91:D92" si="68">0</f>
        <v>0</v>
      </c>
      <c r="E91" s="2"/>
      <c r="F91" s="22">
        <f t="shared" si="60"/>
        <v>0</v>
      </c>
      <c r="G91" s="2"/>
      <c r="H91" s="2">
        <v>12250</v>
      </c>
      <c r="I91" s="2"/>
      <c r="J91" s="22">
        <f t="shared" si="61"/>
        <v>1.0745614035087718</v>
      </c>
      <c r="K91" s="2"/>
      <c r="L91" s="2">
        <f t="shared" si="62"/>
        <v>-12250</v>
      </c>
      <c r="M91" s="2"/>
      <c r="N91" s="22">
        <f t="shared" si="63"/>
        <v>-1</v>
      </c>
      <c r="O91" s="11"/>
      <c r="P91" s="2">
        <f t="shared" ref="P91:P92" si="69">0</f>
        <v>0</v>
      </c>
      <c r="Q91" s="2"/>
      <c r="R91" s="22">
        <f t="shared" si="64"/>
        <v>0</v>
      </c>
      <c r="S91" s="2"/>
      <c r="T91" s="2">
        <v>12250</v>
      </c>
      <c r="U91" s="2"/>
      <c r="V91" s="22">
        <f t="shared" si="65"/>
        <v>1.0745614035087718</v>
      </c>
      <c r="W91" s="2"/>
      <c r="X91" s="2">
        <f t="shared" si="66"/>
        <v>-12250</v>
      </c>
      <c r="Y91" s="2"/>
      <c r="Z91" s="22">
        <f t="shared" si="67"/>
        <v>-1</v>
      </c>
    </row>
    <row r="92" spans="1:26" s="24" customFormat="1" hidden="1" outlineLevel="1" x14ac:dyDescent="0.25">
      <c r="A92" s="51"/>
      <c r="B92" s="11" t="str">
        <f>CONCATENATE("          ", "9160", " - ", "MISC. INCOME")</f>
        <v xml:space="preserve">          9160 - MISC. INCOME</v>
      </c>
      <c r="C92" s="11"/>
      <c r="D92" s="2">
        <f t="shared" si="68"/>
        <v>0</v>
      </c>
      <c r="E92" s="2"/>
      <c r="F92" s="22">
        <f t="shared" si="60"/>
        <v>0</v>
      </c>
      <c r="G92" s="2"/>
      <c r="H92" s="2">
        <v>13500</v>
      </c>
      <c r="I92" s="2"/>
      <c r="J92" s="22">
        <f t="shared" si="61"/>
        <v>1.1842105263157894</v>
      </c>
      <c r="K92" s="2"/>
      <c r="L92" s="2">
        <f t="shared" si="62"/>
        <v>-13500</v>
      </c>
      <c r="M92" s="2"/>
      <c r="N92" s="22">
        <f t="shared" si="63"/>
        <v>-1</v>
      </c>
      <c r="O92" s="11"/>
      <c r="P92" s="2">
        <f t="shared" si="69"/>
        <v>0</v>
      </c>
      <c r="Q92" s="2"/>
      <c r="R92" s="22">
        <f t="shared" si="64"/>
        <v>0</v>
      </c>
      <c r="S92" s="2"/>
      <c r="T92" s="2">
        <v>13500</v>
      </c>
      <c r="U92" s="2"/>
      <c r="V92" s="22">
        <f t="shared" si="65"/>
        <v>1.1842105263157894</v>
      </c>
      <c r="W92" s="2"/>
      <c r="X92" s="2">
        <f t="shared" si="66"/>
        <v>-13500</v>
      </c>
      <c r="Y92" s="2"/>
      <c r="Z92" s="22">
        <f t="shared" si="67"/>
        <v>-1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6" t="s">
        <v>3</v>
      </c>
      <c r="C94" s="26"/>
      <c r="D94" s="21">
        <f>+D35-D37+D87</f>
        <v>-13280.02</v>
      </c>
      <c r="E94" s="13"/>
      <c r="F94" s="19">
        <f>IF(D$12=0,0,D94/D$12)</f>
        <v>-1.4906146418994535</v>
      </c>
      <c r="G94" s="13"/>
      <c r="H94" s="21">
        <f>+H35-H37+H87</f>
        <v>-16023.652637963554</v>
      </c>
      <c r="I94" s="13"/>
      <c r="J94" s="19">
        <f>IF(H$12=0,0,H94/H$12)</f>
        <v>-1.4055835647336452</v>
      </c>
      <c r="K94" s="15"/>
      <c r="L94" s="21">
        <f>+D94-H94</f>
        <v>2743.6326379635539</v>
      </c>
      <c r="M94" s="15"/>
      <c r="N94" s="19">
        <f>IF(H94=0,0,L94/H94)</f>
        <v>-0.17122392128392033</v>
      </c>
      <c r="O94" s="25"/>
      <c r="P94" s="21">
        <f>+P35-P37+P87</f>
        <v>-13280.02</v>
      </c>
      <c r="Q94" s="13"/>
      <c r="R94" s="19">
        <f>IF(P$12=0,0,P94/P$12)</f>
        <v>-1.4906146418994535</v>
      </c>
      <c r="S94" s="13"/>
      <c r="T94" s="21">
        <f>+T35-T37+T87</f>
        <v>-16023.652637963554</v>
      </c>
      <c r="U94" s="13"/>
      <c r="V94" s="19">
        <f>IF(T$12=0,0,T94/T$12)</f>
        <v>-1.4055835647336452</v>
      </c>
      <c r="W94" s="15"/>
      <c r="X94" s="21">
        <f>+P94-T94</f>
        <v>2743.6326379635539</v>
      </c>
      <c r="Y94" s="15"/>
      <c r="Z94" s="19">
        <f>IF(T94=0,0,X94/T94)</f>
        <v>-0.17122392128392033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2"/>
      <c r="B96" s="10" t="s">
        <v>14</v>
      </c>
      <c r="C96" s="10"/>
      <c r="D96" s="4">
        <v>1852.47</v>
      </c>
      <c r="E96" s="4"/>
      <c r="F96" s="12">
        <f>IF(D$12=0,0,D96/D$12)</f>
        <v>0.20793032733982936</v>
      </c>
      <c r="G96" s="4"/>
      <c r="H96" s="4">
        <v>2778</v>
      </c>
      <c r="I96" s="4"/>
      <c r="J96" s="12">
        <f>IF(H$12=0,0,H96/H$12)</f>
        <v>0.24368421052631578</v>
      </c>
      <c r="K96" s="4"/>
      <c r="L96" s="4">
        <f>+D96-H96</f>
        <v>-925.53</v>
      </c>
      <c r="M96" s="4"/>
      <c r="N96" s="12">
        <f>IF(H96=0,0,L96/H96)</f>
        <v>-0.33316414686825052</v>
      </c>
      <c r="O96" s="10"/>
      <c r="P96" s="4">
        <v>1852.47</v>
      </c>
      <c r="Q96" s="4"/>
      <c r="R96" s="12">
        <f>IF(P$12=0,0,P96/P$12)</f>
        <v>0.20793032733982936</v>
      </c>
      <c r="S96" s="4"/>
      <c r="T96" s="4">
        <v>2778</v>
      </c>
      <c r="U96" s="4"/>
      <c r="V96" s="12">
        <f>IF(T$12=0,0,T96/T$12)</f>
        <v>0.24368421052631578</v>
      </c>
      <c r="W96" s="4"/>
      <c r="X96" s="4">
        <f>+P96-T96</f>
        <v>-925.53</v>
      </c>
      <c r="Y96" s="4"/>
      <c r="Z96" s="12">
        <f>IF(T96=0,0,X96/T96)</f>
        <v>-0.33316414686825052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6" t="s">
        <v>4</v>
      </c>
      <c r="C98" s="26"/>
      <c r="D98" s="32">
        <f>+D94-D96</f>
        <v>-15132.49</v>
      </c>
      <c r="E98" s="13"/>
      <c r="F98" s="31">
        <f>IF(D$12=0,0,D98/D$12)</f>
        <v>-1.6985449692392829</v>
      </c>
      <c r="G98" s="13"/>
      <c r="H98" s="32">
        <f>+H94-H96</f>
        <v>-18801.652637963554</v>
      </c>
      <c r="I98" s="13"/>
      <c r="J98" s="31">
        <f>IF(H$12=0,0,H98/H$12)</f>
        <v>-1.6492677752599609</v>
      </c>
      <c r="K98" s="15"/>
      <c r="L98" s="32">
        <f>D98-H98</f>
        <v>3669.1626379635545</v>
      </c>
      <c r="M98" s="15"/>
      <c r="N98" s="31">
        <f>IF(H98=0,0,L98/H98)</f>
        <v>-0.19515107041999735</v>
      </c>
      <c r="O98" s="25"/>
      <c r="P98" s="32">
        <f>+P94-P96</f>
        <v>-15132.49</v>
      </c>
      <c r="Q98" s="13"/>
      <c r="R98" s="31">
        <f>IF(P$12=0,0,P98/P$12)</f>
        <v>-1.6985449692392829</v>
      </c>
      <c r="S98" s="13"/>
      <c r="T98" s="32">
        <f>+T94-T96</f>
        <v>-18801.652637963554</v>
      </c>
      <c r="U98" s="13"/>
      <c r="V98" s="31">
        <f>IF(T$12=0,0,T98/T$12)</f>
        <v>-1.6492677752599609</v>
      </c>
      <c r="W98" s="15"/>
      <c r="X98" s="32">
        <f>P98-T98</f>
        <v>3669.1626379635545</v>
      </c>
      <c r="Y98" s="15"/>
      <c r="Z98" s="31">
        <f>IF(T98=0,0,X98/T98)</f>
        <v>-0.19515107041999735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6" t="s">
        <v>5</v>
      </c>
      <c r="C101" s="26"/>
      <c r="D101" s="33">
        <f>SUM(D98:D100)</f>
        <v>-15132.49</v>
      </c>
      <c r="E101" s="13"/>
      <c r="F101" s="34">
        <f>IF(D$12=0,0,D101/D$12)</f>
        <v>-1.6985449692392829</v>
      </c>
      <c r="G101" s="13"/>
      <c r="H101" s="33">
        <f>SUM(H98:H100)</f>
        <v>-18801.652637963554</v>
      </c>
      <c r="I101" s="13"/>
      <c r="J101" s="34">
        <f>IF(H$12=0,0,H101/H$12)</f>
        <v>-1.6492677752599609</v>
      </c>
      <c r="K101" s="15"/>
      <c r="L101" s="33">
        <f>+D101-H101</f>
        <v>3669.1626379635545</v>
      </c>
      <c r="M101" s="15"/>
      <c r="N101" s="34">
        <f>IF(H101=0,0,L101/H101)</f>
        <v>-0.19515107041999735</v>
      </c>
      <c r="O101" s="25"/>
      <c r="P101" s="33">
        <f>SUM(P98:P100)</f>
        <v>-15132.49</v>
      </c>
      <c r="Q101" s="13"/>
      <c r="R101" s="34">
        <f>IF(P$12=0,0,P101/P$12)</f>
        <v>-1.6985449692392829</v>
      </c>
      <c r="S101" s="13"/>
      <c r="T101" s="33">
        <f>SUM(T98:T100)</f>
        <v>-18801.652637963554</v>
      </c>
      <c r="U101" s="13"/>
      <c r="V101" s="34">
        <f>IF(T$12=0,0,T101/T$12)</f>
        <v>-1.6492677752599609</v>
      </c>
      <c r="W101" s="15"/>
      <c r="X101" s="33">
        <f>+P101-T101</f>
        <v>3669.1626379635545</v>
      </c>
      <c r="Y101" s="15"/>
      <c r="Z101" s="34">
        <f>IF(T101=0,0,X101/T101)</f>
        <v>-0.19515107041999735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61">
        <v>43726.678255671293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6" t="s">
        <v>314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3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","316", " - ", "Campus Copy Center")</f>
        <v>Department 316 - Campus Copy Center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6754.7699999999995</v>
      </c>
      <c r="E12" s="4"/>
      <c r="F12" s="12"/>
      <c r="G12" s="4"/>
      <c r="H12" s="4">
        <f>SUM(OSRRefH13x_0)</f>
        <v>11400</v>
      </c>
      <c r="I12" s="4"/>
      <c r="J12" s="12"/>
      <c r="K12" s="4"/>
      <c r="L12" s="4">
        <f t="shared" ref="L12:L24" si="0">+D12-H12</f>
        <v>-4645.2300000000005</v>
      </c>
      <c r="M12" s="4"/>
      <c r="N12" s="12">
        <f t="shared" ref="N12:N24" si="1">IF(H12=0,0,L12/H12)</f>
        <v>-0.40747631578947374</v>
      </c>
      <c r="O12" s="10"/>
      <c r="P12" s="4">
        <f>SUM(OSRRefP13x_0)</f>
        <v>6754.7699999999995</v>
      </c>
      <c r="Q12" s="4"/>
      <c r="R12" s="12"/>
      <c r="S12" s="4"/>
      <c r="T12" s="4">
        <f>SUM(OSRRefT13x_0)</f>
        <v>11400</v>
      </c>
      <c r="U12" s="4"/>
      <c r="V12" s="12"/>
      <c r="W12" s="4"/>
      <c r="X12" s="4">
        <f t="shared" ref="X12:X24" si="2">+P12-T12</f>
        <v>-4645.2300000000005</v>
      </c>
      <c r="Y12" s="4"/>
      <c r="Z12" s="12">
        <f t="shared" ref="Z12:Z24" si="3">IF(T12=0,0,X12/T12)</f>
        <v>-0.40747631578947374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7600</v>
      </c>
      <c r="I13" s="2"/>
      <c r="J13" s="22"/>
      <c r="K13" s="2"/>
      <c r="L13" s="2">
        <f t="shared" si="0"/>
        <v>-7600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7600</v>
      </c>
      <c r="U13" s="2"/>
      <c r="V13" s="22"/>
      <c r="W13" s="2"/>
      <c r="X13" s="2">
        <f t="shared" si="2"/>
        <v>-7600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--463.7</f>
        <v>463.7</v>
      </c>
      <c r="E14" s="2"/>
      <c r="F14" s="22"/>
      <c r="G14" s="2"/>
      <c r="H14" s="2"/>
      <c r="I14" s="2"/>
      <c r="J14" s="22"/>
      <c r="K14" s="2"/>
      <c r="L14" s="2">
        <f t="shared" si="0"/>
        <v>463.7</v>
      </c>
      <c r="M14" s="2"/>
      <c r="N14" s="22">
        <f t="shared" si="1"/>
        <v>0</v>
      </c>
      <c r="O14" s="11"/>
      <c r="P14" s="2">
        <f>--463.7</f>
        <v>463.7</v>
      </c>
      <c r="Q14" s="2"/>
      <c r="R14" s="22"/>
      <c r="S14" s="2"/>
      <c r="T14" s="2"/>
      <c r="U14" s="2"/>
      <c r="V14" s="22"/>
      <c r="W14" s="2"/>
      <c r="X14" s="2">
        <f t="shared" si="2"/>
        <v>463.7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--4059.92</f>
        <v>4059.92</v>
      </c>
      <c r="E15" s="2"/>
      <c r="F15" s="22"/>
      <c r="G15" s="2"/>
      <c r="H15" s="2"/>
      <c r="I15" s="2"/>
      <c r="J15" s="22"/>
      <c r="K15" s="2"/>
      <c r="L15" s="2">
        <f t="shared" si="0"/>
        <v>4059.92</v>
      </c>
      <c r="M15" s="2"/>
      <c r="N15" s="22">
        <f t="shared" si="1"/>
        <v>0</v>
      </c>
      <c r="O15" s="11"/>
      <c r="P15" s="2">
        <f>--4059.92</f>
        <v>4059.92</v>
      </c>
      <c r="Q15" s="2"/>
      <c r="R15" s="22"/>
      <c r="S15" s="2"/>
      <c r="T15" s="2"/>
      <c r="U15" s="2"/>
      <c r="V15" s="22"/>
      <c r="W15" s="2"/>
      <c r="X15" s="2">
        <f t="shared" si="2"/>
        <v>4059.92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--15.55</f>
        <v>15.55</v>
      </c>
      <c r="E16" s="2"/>
      <c r="F16" s="22"/>
      <c r="G16" s="2"/>
      <c r="H16" s="2"/>
      <c r="I16" s="2"/>
      <c r="J16" s="22"/>
      <c r="K16" s="2"/>
      <c r="L16" s="2">
        <f t="shared" si="0"/>
        <v>15.55</v>
      </c>
      <c r="M16" s="2"/>
      <c r="N16" s="22">
        <f t="shared" si="1"/>
        <v>0</v>
      </c>
      <c r="O16" s="11"/>
      <c r="P16" s="2">
        <f>--15.55</f>
        <v>15.55</v>
      </c>
      <c r="Q16" s="2"/>
      <c r="R16" s="22"/>
      <c r="S16" s="2"/>
      <c r="T16" s="2"/>
      <c r="U16" s="2"/>
      <c r="V16" s="22"/>
      <c r="W16" s="2"/>
      <c r="X16" s="2">
        <f t="shared" si="2"/>
        <v>15.55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"4047", " - ", "TAXABLE SALES-MISC")</f>
        <v xml:space="preserve">          4047 - TAXABLE SALES-MISC</v>
      </c>
      <c r="C17" s="11"/>
      <c r="D17" s="2">
        <f>--40</f>
        <v>40</v>
      </c>
      <c r="E17" s="2"/>
      <c r="F17" s="22"/>
      <c r="G17" s="2"/>
      <c r="H17" s="2"/>
      <c r="I17" s="2"/>
      <c r="J17" s="22"/>
      <c r="K17" s="2"/>
      <c r="L17" s="2">
        <f t="shared" si="0"/>
        <v>40</v>
      </c>
      <c r="M17" s="2"/>
      <c r="N17" s="22">
        <f t="shared" si="1"/>
        <v>0</v>
      </c>
      <c r="O17" s="11"/>
      <c r="P17" s="2">
        <f>--40</f>
        <v>40</v>
      </c>
      <c r="Q17" s="2"/>
      <c r="R17" s="22"/>
      <c r="S17" s="2"/>
      <c r="T17" s="2"/>
      <c r="U17" s="2"/>
      <c r="V17" s="22"/>
      <c r="W17" s="2"/>
      <c r="X17" s="2">
        <f t="shared" si="2"/>
        <v>40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>0</f>
        <v>0</v>
      </c>
      <c r="E18" s="2"/>
      <c r="F18" s="22"/>
      <c r="G18" s="2"/>
      <c r="H18" s="2">
        <v>3800</v>
      </c>
      <c r="I18" s="2"/>
      <c r="J18" s="22"/>
      <c r="K18" s="2"/>
      <c r="L18" s="2">
        <f t="shared" si="0"/>
        <v>-3800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3800</v>
      </c>
      <c r="U18" s="2"/>
      <c r="V18" s="22"/>
      <c r="W18" s="2"/>
      <c r="X18" s="2">
        <f t="shared" si="2"/>
        <v>-3800</v>
      </c>
      <c r="Y18" s="2"/>
      <c r="Z18" s="22">
        <f t="shared" si="3"/>
        <v>-1</v>
      </c>
    </row>
    <row r="19" spans="1:26" s="24" customFormat="1" hidden="1" outlineLevel="1" x14ac:dyDescent="0.25">
      <c r="A19" s="51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--7.95</f>
        <v>7.95</v>
      </c>
      <c r="E19" s="2"/>
      <c r="F19" s="22"/>
      <c r="G19" s="2"/>
      <c r="H19" s="2"/>
      <c r="I19" s="2"/>
      <c r="J19" s="22"/>
      <c r="K19" s="2"/>
      <c r="L19" s="2">
        <f t="shared" si="0"/>
        <v>7.95</v>
      </c>
      <c r="M19" s="2"/>
      <c r="N19" s="22">
        <f t="shared" si="1"/>
        <v>0</v>
      </c>
      <c r="O19" s="11"/>
      <c r="P19" s="2">
        <f>--7.95</f>
        <v>7.95</v>
      </c>
      <c r="Q19" s="2"/>
      <c r="R19" s="22"/>
      <c r="S19" s="2"/>
      <c r="T19" s="2"/>
      <c r="U19" s="2"/>
      <c r="V19" s="22"/>
      <c r="W19" s="2"/>
      <c r="X19" s="2">
        <f t="shared" si="2"/>
        <v>7.95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--111</f>
        <v>111</v>
      </c>
      <c r="E20" s="2"/>
      <c r="F20" s="22"/>
      <c r="G20" s="2"/>
      <c r="H20" s="2"/>
      <c r="I20" s="2"/>
      <c r="J20" s="22"/>
      <c r="K20" s="2"/>
      <c r="L20" s="2">
        <f t="shared" si="0"/>
        <v>111</v>
      </c>
      <c r="M20" s="2"/>
      <c r="N20" s="22">
        <f t="shared" si="1"/>
        <v>0</v>
      </c>
      <c r="O20" s="11"/>
      <c r="P20" s="2">
        <f>--111</f>
        <v>111</v>
      </c>
      <c r="Q20" s="2"/>
      <c r="R20" s="22"/>
      <c r="S20" s="2"/>
      <c r="T20" s="2"/>
      <c r="U20" s="2"/>
      <c r="V20" s="22"/>
      <c r="W20" s="2"/>
      <c r="X20" s="2">
        <f t="shared" si="2"/>
        <v>111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--2067.1</f>
        <v>2067.1</v>
      </c>
      <c r="E21" s="2"/>
      <c r="F21" s="22"/>
      <c r="G21" s="2"/>
      <c r="H21" s="2"/>
      <c r="I21" s="2"/>
      <c r="J21" s="22"/>
      <c r="K21" s="2"/>
      <c r="L21" s="2">
        <f t="shared" si="0"/>
        <v>2067.1</v>
      </c>
      <c r="M21" s="2"/>
      <c r="N21" s="22">
        <f t="shared" si="1"/>
        <v>0</v>
      </c>
      <c r="O21" s="11"/>
      <c r="P21" s="2">
        <f>--2067.1</f>
        <v>2067.1</v>
      </c>
      <c r="Q21" s="2"/>
      <c r="R21" s="22"/>
      <c r="S21" s="2"/>
      <c r="T21" s="2"/>
      <c r="U21" s="2"/>
      <c r="V21" s="22"/>
      <c r="W21" s="2"/>
      <c r="X21" s="2">
        <f t="shared" si="2"/>
        <v>2067.1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"4147", " - ", "NON-TAXABLE SALES-MISC")</f>
        <v xml:space="preserve">          4147 - NON-TAXABLE SALES-MISC</v>
      </c>
      <c r="C22" s="11"/>
      <c r="D22" s="2">
        <f>--16.5</f>
        <v>16.5</v>
      </c>
      <c r="E22" s="2"/>
      <c r="F22" s="22"/>
      <c r="G22" s="2"/>
      <c r="H22" s="2"/>
      <c r="I22" s="2"/>
      <c r="J22" s="22"/>
      <c r="K22" s="2"/>
      <c r="L22" s="2">
        <f t="shared" si="0"/>
        <v>16.5</v>
      </c>
      <c r="M22" s="2"/>
      <c r="N22" s="22">
        <f t="shared" si="1"/>
        <v>0</v>
      </c>
      <c r="O22" s="11"/>
      <c r="P22" s="2">
        <f>--16.5</f>
        <v>16.5</v>
      </c>
      <c r="Q22" s="2"/>
      <c r="R22" s="22"/>
      <c r="S22" s="2"/>
      <c r="T22" s="2"/>
      <c r="U22" s="2"/>
      <c r="V22" s="22"/>
      <c r="W22" s="2"/>
      <c r="X22" s="2">
        <f t="shared" si="2"/>
        <v>16.5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-10.75</f>
        <v>-10.75</v>
      </c>
      <c r="E23" s="2"/>
      <c r="F23" s="22"/>
      <c r="G23" s="2"/>
      <c r="H23" s="2"/>
      <c r="I23" s="2"/>
      <c r="J23" s="22"/>
      <c r="K23" s="2"/>
      <c r="L23" s="2">
        <f t="shared" si="0"/>
        <v>-10.75</v>
      </c>
      <c r="M23" s="2"/>
      <c r="N23" s="22">
        <f t="shared" si="1"/>
        <v>0</v>
      </c>
      <c r="O23" s="11"/>
      <c r="P23" s="2">
        <f>-10.75</f>
        <v>-10.75</v>
      </c>
      <c r="Q23" s="2"/>
      <c r="R23" s="22"/>
      <c r="S23" s="2"/>
      <c r="T23" s="2"/>
      <c r="U23" s="2"/>
      <c r="V23" s="22"/>
      <c r="W23" s="2"/>
      <c r="X23" s="2">
        <f t="shared" si="2"/>
        <v>-10.75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>-16.2</f>
        <v>-16.2</v>
      </c>
      <c r="E24" s="2"/>
      <c r="F24" s="22"/>
      <c r="G24" s="2"/>
      <c r="H24" s="2"/>
      <c r="I24" s="2"/>
      <c r="J24" s="22"/>
      <c r="K24" s="2"/>
      <c r="L24" s="2">
        <f t="shared" si="0"/>
        <v>-16.2</v>
      </c>
      <c r="M24" s="2"/>
      <c r="N24" s="22">
        <f t="shared" si="1"/>
        <v>0</v>
      </c>
      <c r="O24" s="11"/>
      <c r="P24" s="2">
        <f>-16.2</f>
        <v>-16.2</v>
      </c>
      <c r="Q24" s="2"/>
      <c r="R24" s="22"/>
      <c r="S24" s="2"/>
      <c r="T24" s="2"/>
      <c r="U24" s="2"/>
      <c r="V24" s="22"/>
      <c r="W24" s="2"/>
      <c r="X24" s="2">
        <f t="shared" si="2"/>
        <v>-16.2</v>
      </c>
      <c r="Y24" s="2"/>
      <c r="Z24" s="22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6</v>
      </c>
      <c r="C28" s="26"/>
      <c r="D28" s="21">
        <f>D12-D26</f>
        <v>6754.7699999999995</v>
      </c>
      <c r="E28" s="13"/>
      <c r="F28" s="19">
        <f>IF(D$12=0,0,D28/D$12)</f>
        <v>1</v>
      </c>
      <c r="G28" s="13"/>
      <c r="H28" s="21">
        <f>H12-H26</f>
        <v>11400</v>
      </c>
      <c r="I28" s="13"/>
      <c r="J28" s="19">
        <f>IF(H$12=0,0,H28/H$12)</f>
        <v>1</v>
      </c>
      <c r="K28" s="15"/>
      <c r="L28" s="21">
        <f>+D28-H28</f>
        <v>-4645.2300000000005</v>
      </c>
      <c r="M28" s="15"/>
      <c r="N28" s="19">
        <f>IF(H28=0,0,L28/H28)</f>
        <v>-0.40747631578947374</v>
      </c>
      <c r="O28" s="25"/>
      <c r="P28" s="21">
        <f>P12-P26</f>
        <v>6754.7699999999995</v>
      </c>
      <c r="Q28" s="13"/>
      <c r="R28" s="19">
        <f>IF(P$12=0,0,P28/P$12)</f>
        <v>1</v>
      </c>
      <c r="S28" s="13"/>
      <c r="T28" s="21">
        <f>T12-T26</f>
        <v>11400</v>
      </c>
      <c r="U28" s="13"/>
      <c r="V28" s="19">
        <f>IF(T$12=0,0,T28/T$12)</f>
        <v>1</v>
      </c>
      <c r="W28" s="15"/>
      <c r="X28" s="21">
        <f>+P28-T28</f>
        <v>-4645.2300000000005</v>
      </c>
      <c r="Y28" s="15"/>
      <c r="Z28" s="19">
        <f>IF(T28=0,0,X28/T28)</f>
        <v>-0.40747631578947374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9</v>
      </c>
      <c r="C30" s="10"/>
      <c r="D30" s="20">
        <f>SUM(OSRRefD22x_0)</f>
        <v>33916.94</v>
      </c>
      <c r="E30" s="20"/>
      <c r="F30" s="30">
        <f t="shared" ref="F30:F40" si="4">IF(D$12=0,0,D30/D$12)</f>
        <v>5.0211835488106926</v>
      </c>
      <c r="G30" s="20"/>
      <c r="H30" s="20">
        <f>SUM(OSRRefH22x_0)</f>
        <v>49757.894397819327</v>
      </c>
      <c r="I30" s="20"/>
      <c r="J30" s="30">
        <f t="shared" ref="J30:J40" si="5">IF(H$12=0,0,H30/H$12)</f>
        <v>4.3647275787560815</v>
      </c>
      <c r="K30" s="4"/>
      <c r="L30" s="20">
        <f t="shared" ref="L30:L40" si="6">+D30-H30</f>
        <v>-15840.954397819325</v>
      </c>
      <c r="M30" s="4"/>
      <c r="N30" s="30">
        <f t="shared" ref="N30:N40" si="7">IF(H30=0,0,L30/H30)</f>
        <v>-0.31836062577667207</v>
      </c>
      <c r="O30" s="10"/>
      <c r="P30" s="20">
        <f>SUM(OSRRefP22x_0)</f>
        <v>33916.94</v>
      </c>
      <c r="Q30" s="20"/>
      <c r="R30" s="30">
        <f t="shared" ref="R30:R40" si="8">IF(P$12=0,0,P30/P$12)</f>
        <v>5.0211835488106926</v>
      </c>
      <c r="S30" s="20"/>
      <c r="T30" s="20">
        <f>SUM(OSRRefT22x_0)</f>
        <v>49757.894397819327</v>
      </c>
      <c r="U30" s="20"/>
      <c r="V30" s="30">
        <f t="shared" ref="V30:V40" si="9">IF(T$12=0,0,T30/T$12)</f>
        <v>4.3647275787560815</v>
      </c>
      <c r="W30" s="4"/>
      <c r="X30" s="20">
        <f t="shared" ref="X30:X40" si="10">+P30-T30</f>
        <v>-15840.954397819325</v>
      </c>
      <c r="Y30" s="4"/>
      <c r="Z30" s="30">
        <f t="shared" ref="Z30:Z40" si="11">IF(T30=0,0,X30/T30)</f>
        <v>-0.31836062577667207</v>
      </c>
    </row>
    <row r="31" spans="1:26" s="27" customFormat="1" outlineLevel="1" collapsed="1" x14ac:dyDescent="0.25">
      <c r="A31" s="28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7494.78</v>
      </c>
      <c r="E31" s="1"/>
      <c r="F31" s="5">
        <f t="shared" si="4"/>
        <v>1.1095536931679391</v>
      </c>
      <c r="G31" s="1"/>
      <c r="H31" s="1">
        <f>SUM(OSRRefH22_0x_0)</f>
        <v>6460.2084576962425</v>
      </c>
      <c r="I31" s="1"/>
      <c r="J31" s="5">
        <f t="shared" si="5"/>
        <v>0.5666849524294949</v>
      </c>
      <c r="K31" s="1"/>
      <c r="L31" s="1">
        <f t="shared" si="6"/>
        <v>1034.5715423037573</v>
      </c>
      <c r="M31" s="1"/>
      <c r="N31" s="5">
        <f t="shared" si="7"/>
        <v>0.16014522582026602</v>
      </c>
      <c r="O31" s="14"/>
      <c r="P31" s="1">
        <f>SUM(OSRRefP22_0x_0)</f>
        <v>7494.78</v>
      </c>
      <c r="Q31" s="1"/>
      <c r="R31" s="5">
        <f t="shared" si="8"/>
        <v>1.1095536931679391</v>
      </c>
      <c r="S31" s="1"/>
      <c r="T31" s="1">
        <f>SUM(OSRRefT22_0x_0)</f>
        <v>6460.2084576962425</v>
      </c>
      <c r="U31" s="1"/>
      <c r="V31" s="5">
        <f t="shared" si="9"/>
        <v>0.5666849524294949</v>
      </c>
      <c r="W31" s="1"/>
      <c r="X31" s="1">
        <f t="shared" si="10"/>
        <v>1034.5715423037573</v>
      </c>
      <c r="Y31" s="1"/>
      <c r="Z31" s="5">
        <f t="shared" si="11"/>
        <v>0.16014522582026602</v>
      </c>
    </row>
    <row r="32" spans="1:26" s="24" customFormat="1" hidden="1" outlineLevel="2" x14ac:dyDescent="0.25">
      <c r="A32" s="29"/>
      <c r="B32" s="11" t="str">
        <f>CONCATENATE("          ", "6111", " - ", "F.I.C.A.")</f>
        <v xml:space="preserve">          6111 - F.I.C.A.</v>
      </c>
      <c r="C32" s="11"/>
      <c r="D32" s="7">
        <v>1053.3599999999999</v>
      </c>
      <c r="E32" s="2"/>
      <c r="F32" s="6">
        <f t="shared" si="4"/>
        <v>0.15594313351897993</v>
      </c>
      <c r="G32" s="2"/>
      <c r="H32" s="7">
        <v>1546.3714214429999</v>
      </c>
      <c r="I32" s="2"/>
      <c r="J32" s="6">
        <f t="shared" si="5"/>
        <v>0.13564661591605262</v>
      </c>
      <c r="K32" s="2"/>
      <c r="L32" s="7">
        <f t="shared" si="6"/>
        <v>-493.01142144300002</v>
      </c>
      <c r="M32" s="2"/>
      <c r="N32" s="6">
        <f t="shared" si="7"/>
        <v>-0.3188182441854398</v>
      </c>
      <c r="O32" s="11"/>
      <c r="P32" s="7">
        <v>1053.3599999999999</v>
      </c>
      <c r="Q32" s="2"/>
      <c r="R32" s="6">
        <f t="shared" si="8"/>
        <v>0.15594313351897993</v>
      </c>
      <c r="S32" s="2"/>
      <c r="T32" s="7">
        <v>1546.3714214429999</v>
      </c>
      <c r="U32" s="2"/>
      <c r="V32" s="6">
        <f t="shared" si="9"/>
        <v>0.13564661591605262</v>
      </c>
      <c r="W32" s="2"/>
      <c r="X32" s="7">
        <f t="shared" si="10"/>
        <v>-493.01142144300002</v>
      </c>
      <c r="Y32" s="2"/>
      <c r="Z32" s="6">
        <f t="shared" si="11"/>
        <v>-0.3188182441854398</v>
      </c>
    </row>
    <row r="33" spans="1:26" s="24" customFormat="1" hidden="1" outlineLevel="2" x14ac:dyDescent="0.25">
      <c r="A33" s="29"/>
      <c r="B33" s="11" t="str">
        <f>CONCATENATE("          ", "6112", " - ", "COMPENSATION INSURANCE")</f>
        <v xml:space="preserve">          6112 - COMPENSATION INSURANCE</v>
      </c>
      <c r="C33" s="11"/>
      <c r="D33" s="7">
        <v>160.22999999999999</v>
      </c>
      <c r="E33" s="2"/>
      <c r="F33" s="6">
        <f t="shared" si="4"/>
        <v>2.3721014927229202E-2</v>
      </c>
      <c r="G33" s="2"/>
      <c r="H33" s="7">
        <v>251.36895865384602</v>
      </c>
      <c r="I33" s="2"/>
      <c r="J33" s="6">
        <f t="shared" si="5"/>
        <v>2.2049908653846144E-2</v>
      </c>
      <c r="K33" s="2"/>
      <c r="L33" s="7">
        <f t="shared" si="6"/>
        <v>-91.138958653846032</v>
      </c>
      <c r="M33" s="2"/>
      <c r="N33" s="6">
        <f t="shared" si="7"/>
        <v>-0.36257045874686239</v>
      </c>
      <c r="O33" s="11"/>
      <c r="P33" s="7">
        <v>160.22999999999999</v>
      </c>
      <c r="Q33" s="2"/>
      <c r="R33" s="6">
        <f t="shared" si="8"/>
        <v>2.3721014927229202E-2</v>
      </c>
      <c r="S33" s="2"/>
      <c r="T33" s="7">
        <v>251.36895865384602</v>
      </c>
      <c r="U33" s="2"/>
      <c r="V33" s="6">
        <f t="shared" si="9"/>
        <v>2.2049908653846144E-2</v>
      </c>
      <c r="W33" s="2"/>
      <c r="X33" s="7">
        <f t="shared" si="10"/>
        <v>-91.138958653846032</v>
      </c>
      <c r="Y33" s="2"/>
      <c r="Z33" s="6">
        <f t="shared" si="11"/>
        <v>-0.36257045874686239</v>
      </c>
    </row>
    <row r="34" spans="1:26" s="24" customFormat="1" hidden="1" outlineLevel="2" x14ac:dyDescent="0.25">
      <c r="A34" s="29"/>
      <c r="B34" s="11" t="str">
        <f>CONCATENATE("          ", "6113", " - ", "GROUP INSURANCE")</f>
        <v xml:space="preserve">          6113 - GROUP INSURANCE</v>
      </c>
      <c r="C34" s="11"/>
      <c r="D34" s="7">
        <v>2589.16</v>
      </c>
      <c r="E34" s="2"/>
      <c r="F34" s="6">
        <f t="shared" si="4"/>
        <v>0.38330838799840705</v>
      </c>
      <c r="G34" s="2"/>
      <c r="H34" s="7">
        <v>2044</v>
      </c>
      <c r="I34" s="2"/>
      <c r="J34" s="6">
        <f t="shared" si="5"/>
        <v>0.1792982456140351</v>
      </c>
      <c r="K34" s="2"/>
      <c r="L34" s="7">
        <f t="shared" si="6"/>
        <v>545.15999999999985</v>
      </c>
      <c r="M34" s="2"/>
      <c r="N34" s="6">
        <f t="shared" si="7"/>
        <v>0.2667123287671232</v>
      </c>
      <c r="O34" s="11"/>
      <c r="P34" s="7">
        <v>2589.16</v>
      </c>
      <c r="Q34" s="2"/>
      <c r="R34" s="6">
        <f t="shared" si="8"/>
        <v>0.38330838799840705</v>
      </c>
      <c r="S34" s="2"/>
      <c r="T34" s="7">
        <v>2044</v>
      </c>
      <c r="U34" s="2"/>
      <c r="V34" s="6">
        <f t="shared" si="9"/>
        <v>0.1792982456140351</v>
      </c>
      <c r="W34" s="2"/>
      <c r="X34" s="7">
        <f t="shared" si="10"/>
        <v>545.15999999999985</v>
      </c>
      <c r="Y34" s="2"/>
      <c r="Z34" s="6">
        <f t="shared" si="11"/>
        <v>0.2667123287671232</v>
      </c>
    </row>
    <row r="35" spans="1:26" s="24" customFormat="1" hidden="1" outlineLevel="2" x14ac:dyDescent="0.25">
      <c r="A35" s="29"/>
      <c r="B35" s="11" t="str">
        <f>CONCATENATE("          ", "6114", " - ", "STATE UNEMPLOYMENT INSURANCE")</f>
        <v xml:space="preserve">          6114 - STATE UNEMPLOYMENT INSURANCE</v>
      </c>
      <c r="C35" s="11"/>
      <c r="D35" s="7">
        <v>36.28</v>
      </c>
      <c r="E35" s="2"/>
      <c r="F35" s="6">
        <f t="shared" si="4"/>
        <v>5.3710192945133593E-3</v>
      </c>
      <c r="G35" s="2"/>
      <c r="H35" s="7">
        <v>52.535812044319997</v>
      </c>
      <c r="I35" s="2"/>
      <c r="J35" s="6">
        <f t="shared" si="5"/>
        <v>4.6084045652912279E-3</v>
      </c>
      <c r="K35" s="2"/>
      <c r="L35" s="7">
        <f t="shared" si="6"/>
        <v>-16.255812044319995</v>
      </c>
      <c r="M35" s="2"/>
      <c r="N35" s="6">
        <f t="shared" si="7"/>
        <v>-0.30942344682150053</v>
      </c>
      <c r="O35" s="11"/>
      <c r="P35" s="7">
        <v>36.28</v>
      </c>
      <c r="Q35" s="2"/>
      <c r="R35" s="6">
        <f t="shared" si="8"/>
        <v>5.3710192945133593E-3</v>
      </c>
      <c r="S35" s="2"/>
      <c r="T35" s="7">
        <v>52.535812044319997</v>
      </c>
      <c r="U35" s="2"/>
      <c r="V35" s="6">
        <f t="shared" si="9"/>
        <v>4.6084045652912279E-3</v>
      </c>
      <c r="W35" s="2"/>
      <c r="X35" s="7">
        <f t="shared" si="10"/>
        <v>-16.255812044319995</v>
      </c>
      <c r="Y35" s="2"/>
      <c r="Z35" s="6">
        <f t="shared" si="11"/>
        <v>-0.30942344682150053</v>
      </c>
    </row>
    <row r="36" spans="1:26" s="24" customFormat="1" hidden="1" outlineLevel="2" x14ac:dyDescent="0.25">
      <c r="A36" s="29"/>
      <c r="B36" s="11" t="str">
        <f>CONCATENATE("          ", "6115", " - ", "P.E.R.S.")</f>
        <v xml:space="preserve">          6115 - P.E.R.S.</v>
      </c>
      <c r="C36" s="11"/>
      <c r="D36" s="7">
        <v>1089.6300000000001</v>
      </c>
      <c r="E36" s="2"/>
      <c r="F36" s="6">
        <f t="shared" si="4"/>
        <v>0.16131267237818611</v>
      </c>
      <c r="G36" s="2"/>
      <c r="H36" s="7">
        <v>1137.77528653846</v>
      </c>
      <c r="I36" s="2"/>
      <c r="J36" s="6">
        <f t="shared" si="5"/>
        <v>9.980484969635614E-2</v>
      </c>
      <c r="K36" s="2"/>
      <c r="L36" s="7">
        <f t="shared" si="6"/>
        <v>-48.145286538459914</v>
      </c>
      <c r="M36" s="2"/>
      <c r="N36" s="6">
        <f t="shared" si="7"/>
        <v>-4.2315285898796386E-2</v>
      </c>
      <c r="O36" s="11"/>
      <c r="P36" s="7">
        <v>1089.6300000000001</v>
      </c>
      <c r="Q36" s="2"/>
      <c r="R36" s="6">
        <f t="shared" si="8"/>
        <v>0.16131267237818611</v>
      </c>
      <c r="S36" s="2"/>
      <c r="T36" s="7">
        <v>1137.77528653846</v>
      </c>
      <c r="U36" s="2"/>
      <c r="V36" s="6">
        <f t="shared" si="9"/>
        <v>9.980484969635614E-2</v>
      </c>
      <c r="W36" s="2"/>
      <c r="X36" s="7">
        <f t="shared" si="10"/>
        <v>-48.145286538459914</v>
      </c>
      <c r="Y36" s="2"/>
      <c r="Z36" s="6">
        <f t="shared" si="11"/>
        <v>-4.2315285898796386E-2</v>
      </c>
    </row>
    <row r="37" spans="1:26" s="24" customFormat="1" hidden="1" outlineLevel="2" x14ac:dyDescent="0.25">
      <c r="A37" s="29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4"/>
        <v>0</v>
      </c>
      <c r="G37" s="2"/>
      <c r="H37" s="7">
        <v>0</v>
      </c>
      <c r="I37" s="2"/>
      <c r="J37" s="6">
        <f t="shared" si="5"/>
        <v>0</v>
      </c>
      <c r="K37" s="2"/>
      <c r="L37" s="7">
        <f t="shared" si="6"/>
        <v>0</v>
      </c>
      <c r="M37" s="2"/>
      <c r="N37" s="6">
        <f t="shared" si="7"/>
        <v>0</v>
      </c>
      <c r="O37" s="11"/>
      <c r="P37" s="7"/>
      <c r="Q37" s="2"/>
      <c r="R37" s="6">
        <f t="shared" si="8"/>
        <v>0</v>
      </c>
      <c r="S37" s="2"/>
      <c r="T37" s="7">
        <v>0</v>
      </c>
      <c r="U37" s="2"/>
      <c r="V37" s="6">
        <f t="shared" si="9"/>
        <v>0</v>
      </c>
      <c r="W37" s="2"/>
      <c r="X37" s="7">
        <f t="shared" si="10"/>
        <v>0</v>
      </c>
      <c r="Y37" s="2"/>
      <c r="Z37" s="6">
        <f t="shared" si="11"/>
        <v>0</v>
      </c>
    </row>
    <row r="38" spans="1:26" s="24" customFormat="1" hidden="1" outlineLevel="2" x14ac:dyDescent="0.25">
      <c r="A38" s="29"/>
      <c r="B38" s="11" t="str">
        <f>CONCATENATE("          ", "6118", " - ", "VACATION")</f>
        <v xml:space="preserve">          6118 - VACATION</v>
      </c>
      <c r="C38" s="11"/>
      <c r="D38" s="7">
        <v>1476.96</v>
      </c>
      <c r="E38" s="2"/>
      <c r="F38" s="6">
        <f t="shared" si="4"/>
        <v>0.21865437313187572</v>
      </c>
      <c r="G38" s="2"/>
      <c r="H38" s="7">
        <v>661.49725961538502</v>
      </c>
      <c r="I38" s="2"/>
      <c r="J38" s="6">
        <f t="shared" si="5"/>
        <v>5.8026075404858338E-2</v>
      </c>
      <c r="K38" s="2"/>
      <c r="L38" s="7">
        <f t="shared" si="6"/>
        <v>815.46274038461502</v>
      </c>
      <c r="M38" s="2"/>
      <c r="N38" s="6">
        <f t="shared" si="7"/>
        <v>1.2327530137596492</v>
      </c>
      <c r="O38" s="11"/>
      <c r="P38" s="7">
        <v>1476.96</v>
      </c>
      <c r="Q38" s="2"/>
      <c r="R38" s="6">
        <f t="shared" si="8"/>
        <v>0.21865437313187572</v>
      </c>
      <c r="S38" s="2"/>
      <c r="T38" s="7">
        <v>661.49725961538502</v>
      </c>
      <c r="U38" s="2"/>
      <c r="V38" s="6">
        <f t="shared" si="9"/>
        <v>5.8026075404858338E-2</v>
      </c>
      <c r="W38" s="2"/>
      <c r="X38" s="7">
        <f t="shared" si="10"/>
        <v>815.46274038461502</v>
      </c>
      <c r="Y38" s="2"/>
      <c r="Z38" s="6">
        <f t="shared" si="11"/>
        <v>1.2327530137596492</v>
      </c>
    </row>
    <row r="39" spans="1:26" s="24" customFormat="1" hidden="1" outlineLevel="2" x14ac:dyDescent="0.25">
      <c r="A39" s="29"/>
      <c r="B39" s="11" t="str">
        <f>CONCATENATE("          ", "6119", " - ", "SICK LEAVE")</f>
        <v xml:space="preserve">          6119 - SICK LEAVE</v>
      </c>
      <c r="C39" s="11"/>
      <c r="D39" s="7">
        <v>846.78</v>
      </c>
      <c r="E39" s="2"/>
      <c r="F39" s="6">
        <f t="shared" si="4"/>
        <v>0.12536030094288925</v>
      </c>
      <c r="G39" s="2"/>
      <c r="H39" s="7">
        <v>466.65971940123097</v>
      </c>
      <c r="I39" s="2"/>
      <c r="J39" s="6">
        <f t="shared" si="5"/>
        <v>4.0935063105371136E-2</v>
      </c>
      <c r="K39" s="2"/>
      <c r="L39" s="7">
        <f t="shared" si="6"/>
        <v>380.120280598769</v>
      </c>
      <c r="M39" s="2"/>
      <c r="N39" s="6">
        <f t="shared" si="7"/>
        <v>0.81455558471277456</v>
      </c>
      <c r="O39" s="11"/>
      <c r="P39" s="7">
        <v>846.78</v>
      </c>
      <c r="Q39" s="2"/>
      <c r="R39" s="6">
        <f t="shared" si="8"/>
        <v>0.12536030094288925</v>
      </c>
      <c r="S39" s="2"/>
      <c r="T39" s="7">
        <v>466.65971940123097</v>
      </c>
      <c r="U39" s="2"/>
      <c r="V39" s="6">
        <f t="shared" si="9"/>
        <v>4.0935063105371136E-2</v>
      </c>
      <c r="W39" s="2"/>
      <c r="X39" s="7">
        <f t="shared" si="10"/>
        <v>380.120280598769</v>
      </c>
      <c r="Y39" s="2"/>
      <c r="Z39" s="6">
        <f t="shared" si="11"/>
        <v>0.81455558471277456</v>
      </c>
    </row>
    <row r="40" spans="1:26" s="24" customFormat="1" hidden="1" outlineLevel="2" x14ac:dyDescent="0.25">
      <c r="A40" s="29"/>
      <c r="B40" s="11" t="str">
        <f>CONCATENATE("          ", "6156", " - ", "EMPLOYEE MEALS")</f>
        <v xml:space="preserve">          6156 - EMPLOYEE MEALS</v>
      </c>
      <c r="C40" s="11"/>
      <c r="D40" s="7">
        <v>242.38</v>
      </c>
      <c r="E40" s="2"/>
      <c r="F40" s="6">
        <f t="shared" si="4"/>
        <v>3.5882790975858544E-2</v>
      </c>
      <c r="G40" s="2"/>
      <c r="H40" s="7">
        <v>300</v>
      </c>
      <c r="I40" s="2"/>
      <c r="J40" s="6">
        <f t="shared" si="5"/>
        <v>2.6315789473684209E-2</v>
      </c>
      <c r="K40" s="2"/>
      <c r="L40" s="7">
        <f t="shared" si="6"/>
        <v>-57.620000000000005</v>
      </c>
      <c r="M40" s="2"/>
      <c r="N40" s="6">
        <f t="shared" si="7"/>
        <v>-0.19206666666666669</v>
      </c>
      <c r="O40" s="11"/>
      <c r="P40" s="7">
        <v>242.38</v>
      </c>
      <c r="Q40" s="2"/>
      <c r="R40" s="6">
        <f t="shared" si="8"/>
        <v>3.5882790975858544E-2</v>
      </c>
      <c r="S40" s="2"/>
      <c r="T40" s="7">
        <v>300</v>
      </c>
      <c r="U40" s="2"/>
      <c r="V40" s="6">
        <f t="shared" si="9"/>
        <v>2.6315789473684209E-2</v>
      </c>
      <c r="W40" s="2"/>
      <c r="X40" s="7">
        <f t="shared" si="10"/>
        <v>-57.620000000000005</v>
      </c>
      <c r="Y40" s="2"/>
      <c r="Z40" s="6">
        <f t="shared" si="11"/>
        <v>-0.19206666666666669</v>
      </c>
    </row>
    <row r="41" spans="1:26" s="27" customFormat="1" outlineLevel="1" collapsed="1" x14ac:dyDescent="0.25">
      <c r="A41" s="28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16606.870000000003</v>
      </c>
      <c r="E41" s="1"/>
      <c r="F41" s="5">
        <f t="shared" ref="F41:F51" si="12">IF(D$12=0,0,D41/D$12)</f>
        <v>2.4585396690042747</v>
      </c>
      <c r="G41" s="1"/>
      <c r="H41" s="1">
        <f>SUM(OSRRefH22_1x_0)</f>
        <v>19147.685940123079</v>
      </c>
      <c r="I41" s="1"/>
      <c r="J41" s="5">
        <f t="shared" ref="J41:J51" si="13">IF(H$12=0,0,H41/H$12)</f>
        <v>1.6796215736950069</v>
      </c>
      <c r="K41" s="1"/>
      <c r="L41" s="1">
        <f t="shared" ref="L41:L51" si="14">+D41-H41</f>
        <v>-2540.8159401230769</v>
      </c>
      <c r="M41" s="1"/>
      <c r="N41" s="5">
        <f t="shared" ref="N41:N51" si="15">IF(H41=0,0,L41/H41)</f>
        <v>-0.13269571832692931</v>
      </c>
      <c r="O41" s="14"/>
      <c r="P41" s="1">
        <f>SUM(OSRRefP22_1x_0)</f>
        <v>16606.870000000003</v>
      </c>
      <c r="Q41" s="1"/>
      <c r="R41" s="5">
        <f t="shared" ref="R41:R51" si="16">IF(P$12=0,0,P41/P$12)</f>
        <v>2.4585396690042747</v>
      </c>
      <c r="S41" s="1"/>
      <c r="T41" s="1">
        <f>SUM(OSRRefT22_1x_0)</f>
        <v>19147.685940123079</v>
      </c>
      <c r="U41" s="1"/>
      <c r="V41" s="5">
        <f t="shared" ref="V41:V51" si="17">IF(T$12=0,0,T41/T$12)</f>
        <v>1.6796215736950069</v>
      </c>
      <c r="W41" s="1"/>
      <c r="X41" s="1">
        <f t="shared" ref="X41:X51" si="18">+P41-T41</f>
        <v>-2540.8159401230769</v>
      </c>
      <c r="Y41" s="1"/>
      <c r="Z41" s="5">
        <f t="shared" ref="Z41:Z51" si="19">IF(T41=0,0,X41/T41)</f>
        <v>-0.13269571832692931</v>
      </c>
    </row>
    <row r="42" spans="1:26" s="24" customFormat="1" hidden="1" outlineLevel="2" x14ac:dyDescent="0.25">
      <c r="A42" s="29"/>
      <c r="B42" s="11" t="str">
        <f>CONCATENATE("          ", "6001", " - ", "ADMINISTRATIVE SALARIES")</f>
        <v xml:space="preserve">          6001 - ADMINISTRATIVE SALARIES</v>
      </c>
      <c r="C42" s="11"/>
      <c r="D42" s="7"/>
      <c r="E42" s="2"/>
      <c r="F42" s="6">
        <f t="shared" si="12"/>
        <v>0</v>
      </c>
      <c r="G42" s="2"/>
      <c r="H42" s="7">
        <v>7488.179000000001</v>
      </c>
      <c r="I42" s="2"/>
      <c r="J42" s="6">
        <f t="shared" si="13"/>
        <v>0.65685780701754393</v>
      </c>
      <c r="K42" s="2"/>
      <c r="L42" s="7">
        <f t="shared" si="14"/>
        <v>-7488.179000000001</v>
      </c>
      <c r="M42" s="2"/>
      <c r="N42" s="6">
        <f t="shared" si="15"/>
        <v>-1</v>
      </c>
      <c r="O42" s="11"/>
      <c r="P42" s="7"/>
      <c r="Q42" s="2"/>
      <c r="R42" s="6">
        <f t="shared" si="16"/>
        <v>0</v>
      </c>
      <c r="S42" s="2"/>
      <c r="T42" s="7">
        <v>7488.179000000001</v>
      </c>
      <c r="U42" s="2"/>
      <c r="V42" s="6">
        <f t="shared" si="17"/>
        <v>0.65685780701754393</v>
      </c>
      <c r="W42" s="2"/>
      <c r="X42" s="7">
        <f t="shared" si="18"/>
        <v>-7488.179000000001</v>
      </c>
      <c r="Y42" s="2"/>
      <c r="Z42" s="6">
        <f t="shared" si="19"/>
        <v>-1</v>
      </c>
    </row>
    <row r="43" spans="1:26" s="24" customFormat="1" hidden="1" outlineLevel="2" x14ac:dyDescent="0.25">
      <c r="A43" s="29"/>
      <c r="B43" s="11" t="str">
        <f>CONCATENATE("          ", "6002", " - ", "STAFF SALARIES")</f>
        <v xml:space="preserve">          6002 - STAFF SALARIES</v>
      </c>
      <c r="C43" s="11"/>
      <c r="D43" s="7">
        <v>12474.37</v>
      </c>
      <c r="E43" s="2"/>
      <c r="F43" s="6">
        <f t="shared" si="12"/>
        <v>1.846749778304813</v>
      </c>
      <c r="G43" s="2"/>
      <c r="H43" s="7">
        <v>4683.3705769230792</v>
      </c>
      <c r="I43" s="2"/>
      <c r="J43" s="6">
        <f t="shared" si="13"/>
        <v>0.41082198043184903</v>
      </c>
      <c r="K43" s="2"/>
      <c r="L43" s="7">
        <f t="shared" si="14"/>
        <v>7790.9994230769216</v>
      </c>
      <c r="M43" s="2"/>
      <c r="N43" s="6">
        <f t="shared" si="15"/>
        <v>1.6635453665499857</v>
      </c>
      <c r="O43" s="11"/>
      <c r="P43" s="7">
        <v>12474.37</v>
      </c>
      <c r="Q43" s="2"/>
      <c r="R43" s="6">
        <f t="shared" si="16"/>
        <v>1.846749778304813</v>
      </c>
      <c r="S43" s="2"/>
      <c r="T43" s="7">
        <v>4683.3705769230792</v>
      </c>
      <c r="U43" s="2"/>
      <c r="V43" s="6">
        <f t="shared" si="17"/>
        <v>0.41082198043184903</v>
      </c>
      <c r="W43" s="2"/>
      <c r="X43" s="7">
        <f t="shared" si="18"/>
        <v>7790.9994230769216</v>
      </c>
      <c r="Y43" s="2"/>
      <c r="Z43" s="6">
        <f t="shared" si="19"/>
        <v>1.6635453665499857</v>
      </c>
    </row>
    <row r="44" spans="1:26" s="24" customFormat="1" hidden="1" outlineLevel="2" x14ac:dyDescent="0.25">
      <c r="A44" s="29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12"/>
        <v>0</v>
      </c>
      <c r="G44" s="2"/>
      <c r="H44" s="7">
        <v>0</v>
      </c>
      <c r="I44" s="2"/>
      <c r="J44" s="6">
        <f t="shared" si="13"/>
        <v>0</v>
      </c>
      <c r="K44" s="2"/>
      <c r="L44" s="7">
        <f t="shared" si="14"/>
        <v>0</v>
      </c>
      <c r="M44" s="2"/>
      <c r="N44" s="6">
        <f t="shared" si="15"/>
        <v>0</v>
      </c>
      <c r="O44" s="11"/>
      <c r="P44" s="7"/>
      <c r="Q44" s="2"/>
      <c r="R44" s="6">
        <f t="shared" si="16"/>
        <v>0</v>
      </c>
      <c r="S44" s="2"/>
      <c r="T44" s="7">
        <v>0</v>
      </c>
      <c r="U44" s="2"/>
      <c r="V44" s="6">
        <f t="shared" si="17"/>
        <v>0</v>
      </c>
      <c r="W44" s="2"/>
      <c r="X44" s="7">
        <f t="shared" si="18"/>
        <v>0</v>
      </c>
      <c r="Y44" s="2"/>
      <c r="Z44" s="6">
        <f t="shared" si="19"/>
        <v>0</v>
      </c>
    </row>
    <row r="45" spans="1:26" s="24" customFormat="1" hidden="1" outlineLevel="2" x14ac:dyDescent="0.25">
      <c r="A45" s="29"/>
      <c r="B45" s="11" t="str">
        <f>CONCATENATE("          ", "6004", " - ", "STAFF HOURLY")</f>
        <v xml:space="preserve">          6004 - STAFF HOURLY</v>
      </c>
      <c r="C45" s="11"/>
      <c r="D45" s="7"/>
      <c r="E45" s="2"/>
      <c r="F45" s="6">
        <f t="shared" si="12"/>
        <v>0</v>
      </c>
      <c r="G45" s="2"/>
      <c r="H45" s="7">
        <v>3220</v>
      </c>
      <c r="I45" s="2"/>
      <c r="J45" s="6">
        <f t="shared" si="13"/>
        <v>0.28245614035087718</v>
      </c>
      <c r="K45" s="2"/>
      <c r="L45" s="7">
        <f t="shared" si="14"/>
        <v>-3220</v>
      </c>
      <c r="M45" s="2"/>
      <c r="N45" s="6">
        <f t="shared" si="15"/>
        <v>-1</v>
      </c>
      <c r="O45" s="11"/>
      <c r="P45" s="7"/>
      <c r="Q45" s="2"/>
      <c r="R45" s="6">
        <f t="shared" si="16"/>
        <v>0</v>
      </c>
      <c r="S45" s="2"/>
      <c r="T45" s="7">
        <v>3220</v>
      </c>
      <c r="U45" s="2"/>
      <c r="V45" s="6">
        <f t="shared" si="17"/>
        <v>0.28245614035087718</v>
      </c>
      <c r="W45" s="2"/>
      <c r="X45" s="7">
        <f t="shared" si="18"/>
        <v>-3220</v>
      </c>
      <c r="Y45" s="2"/>
      <c r="Z45" s="6">
        <f t="shared" si="19"/>
        <v>-1</v>
      </c>
    </row>
    <row r="46" spans="1:26" s="24" customFormat="1" hidden="1" outlineLevel="2" x14ac:dyDescent="0.25">
      <c r="A46" s="29"/>
      <c r="B46" s="11" t="str">
        <f>CONCATENATE("          ", "6005", " - ", "TEMPORARY WAGES-HOURLY")</f>
        <v xml:space="preserve">          6005 - TEMPORARY WAGES-HOURLY</v>
      </c>
      <c r="C46" s="11"/>
      <c r="D46" s="7">
        <v>987</v>
      </c>
      <c r="E46" s="2"/>
      <c r="F46" s="6">
        <f t="shared" si="12"/>
        <v>0.14611896482041581</v>
      </c>
      <c r="G46" s="2"/>
      <c r="H46" s="7">
        <v>0</v>
      </c>
      <c r="I46" s="2"/>
      <c r="J46" s="6">
        <f t="shared" si="13"/>
        <v>0</v>
      </c>
      <c r="K46" s="2"/>
      <c r="L46" s="7">
        <f t="shared" si="14"/>
        <v>987</v>
      </c>
      <c r="M46" s="2"/>
      <c r="N46" s="6">
        <f t="shared" si="15"/>
        <v>0</v>
      </c>
      <c r="O46" s="11"/>
      <c r="P46" s="7">
        <v>987</v>
      </c>
      <c r="Q46" s="2"/>
      <c r="R46" s="6">
        <f t="shared" si="16"/>
        <v>0.14611896482041581</v>
      </c>
      <c r="S46" s="2"/>
      <c r="T46" s="7">
        <v>0</v>
      </c>
      <c r="U46" s="2"/>
      <c r="V46" s="6">
        <f t="shared" si="17"/>
        <v>0</v>
      </c>
      <c r="W46" s="2"/>
      <c r="X46" s="7">
        <f t="shared" si="18"/>
        <v>987</v>
      </c>
      <c r="Y46" s="2"/>
      <c r="Z46" s="6">
        <f t="shared" si="19"/>
        <v>0</v>
      </c>
    </row>
    <row r="47" spans="1:26" s="24" customFormat="1" hidden="1" outlineLevel="2" x14ac:dyDescent="0.25">
      <c r="A47" s="29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12"/>
        <v>0</v>
      </c>
      <c r="G47" s="2"/>
      <c r="H47" s="7">
        <v>0</v>
      </c>
      <c r="I47" s="2"/>
      <c r="J47" s="6">
        <f t="shared" si="13"/>
        <v>0</v>
      </c>
      <c r="K47" s="2"/>
      <c r="L47" s="7">
        <f t="shared" si="14"/>
        <v>0</v>
      </c>
      <c r="M47" s="2"/>
      <c r="N47" s="6">
        <f t="shared" si="15"/>
        <v>0</v>
      </c>
      <c r="O47" s="11"/>
      <c r="P47" s="7"/>
      <c r="Q47" s="2"/>
      <c r="R47" s="6">
        <f t="shared" si="16"/>
        <v>0</v>
      </c>
      <c r="S47" s="2"/>
      <c r="T47" s="7">
        <v>0</v>
      </c>
      <c r="U47" s="2"/>
      <c r="V47" s="6">
        <f t="shared" si="17"/>
        <v>0</v>
      </c>
      <c r="W47" s="2"/>
      <c r="X47" s="7">
        <f t="shared" si="18"/>
        <v>0</v>
      </c>
      <c r="Y47" s="2"/>
      <c r="Z47" s="6">
        <f t="shared" si="19"/>
        <v>0</v>
      </c>
    </row>
    <row r="48" spans="1:26" s="24" customFormat="1" hidden="1" outlineLevel="2" x14ac:dyDescent="0.25">
      <c r="A48" s="29"/>
      <c r="B48" s="11" t="str">
        <f>CONCATENATE("          ", "6007", " - ", "STUDENT HOURLY")</f>
        <v xml:space="preserve">          6007 - STUDENT HOURLY</v>
      </c>
      <c r="C48" s="11"/>
      <c r="D48" s="7">
        <v>3145.5</v>
      </c>
      <c r="E48" s="2"/>
      <c r="F48" s="6">
        <f t="shared" si="12"/>
        <v>0.46567092587904552</v>
      </c>
      <c r="G48" s="2"/>
      <c r="H48" s="7">
        <v>3756.1363631999998</v>
      </c>
      <c r="I48" s="2"/>
      <c r="J48" s="6">
        <f t="shared" si="13"/>
        <v>0.32948564589473683</v>
      </c>
      <c r="K48" s="2"/>
      <c r="L48" s="7">
        <f t="shared" si="14"/>
        <v>-610.63636319999978</v>
      </c>
      <c r="M48" s="2"/>
      <c r="N48" s="6">
        <f t="shared" si="15"/>
        <v>-0.16257033934725806</v>
      </c>
      <c r="O48" s="11"/>
      <c r="P48" s="7">
        <v>3145.5</v>
      </c>
      <c r="Q48" s="2"/>
      <c r="R48" s="6">
        <f t="shared" si="16"/>
        <v>0.46567092587904552</v>
      </c>
      <c r="S48" s="2"/>
      <c r="T48" s="7">
        <v>3756.1363631999998</v>
      </c>
      <c r="U48" s="2"/>
      <c r="V48" s="6">
        <f t="shared" si="17"/>
        <v>0.32948564589473683</v>
      </c>
      <c r="W48" s="2"/>
      <c r="X48" s="7">
        <f t="shared" si="18"/>
        <v>-610.63636319999978</v>
      </c>
      <c r="Y48" s="2"/>
      <c r="Z48" s="6">
        <f t="shared" si="19"/>
        <v>-0.16257033934725806</v>
      </c>
    </row>
    <row r="49" spans="1:26" s="24" customFormat="1" hidden="1" outlineLevel="2" x14ac:dyDescent="0.25">
      <c r="A49" s="29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4" customFormat="1" hidden="1" outlineLevel="2" x14ac:dyDescent="0.25">
      <c r="A50" s="29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12"/>
        <v>0</v>
      </c>
      <c r="G50" s="2"/>
      <c r="H50" s="7">
        <v>0</v>
      </c>
      <c r="I50" s="2"/>
      <c r="J50" s="6">
        <f t="shared" si="13"/>
        <v>0</v>
      </c>
      <c r="K50" s="2"/>
      <c r="L50" s="7">
        <f t="shared" si="14"/>
        <v>0</v>
      </c>
      <c r="M50" s="2"/>
      <c r="N50" s="6">
        <f t="shared" si="15"/>
        <v>0</v>
      </c>
      <c r="O50" s="11"/>
      <c r="P50" s="7"/>
      <c r="Q50" s="2"/>
      <c r="R50" s="6">
        <f t="shared" si="16"/>
        <v>0</v>
      </c>
      <c r="S50" s="2"/>
      <c r="T50" s="7">
        <v>0</v>
      </c>
      <c r="U50" s="2"/>
      <c r="V50" s="6">
        <f t="shared" si="17"/>
        <v>0</v>
      </c>
      <c r="W50" s="2"/>
      <c r="X50" s="7">
        <f t="shared" si="18"/>
        <v>0</v>
      </c>
      <c r="Y50" s="2"/>
      <c r="Z50" s="6">
        <f t="shared" si="19"/>
        <v>0</v>
      </c>
    </row>
    <row r="51" spans="1:26" s="24" customFormat="1" hidden="1" outlineLevel="2" x14ac:dyDescent="0.25">
      <c r="A51" s="29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12"/>
        <v>0</v>
      </c>
      <c r="G51" s="2"/>
      <c r="H51" s="7">
        <v>0</v>
      </c>
      <c r="I51" s="2"/>
      <c r="J51" s="6">
        <f t="shared" si="13"/>
        <v>0</v>
      </c>
      <c r="K51" s="2"/>
      <c r="L51" s="7">
        <f t="shared" si="14"/>
        <v>0</v>
      </c>
      <c r="M51" s="2"/>
      <c r="N51" s="6">
        <f t="shared" si="15"/>
        <v>0</v>
      </c>
      <c r="O51" s="11"/>
      <c r="P51" s="7"/>
      <c r="Q51" s="2"/>
      <c r="R51" s="6">
        <f t="shared" si="16"/>
        <v>0</v>
      </c>
      <c r="S51" s="2"/>
      <c r="T51" s="7">
        <v>0</v>
      </c>
      <c r="U51" s="2"/>
      <c r="V51" s="6">
        <f t="shared" si="17"/>
        <v>0</v>
      </c>
      <c r="W51" s="2"/>
      <c r="X51" s="7">
        <f t="shared" si="18"/>
        <v>0</v>
      </c>
      <c r="Y51" s="2"/>
      <c r="Z51" s="6">
        <f t="shared" si="19"/>
        <v>0</v>
      </c>
    </row>
    <row r="52" spans="1:26" s="27" customFormat="1" outlineLevel="1" collapsed="1" x14ac:dyDescent="0.25">
      <c r="A52" s="28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0</v>
      </c>
      <c r="E52" s="1"/>
      <c r="F52" s="5">
        <f t="shared" ref="F52:F70" si="20">IF(D$12=0,0,D52/D$12)</f>
        <v>0</v>
      </c>
      <c r="G52" s="1"/>
      <c r="H52" s="1">
        <f>SUM(OSRRefH22_2x_0)</f>
        <v>100</v>
      </c>
      <c r="I52" s="1"/>
      <c r="J52" s="5">
        <f t="shared" ref="J52:J70" si="21">IF(H$12=0,0,H52/H$12)</f>
        <v>8.771929824561403E-3</v>
      </c>
      <c r="K52" s="1"/>
      <c r="L52" s="1">
        <f t="shared" ref="L52:L70" si="22">+D52-H52</f>
        <v>-100</v>
      </c>
      <c r="M52" s="1"/>
      <c r="N52" s="5">
        <f t="shared" ref="N52:N70" si="23">IF(H52=0,0,L52/H52)</f>
        <v>-1</v>
      </c>
      <c r="O52" s="14"/>
      <c r="P52" s="1">
        <f>SUM(OSRRefP22_2x_0)</f>
        <v>0</v>
      </c>
      <c r="Q52" s="1"/>
      <c r="R52" s="5">
        <f t="shared" ref="R52:R70" si="24">IF(P$12=0,0,P52/P$12)</f>
        <v>0</v>
      </c>
      <c r="S52" s="1"/>
      <c r="T52" s="1">
        <f>SUM(OSRRefT22_2x_0)</f>
        <v>100</v>
      </c>
      <c r="U52" s="1"/>
      <c r="V52" s="5">
        <f t="shared" ref="V52:V70" si="25">IF(T$12=0,0,T52/T$12)</f>
        <v>8.771929824561403E-3</v>
      </c>
      <c r="W52" s="1"/>
      <c r="X52" s="1">
        <f t="shared" ref="X52:X70" si="26">+P52-T52</f>
        <v>-100</v>
      </c>
      <c r="Y52" s="1"/>
      <c r="Z52" s="5">
        <f t="shared" ref="Z52:Z70" si="27">IF(T52=0,0,X52/T52)</f>
        <v>-1</v>
      </c>
    </row>
    <row r="53" spans="1:26" s="24" customFormat="1" hidden="1" outlineLevel="2" x14ac:dyDescent="0.25">
      <c r="A53" s="29"/>
      <c r="B53" s="11" t="str">
        <f>CONCATENATE("          ", "6362", " - ", "ADVERTISING EXPENSE")</f>
        <v xml:space="preserve">          6362 - ADVERTISING EXPENSE</v>
      </c>
      <c r="C53" s="11"/>
      <c r="D53" s="7"/>
      <c r="E53" s="2"/>
      <c r="F53" s="6">
        <f t="shared" si="20"/>
        <v>0</v>
      </c>
      <c r="G53" s="2"/>
      <c r="H53" s="7">
        <v>100</v>
      </c>
      <c r="I53" s="2"/>
      <c r="J53" s="6">
        <f t="shared" si="21"/>
        <v>8.771929824561403E-3</v>
      </c>
      <c r="K53" s="2"/>
      <c r="L53" s="7">
        <f t="shared" si="22"/>
        <v>-100</v>
      </c>
      <c r="M53" s="2"/>
      <c r="N53" s="6">
        <f t="shared" si="23"/>
        <v>-1</v>
      </c>
      <c r="O53" s="11"/>
      <c r="P53" s="7"/>
      <c r="Q53" s="2"/>
      <c r="R53" s="6">
        <f t="shared" si="24"/>
        <v>0</v>
      </c>
      <c r="S53" s="2"/>
      <c r="T53" s="7">
        <v>100</v>
      </c>
      <c r="U53" s="2"/>
      <c r="V53" s="6">
        <f t="shared" si="25"/>
        <v>8.771929824561403E-3</v>
      </c>
      <c r="W53" s="2"/>
      <c r="X53" s="7">
        <f t="shared" si="26"/>
        <v>-100</v>
      </c>
      <c r="Y53" s="2"/>
      <c r="Z53" s="6">
        <f t="shared" si="27"/>
        <v>-1</v>
      </c>
    </row>
    <row r="54" spans="1:26" s="27" customFormat="1" outlineLevel="1" collapsed="1" x14ac:dyDescent="0.25">
      <c r="A54" s="28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SUM(OSRRefD22_3x_0)</f>
        <v>0</v>
      </c>
      <c r="E54" s="1"/>
      <c r="F54" s="5">
        <f t="shared" si="20"/>
        <v>0</v>
      </c>
      <c r="G54" s="1"/>
      <c r="H54" s="1">
        <f>SUM(OSRRefH22_3x_0)</f>
        <v>0</v>
      </c>
      <c r="I54" s="1"/>
      <c r="J54" s="5">
        <f t="shared" si="21"/>
        <v>0</v>
      </c>
      <c r="K54" s="1"/>
      <c r="L54" s="1">
        <f t="shared" si="22"/>
        <v>0</v>
      </c>
      <c r="M54" s="1"/>
      <c r="N54" s="5">
        <f t="shared" si="23"/>
        <v>0</v>
      </c>
      <c r="O54" s="14"/>
      <c r="P54" s="1">
        <f>SUM(OSRRefP22_3x_0)</f>
        <v>0</v>
      </c>
      <c r="Q54" s="1"/>
      <c r="R54" s="5">
        <f t="shared" si="24"/>
        <v>0</v>
      </c>
      <c r="S54" s="1"/>
      <c r="T54" s="1">
        <f>SUM(OSRRefT22_3x_0)</f>
        <v>0</v>
      </c>
      <c r="U54" s="1"/>
      <c r="V54" s="5">
        <f t="shared" si="25"/>
        <v>0</v>
      </c>
      <c r="W54" s="1"/>
      <c r="X54" s="1">
        <f t="shared" si="26"/>
        <v>0</v>
      </c>
      <c r="Y54" s="1"/>
      <c r="Z54" s="5">
        <f t="shared" si="27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7" customFormat="1" outlineLevel="1" collapsed="1" x14ac:dyDescent="0.25">
      <c r="A56" s="28"/>
      <c r="B56" s="14" t="str">
        <f>CONCATENATE("     ","Discounts and Markdowns                           ")</f>
        <v xml:space="preserve">     Discounts and Markdowns                           </v>
      </c>
      <c r="C56" s="14"/>
      <c r="D56" s="1">
        <f>SUM(OSRRefD22_4x_0)</f>
        <v>63.22</v>
      </c>
      <c r="E56" s="1"/>
      <c r="F56" s="5">
        <f t="shared" si="20"/>
        <v>9.3593120121040398E-3</v>
      </c>
      <c r="G56" s="1"/>
      <c r="H56" s="1">
        <f>SUM(OSRRefH22_4x_0)</f>
        <v>600</v>
      </c>
      <c r="I56" s="1"/>
      <c r="J56" s="5">
        <f t="shared" si="21"/>
        <v>5.2631578947368418E-2</v>
      </c>
      <c r="K56" s="1"/>
      <c r="L56" s="1">
        <f t="shared" si="22"/>
        <v>-536.78</v>
      </c>
      <c r="M56" s="1"/>
      <c r="N56" s="5">
        <f t="shared" si="23"/>
        <v>-0.89463333333333328</v>
      </c>
      <c r="O56" s="14"/>
      <c r="P56" s="1">
        <f>SUM(OSRRefP22_4x_0)</f>
        <v>63.22</v>
      </c>
      <c r="Q56" s="1"/>
      <c r="R56" s="5">
        <f t="shared" si="24"/>
        <v>9.3593120121040398E-3</v>
      </c>
      <c r="S56" s="1"/>
      <c r="T56" s="1">
        <f>SUM(OSRRefT22_4x_0)</f>
        <v>600</v>
      </c>
      <c r="U56" s="1"/>
      <c r="V56" s="5">
        <f t="shared" si="25"/>
        <v>5.2631578947368418E-2</v>
      </c>
      <c r="W56" s="1"/>
      <c r="X56" s="1">
        <f t="shared" si="26"/>
        <v>-536.78</v>
      </c>
      <c r="Y56" s="1"/>
      <c r="Z56" s="5">
        <f t="shared" si="27"/>
        <v>-0.89463333333333328</v>
      </c>
    </row>
    <row r="57" spans="1:26" s="24" customFormat="1" hidden="1" outlineLevel="2" x14ac:dyDescent="0.25">
      <c r="A57" s="29"/>
      <c r="B57" s="11" t="str">
        <f>CONCATENATE("          ", "6382", " - ", "DISCOUNTS/MARK DOWNS")</f>
        <v xml:space="preserve">          6382 - DISCOUNTS/MARK DOWNS</v>
      </c>
      <c r="C57" s="11"/>
      <c r="D57" s="7">
        <v>63.22</v>
      </c>
      <c r="E57" s="2"/>
      <c r="F57" s="6">
        <f t="shared" si="20"/>
        <v>9.3593120121040398E-3</v>
      </c>
      <c r="G57" s="2"/>
      <c r="H57" s="7">
        <v>600</v>
      </c>
      <c r="I57" s="2"/>
      <c r="J57" s="6">
        <f t="shared" si="21"/>
        <v>5.2631578947368418E-2</v>
      </c>
      <c r="K57" s="2"/>
      <c r="L57" s="7">
        <f t="shared" si="22"/>
        <v>-536.78</v>
      </c>
      <c r="M57" s="2"/>
      <c r="N57" s="6">
        <f t="shared" si="23"/>
        <v>-0.89463333333333328</v>
      </c>
      <c r="O57" s="11"/>
      <c r="P57" s="7">
        <v>63.22</v>
      </c>
      <c r="Q57" s="2"/>
      <c r="R57" s="6">
        <f t="shared" si="24"/>
        <v>9.3593120121040398E-3</v>
      </c>
      <c r="S57" s="2"/>
      <c r="T57" s="7">
        <v>600</v>
      </c>
      <c r="U57" s="2"/>
      <c r="V57" s="6">
        <f t="shared" si="25"/>
        <v>5.2631578947368418E-2</v>
      </c>
      <c r="W57" s="2"/>
      <c r="X57" s="7">
        <f t="shared" si="26"/>
        <v>-536.78</v>
      </c>
      <c r="Y57" s="2"/>
      <c r="Z57" s="6">
        <f t="shared" si="27"/>
        <v>-0.89463333333333328</v>
      </c>
    </row>
    <row r="58" spans="1:26" s="27" customFormat="1" outlineLevel="1" collapsed="1" x14ac:dyDescent="0.25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SUM(OSRRefD22_5x_0)</f>
        <v>0</v>
      </c>
      <c r="E58" s="1"/>
      <c r="F58" s="5">
        <f t="shared" si="20"/>
        <v>0</v>
      </c>
      <c r="G58" s="1"/>
      <c r="H58" s="1">
        <f>SUM(OSRRefH22_5x_0)</f>
        <v>100</v>
      </c>
      <c r="I58" s="1"/>
      <c r="J58" s="5">
        <f t="shared" si="21"/>
        <v>8.771929824561403E-3</v>
      </c>
      <c r="K58" s="1"/>
      <c r="L58" s="1">
        <f t="shared" si="22"/>
        <v>-100</v>
      </c>
      <c r="M58" s="1"/>
      <c r="N58" s="5">
        <f t="shared" si="23"/>
        <v>-1</v>
      </c>
      <c r="O58" s="14"/>
      <c r="P58" s="1">
        <f>SUM(OSRRefP22_5x_0)</f>
        <v>0</v>
      </c>
      <c r="Q58" s="1"/>
      <c r="R58" s="5">
        <f t="shared" si="24"/>
        <v>0</v>
      </c>
      <c r="S58" s="1"/>
      <c r="T58" s="1">
        <f>SUM(OSRRefT22_5x_0)</f>
        <v>100</v>
      </c>
      <c r="U58" s="1"/>
      <c r="V58" s="5">
        <f t="shared" si="25"/>
        <v>8.771929824561403E-3</v>
      </c>
      <c r="W58" s="1"/>
      <c r="X58" s="1">
        <f t="shared" si="26"/>
        <v>-100</v>
      </c>
      <c r="Y58" s="1"/>
      <c r="Z58" s="5">
        <f t="shared" si="27"/>
        <v>-1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0"/>
        <v>0</v>
      </c>
      <c r="G59" s="2"/>
      <c r="H59" s="7">
        <v>100</v>
      </c>
      <c r="I59" s="2"/>
      <c r="J59" s="6">
        <f t="shared" si="21"/>
        <v>8.771929824561403E-3</v>
      </c>
      <c r="K59" s="2"/>
      <c r="L59" s="7">
        <f t="shared" si="22"/>
        <v>-100</v>
      </c>
      <c r="M59" s="2"/>
      <c r="N59" s="6">
        <f t="shared" si="23"/>
        <v>-1</v>
      </c>
      <c r="O59" s="11"/>
      <c r="P59" s="7"/>
      <c r="Q59" s="2"/>
      <c r="R59" s="6">
        <f t="shared" si="24"/>
        <v>0</v>
      </c>
      <c r="S59" s="2"/>
      <c r="T59" s="7">
        <v>100</v>
      </c>
      <c r="U59" s="2"/>
      <c r="V59" s="6">
        <f t="shared" si="25"/>
        <v>8.771929824561403E-3</v>
      </c>
      <c r="W59" s="2"/>
      <c r="X59" s="7">
        <f t="shared" si="26"/>
        <v>-100</v>
      </c>
      <c r="Y59" s="2"/>
      <c r="Z59" s="6">
        <f t="shared" si="27"/>
        <v>-1</v>
      </c>
    </row>
    <row r="60" spans="1:26" s="27" customFormat="1" outlineLevel="1" collapsed="1" x14ac:dyDescent="0.25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SUM(OSRRefD22_6x_0)</f>
        <v>1205.6400000000001</v>
      </c>
      <c r="E60" s="1"/>
      <c r="F60" s="5">
        <f t="shared" si="20"/>
        <v>0.17848720237698695</v>
      </c>
      <c r="G60" s="1"/>
      <c r="H60" s="1">
        <f>SUM(OSRRefH22_6x_0)</f>
        <v>3000</v>
      </c>
      <c r="I60" s="1"/>
      <c r="J60" s="5">
        <f t="shared" si="21"/>
        <v>0.26315789473684209</v>
      </c>
      <c r="K60" s="1"/>
      <c r="L60" s="1">
        <f t="shared" si="22"/>
        <v>-1794.36</v>
      </c>
      <c r="M60" s="1"/>
      <c r="N60" s="5">
        <f t="shared" si="23"/>
        <v>-0.59811999999999999</v>
      </c>
      <c r="O60" s="14"/>
      <c r="P60" s="1">
        <f>SUM(OSRRefP22_6x_0)</f>
        <v>1205.6400000000001</v>
      </c>
      <c r="Q60" s="1"/>
      <c r="R60" s="5">
        <f t="shared" si="24"/>
        <v>0.17848720237698695</v>
      </c>
      <c r="S60" s="1"/>
      <c r="T60" s="1">
        <f>SUM(OSRRefT22_6x_0)</f>
        <v>3000</v>
      </c>
      <c r="U60" s="1"/>
      <c r="V60" s="5">
        <f t="shared" si="25"/>
        <v>0.26315789473684209</v>
      </c>
      <c r="W60" s="1"/>
      <c r="X60" s="1">
        <f t="shared" si="26"/>
        <v>-1794.36</v>
      </c>
      <c r="Y60" s="1"/>
      <c r="Z60" s="5">
        <f t="shared" si="27"/>
        <v>-0.59811999999999999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1205.6400000000001</v>
      </c>
      <c r="E61" s="2"/>
      <c r="F61" s="6">
        <f t="shared" si="20"/>
        <v>0.17848720237698695</v>
      </c>
      <c r="G61" s="2"/>
      <c r="H61" s="7">
        <v>3000</v>
      </c>
      <c r="I61" s="2"/>
      <c r="J61" s="6">
        <f t="shared" si="21"/>
        <v>0.26315789473684209</v>
      </c>
      <c r="K61" s="2"/>
      <c r="L61" s="7">
        <f t="shared" si="22"/>
        <v>-1794.36</v>
      </c>
      <c r="M61" s="2"/>
      <c r="N61" s="6">
        <f t="shared" si="23"/>
        <v>-0.59811999999999999</v>
      </c>
      <c r="O61" s="11"/>
      <c r="P61" s="7">
        <v>1205.6400000000001</v>
      </c>
      <c r="Q61" s="2"/>
      <c r="R61" s="6">
        <f t="shared" si="24"/>
        <v>0.17848720237698695</v>
      </c>
      <c r="S61" s="2"/>
      <c r="T61" s="7">
        <v>3000</v>
      </c>
      <c r="U61" s="2"/>
      <c r="V61" s="6">
        <f t="shared" si="25"/>
        <v>0.26315789473684209</v>
      </c>
      <c r="W61" s="2"/>
      <c r="X61" s="7">
        <f t="shared" si="26"/>
        <v>-1794.36</v>
      </c>
      <c r="Y61" s="2"/>
      <c r="Z61" s="6">
        <f t="shared" si="27"/>
        <v>-0.59811999999999999</v>
      </c>
    </row>
    <row r="62" spans="1:26" s="27" customFormat="1" outlineLevel="1" collapsed="1" x14ac:dyDescent="0.25">
      <c r="A62" s="28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SUM(OSRRefD22_7x_0)</f>
        <v>0</v>
      </c>
      <c r="E62" s="1"/>
      <c r="F62" s="5">
        <f t="shared" si="20"/>
        <v>0</v>
      </c>
      <c r="G62" s="1"/>
      <c r="H62" s="1">
        <f>SUM(OSRRefH22_7x_0)</f>
        <v>-300</v>
      </c>
      <c r="I62" s="1"/>
      <c r="J62" s="5">
        <f t="shared" si="21"/>
        <v>-2.6315789473684209E-2</v>
      </c>
      <c r="K62" s="1"/>
      <c r="L62" s="1">
        <f t="shared" si="22"/>
        <v>300</v>
      </c>
      <c r="M62" s="1"/>
      <c r="N62" s="5">
        <f t="shared" si="23"/>
        <v>-1</v>
      </c>
      <c r="O62" s="14"/>
      <c r="P62" s="1">
        <f>SUM(OSRRefP22_7x_0)</f>
        <v>0</v>
      </c>
      <c r="Q62" s="1"/>
      <c r="R62" s="5">
        <f t="shared" si="24"/>
        <v>0</v>
      </c>
      <c r="S62" s="1"/>
      <c r="T62" s="1">
        <f>SUM(OSRRefT22_7x_0)</f>
        <v>-300</v>
      </c>
      <c r="U62" s="1"/>
      <c r="V62" s="5">
        <f t="shared" si="25"/>
        <v>-2.6315789473684209E-2</v>
      </c>
      <c r="W62" s="1"/>
      <c r="X62" s="1">
        <f t="shared" si="26"/>
        <v>300</v>
      </c>
      <c r="Y62" s="1"/>
      <c r="Z62" s="5">
        <f t="shared" si="27"/>
        <v>-1</v>
      </c>
    </row>
    <row r="63" spans="1:26" s="24" customFormat="1" hidden="1" outlineLevel="2" x14ac:dyDescent="0.25">
      <c r="A63" s="29"/>
      <c r="B63" s="11" t="str">
        <f>CONCATENATE("          ", "6305", " - ", "FREIGHT OUT")</f>
        <v xml:space="preserve">          6305 - FREIGHT OUT</v>
      </c>
      <c r="C63" s="11"/>
      <c r="D63" s="7"/>
      <c r="E63" s="2"/>
      <c r="F63" s="6">
        <f t="shared" si="20"/>
        <v>0</v>
      </c>
      <c r="G63" s="2"/>
      <c r="H63" s="7">
        <v>-300</v>
      </c>
      <c r="I63" s="2"/>
      <c r="J63" s="6">
        <f t="shared" si="21"/>
        <v>-2.6315789473684209E-2</v>
      </c>
      <c r="K63" s="2"/>
      <c r="L63" s="7">
        <f t="shared" si="22"/>
        <v>300</v>
      </c>
      <c r="M63" s="2"/>
      <c r="N63" s="6">
        <f t="shared" si="23"/>
        <v>-1</v>
      </c>
      <c r="O63" s="11"/>
      <c r="P63" s="7"/>
      <c r="Q63" s="2"/>
      <c r="R63" s="6">
        <f t="shared" si="24"/>
        <v>0</v>
      </c>
      <c r="S63" s="2"/>
      <c r="T63" s="7">
        <v>-300</v>
      </c>
      <c r="U63" s="2"/>
      <c r="V63" s="6">
        <f t="shared" si="25"/>
        <v>-2.6315789473684209E-2</v>
      </c>
      <c r="W63" s="2"/>
      <c r="X63" s="7">
        <f t="shared" si="26"/>
        <v>300</v>
      </c>
      <c r="Y63" s="2"/>
      <c r="Z63" s="6">
        <f t="shared" si="27"/>
        <v>-1</v>
      </c>
    </row>
    <row r="64" spans="1:26" s="27" customFormat="1" outlineLevel="1" collapsed="1" x14ac:dyDescent="0.25">
      <c r="A64" s="28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SUM(OSRRefD22_8x_0)</f>
        <v>0</v>
      </c>
      <c r="E64" s="1"/>
      <c r="F64" s="5">
        <f t="shared" si="20"/>
        <v>0</v>
      </c>
      <c r="G64" s="1"/>
      <c r="H64" s="1">
        <f>SUM(OSRRefH22_8x_0)</f>
        <v>200</v>
      </c>
      <c r="I64" s="1"/>
      <c r="J64" s="5">
        <f t="shared" si="21"/>
        <v>1.7543859649122806E-2</v>
      </c>
      <c r="K64" s="1"/>
      <c r="L64" s="1">
        <f t="shared" si="22"/>
        <v>-200</v>
      </c>
      <c r="M64" s="1"/>
      <c r="N64" s="5">
        <f t="shared" si="23"/>
        <v>-1</v>
      </c>
      <c r="O64" s="14"/>
      <c r="P64" s="1">
        <f>SUM(OSRRefP22_8x_0)</f>
        <v>0</v>
      </c>
      <c r="Q64" s="1"/>
      <c r="R64" s="5">
        <f t="shared" si="24"/>
        <v>0</v>
      </c>
      <c r="S64" s="1"/>
      <c r="T64" s="1">
        <f>SUM(OSRRefT22_8x_0)</f>
        <v>200</v>
      </c>
      <c r="U64" s="1"/>
      <c r="V64" s="5">
        <f t="shared" si="25"/>
        <v>1.7543859649122806E-2</v>
      </c>
      <c r="W64" s="1"/>
      <c r="X64" s="1">
        <f t="shared" si="26"/>
        <v>-200</v>
      </c>
      <c r="Y64" s="1"/>
      <c r="Z64" s="5">
        <f t="shared" si="27"/>
        <v>-1</v>
      </c>
    </row>
    <row r="65" spans="1:26" s="24" customFormat="1" hidden="1" outlineLevel="2" x14ac:dyDescent="0.25">
      <c r="A65" s="29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20"/>
        <v>0</v>
      </c>
      <c r="G65" s="2"/>
      <c r="H65" s="7">
        <v>200</v>
      </c>
      <c r="I65" s="2"/>
      <c r="J65" s="6">
        <f t="shared" si="21"/>
        <v>1.7543859649122806E-2</v>
      </c>
      <c r="K65" s="2"/>
      <c r="L65" s="7">
        <f t="shared" si="22"/>
        <v>-200</v>
      </c>
      <c r="M65" s="2"/>
      <c r="N65" s="6">
        <f t="shared" si="23"/>
        <v>-1</v>
      </c>
      <c r="O65" s="11"/>
      <c r="P65" s="7"/>
      <c r="Q65" s="2"/>
      <c r="R65" s="6">
        <f t="shared" si="24"/>
        <v>0</v>
      </c>
      <c r="S65" s="2"/>
      <c r="T65" s="7">
        <v>200</v>
      </c>
      <c r="U65" s="2"/>
      <c r="V65" s="6">
        <f t="shared" si="25"/>
        <v>1.7543859649122806E-2</v>
      </c>
      <c r="W65" s="2"/>
      <c r="X65" s="7">
        <f t="shared" si="26"/>
        <v>-200</v>
      </c>
      <c r="Y65" s="2"/>
      <c r="Z65" s="6">
        <f t="shared" si="27"/>
        <v>-1</v>
      </c>
    </row>
    <row r="66" spans="1:26" s="27" customFormat="1" outlineLevel="1" collapsed="1" x14ac:dyDescent="0.25">
      <c r="A66" s="28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SUM(OSRRefD22_9x_0)</f>
        <v>5942.4</v>
      </c>
      <c r="E66" s="1"/>
      <c r="F66" s="5">
        <f t="shared" si="20"/>
        <v>0.87973387694917815</v>
      </c>
      <c r="G66" s="1"/>
      <c r="H66" s="1">
        <f>SUM(OSRRefH22_9x_0)</f>
        <v>7000</v>
      </c>
      <c r="I66" s="1"/>
      <c r="J66" s="5">
        <f t="shared" si="21"/>
        <v>0.61403508771929827</v>
      </c>
      <c r="K66" s="1"/>
      <c r="L66" s="1">
        <f t="shared" si="22"/>
        <v>-1057.6000000000004</v>
      </c>
      <c r="M66" s="1"/>
      <c r="N66" s="5">
        <f t="shared" si="23"/>
        <v>-0.15108571428571435</v>
      </c>
      <c r="O66" s="14"/>
      <c r="P66" s="1">
        <f>SUM(OSRRefP22_9x_0)</f>
        <v>5942.4</v>
      </c>
      <c r="Q66" s="1"/>
      <c r="R66" s="5">
        <f t="shared" si="24"/>
        <v>0.87973387694917815</v>
      </c>
      <c r="S66" s="1"/>
      <c r="T66" s="1">
        <f>SUM(OSRRefT22_9x_0)</f>
        <v>7000</v>
      </c>
      <c r="U66" s="1"/>
      <c r="V66" s="5">
        <f t="shared" si="25"/>
        <v>0.61403508771929827</v>
      </c>
      <c r="W66" s="1"/>
      <c r="X66" s="1">
        <f t="shared" si="26"/>
        <v>-1057.6000000000004</v>
      </c>
      <c r="Y66" s="1"/>
      <c r="Z66" s="5">
        <f t="shared" si="27"/>
        <v>-0.15108571428571435</v>
      </c>
    </row>
    <row r="67" spans="1:26" s="24" customFormat="1" hidden="1" outlineLevel="2" x14ac:dyDescent="0.25">
      <c r="A67" s="29"/>
      <c r="B67" s="11" t="str">
        <f>CONCATENATE("          ", "6373", " - ", "MAINTENANCE CONTRACTS")</f>
        <v xml:space="preserve">          6373 - MAINTENANCE CONTRACTS</v>
      </c>
      <c r="C67" s="11"/>
      <c r="D67" s="7">
        <v>5942.4</v>
      </c>
      <c r="E67" s="2"/>
      <c r="F67" s="6">
        <f t="shared" si="20"/>
        <v>0.87973387694917815</v>
      </c>
      <c r="G67" s="2"/>
      <c r="H67" s="7">
        <v>7000</v>
      </c>
      <c r="I67" s="2"/>
      <c r="J67" s="6">
        <f t="shared" si="21"/>
        <v>0.61403508771929827</v>
      </c>
      <c r="K67" s="2"/>
      <c r="L67" s="7">
        <f t="shared" si="22"/>
        <v>-1057.6000000000004</v>
      </c>
      <c r="M67" s="2"/>
      <c r="N67" s="6">
        <f t="shared" si="23"/>
        <v>-0.15108571428571435</v>
      </c>
      <c r="O67" s="11"/>
      <c r="P67" s="7">
        <v>5942.4</v>
      </c>
      <c r="Q67" s="2"/>
      <c r="R67" s="6">
        <f t="shared" si="24"/>
        <v>0.87973387694917815</v>
      </c>
      <c r="S67" s="2"/>
      <c r="T67" s="7">
        <v>7000</v>
      </c>
      <c r="U67" s="2"/>
      <c r="V67" s="6">
        <f t="shared" si="25"/>
        <v>0.61403508771929827</v>
      </c>
      <c r="W67" s="2"/>
      <c r="X67" s="7">
        <f t="shared" si="26"/>
        <v>-1057.6000000000004</v>
      </c>
      <c r="Y67" s="2"/>
      <c r="Z67" s="6">
        <f t="shared" si="27"/>
        <v>-0.15108571428571435</v>
      </c>
    </row>
    <row r="68" spans="1:26" s="27" customFormat="1" outlineLevel="1" collapsed="1" x14ac:dyDescent="0.25">
      <c r="A68" s="28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SUM(OSRRefD22_10x_0)</f>
        <v>605.01</v>
      </c>
      <c r="E68" s="1"/>
      <c r="F68" s="5">
        <f t="shared" si="20"/>
        <v>8.9567816520769769E-2</v>
      </c>
      <c r="G68" s="1"/>
      <c r="H68" s="1">
        <f>SUM(OSRRefH22_10x_0)</f>
        <v>11000</v>
      </c>
      <c r="I68" s="1"/>
      <c r="J68" s="5">
        <f t="shared" si="21"/>
        <v>0.96491228070175439</v>
      </c>
      <c r="K68" s="1"/>
      <c r="L68" s="1">
        <f t="shared" si="22"/>
        <v>-10394.99</v>
      </c>
      <c r="M68" s="1"/>
      <c r="N68" s="5">
        <f t="shared" si="23"/>
        <v>-0.94499909090909084</v>
      </c>
      <c r="O68" s="14"/>
      <c r="P68" s="1">
        <f>SUM(OSRRefP22_10x_0)</f>
        <v>605.01</v>
      </c>
      <c r="Q68" s="1"/>
      <c r="R68" s="5">
        <f t="shared" si="24"/>
        <v>8.9567816520769769E-2</v>
      </c>
      <c r="S68" s="1"/>
      <c r="T68" s="1">
        <f>SUM(OSRRefT22_10x_0)</f>
        <v>11000</v>
      </c>
      <c r="U68" s="1"/>
      <c r="V68" s="5">
        <f t="shared" si="25"/>
        <v>0.96491228070175439</v>
      </c>
      <c r="W68" s="1"/>
      <c r="X68" s="1">
        <f t="shared" si="26"/>
        <v>-10394.99</v>
      </c>
      <c r="Y68" s="1"/>
      <c r="Z68" s="5">
        <f t="shared" si="27"/>
        <v>-0.94499909090909084</v>
      </c>
    </row>
    <row r="69" spans="1:26" s="24" customFormat="1" hidden="1" outlineLevel="2" x14ac:dyDescent="0.25">
      <c r="A69" s="29"/>
      <c r="B69" s="11" t="str">
        <f>CONCATENATE("          ", "6254", " - ", "ROYALTY &amp; COMMISSIONS")</f>
        <v xml:space="preserve">          6254 - ROYALTY &amp; COMMISSIONS</v>
      </c>
      <c r="C69" s="11"/>
      <c r="D69" s="7"/>
      <c r="E69" s="2"/>
      <c r="F69" s="6">
        <f t="shared" si="20"/>
        <v>0</v>
      </c>
      <c r="G69" s="2"/>
      <c r="H69" s="7">
        <v>11000</v>
      </c>
      <c r="I69" s="2"/>
      <c r="J69" s="6">
        <f t="shared" si="21"/>
        <v>0.96491228070175439</v>
      </c>
      <c r="K69" s="2"/>
      <c r="L69" s="7">
        <f t="shared" si="22"/>
        <v>-11000</v>
      </c>
      <c r="M69" s="2"/>
      <c r="N69" s="6">
        <f t="shared" si="23"/>
        <v>-1</v>
      </c>
      <c r="O69" s="11"/>
      <c r="P69" s="7"/>
      <c r="Q69" s="2"/>
      <c r="R69" s="6">
        <f t="shared" si="24"/>
        <v>0</v>
      </c>
      <c r="S69" s="2"/>
      <c r="T69" s="7">
        <v>11000</v>
      </c>
      <c r="U69" s="2"/>
      <c r="V69" s="6">
        <f t="shared" si="25"/>
        <v>0.96491228070175439</v>
      </c>
      <c r="W69" s="2"/>
      <c r="X69" s="7">
        <f t="shared" si="26"/>
        <v>-11000</v>
      </c>
      <c r="Y69" s="2"/>
      <c r="Z69" s="6">
        <f t="shared" si="27"/>
        <v>-1</v>
      </c>
    </row>
    <row r="70" spans="1:26" s="24" customFormat="1" hidden="1" outlineLevel="2" x14ac:dyDescent="0.25">
      <c r="A70" s="29"/>
      <c r="B70" s="11" t="str">
        <f>CONCATENATE("          ", "6259", " - ", "ROYALTY &amp; COMMISSIONS")</f>
        <v xml:space="preserve">          6259 - ROYALTY &amp; COMMISSIONS</v>
      </c>
      <c r="C70" s="11"/>
      <c r="D70" s="7">
        <v>605.01</v>
      </c>
      <c r="E70" s="2"/>
      <c r="F70" s="6">
        <f t="shared" si="20"/>
        <v>8.9567816520769769E-2</v>
      </c>
      <c r="G70" s="2"/>
      <c r="H70" s="7"/>
      <c r="I70" s="2"/>
      <c r="J70" s="6">
        <f t="shared" si="21"/>
        <v>0</v>
      </c>
      <c r="K70" s="2"/>
      <c r="L70" s="7">
        <f t="shared" si="22"/>
        <v>605.01</v>
      </c>
      <c r="M70" s="2"/>
      <c r="N70" s="6">
        <f t="shared" si="23"/>
        <v>0</v>
      </c>
      <c r="O70" s="11"/>
      <c r="P70" s="7">
        <v>605.01</v>
      </c>
      <c r="Q70" s="2"/>
      <c r="R70" s="6">
        <f t="shared" si="24"/>
        <v>8.9567816520769769E-2</v>
      </c>
      <c r="S70" s="2"/>
      <c r="T70" s="7"/>
      <c r="U70" s="2"/>
      <c r="V70" s="6">
        <f t="shared" si="25"/>
        <v>0</v>
      </c>
      <c r="W70" s="2"/>
      <c r="X70" s="7">
        <f t="shared" si="26"/>
        <v>605.01</v>
      </c>
      <c r="Y70" s="2"/>
      <c r="Z70" s="6">
        <f t="shared" si="27"/>
        <v>0</v>
      </c>
    </row>
    <row r="71" spans="1:26" s="27" customFormat="1" outlineLevel="1" collapsed="1" x14ac:dyDescent="0.25">
      <c r="A71" s="28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SUM(OSRRefD22_11x_0)</f>
        <v>1910.37</v>
      </c>
      <c r="E71" s="1"/>
      <c r="F71" s="5">
        <f t="shared" ref="F71:F74" si="28">IF(D$12=0,0,D71/D$12)</f>
        <v>0.28281791978113247</v>
      </c>
      <c r="G71" s="1"/>
      <c r="H71" s="1">
        <f>SUM(OSRRefH22_11x_0)</f>
        <v>2250</v>
      </c>
      <c r="I71" s="1"/>
      <c r="J71" s="5">
        <f t="shared" ref="J71:J74" si="29">IF(H$12=0,0,H71/H$12)</f>
        <v>0.19736842105263158</v>
      </c>
      <c r="K71" s="1"/>
      <c r="L71" s="1">
        <f t="shared" ref="L71:L74" si="30">+D71-H71</f>
        <v>-339.63000000000011</v>
      </c>
      <c r="M71" s="1"/>
      <c r="N71" s="5">
        <f t="shared" ref="N71:N74" si="31">IF(H71=0,0,L71/H71)</f>
        <v>-0.15094666666666673</v>
      </c>
      <c r="O71" s="14"/>
      <c r="P71" s="1">
        <f>SUM(OSRRefP22_11x_0)</f>
        <v>1910.37</v>
      </c>
      <c r="Q71" s="1"/>
      <c r="R71" s="5">
        <f t="shared" ref="R71:R74" si="32">IF(P$12=0,0,P71/P$12)</f>
        <v>0.28281791978113247</v>
      </c>
      <c r="S71" s="1"/>
      <c r="T71" s="1">
        <f>SUM(OSRRefT22_11x_0)</f>
        <v>2250</v>
      </c>
      <c r="U71" s="1"/>
      <c r="V71" s="5">
        <f t="shared" ref="V71:V74" si="33">IF(T$12=0,0,T71/T$12)</f>
        <v>0.19736842105263158</v>
      </c>
      <c r="W71" s="1"/>
      <c r="X71" s="1">
        <f t="shared" ref="X71:X74" si="34">+P71-T71</f>
        <v>-339.63000000000011</v>
      </c>
      <c r="Y71" s="1"/>
      <c r="Z71" s="5">
        <f t="shared" ref="Z71:Z74" si="35">IF(T71=0,0,X71/T71)</f>
        <v>-0.15094666666666673</v>
      </c>
    </row>
    <row r="72" spans="1:26" s="24" customFormat="1" hidden="1" outlineLevel="2" x14ac:dyDescent="0.25">
      <c r="A72" s="29"/>
      <c r="B72" s="11" t="str">
        <f>CONCATENATE("          ", "6234", " - ", "EXPENDABLE SUPPLIES &amp; EQUIPMEN")</f>
        <v xml:space="preserve">          6234 - EXPENDABLE SUPPLIES &amp; EQUIPMEN</v>
      </c>
      <c r="C72" s="11"/>
      <c r="D72" s="7">
        <v>17.27</v>
      </c>
      <c r="E72" s="2"/>
      <c r="F72" s="6">
        <f t="shared" si="28"/>
        <v>2.5567117755304772E-3</v>
      </c>
      <c r="G72" s="2"/>
      <c r="H72" s="7"/>
      <c r="I72" s="2"/>
      <c r="J72" s="6">
        <f t="shared" si="29"/>
        <v>0</v>
      </c>
      <c r="K72" s="2"/>
      <c r="L72" s="7">
        <f t="shared" si="30"/>
        <v>17.27</v>
      </c>
      <c r="M72" s="2"/>
      <c r="N72" s="6">
        <f t="shared" si="31"/>
        <v>0</v>
      </c>
      <c r="O72" s="11"/>
      <c r="P72" s="7">
        <v>17.27</v>
      </c>
      <c r="Q72" s="2"/>
      <c r="R72" s="6">
        <f t="shared" si="32"/>
        <v>2.5567117755304772E-3</v>
      </c>
      <c r="S72" s="2"/>
      <c r="T72" s="7"/>
      <c r="U72" s="2"/>
      <c r="V72" s="6">
        <f t="shared" si="33"/>
        <v>0</v>
      </c>
      <c r="W72" s="2"/>
      <c r="X72" s="7">
        <f t="shared" si="34"/>
        <v>17.27</v>
      </c>
      <c r="Y72" s="2"/>
      <c r="Z72" s="6">
        <f t="shared" si="35"/>
        <v>0</v>
      </c>
    </row>
    <row r="73" spans="1:26" s="24" customFormat="1" hidden="1" outlineLevel="2" x14ac:dyDescent="0.25">
      <c r="A73" s="29"/>
      <c r="B73" s="11" t="str">
        <f>CONCATENATE("          ", "6243", " - ", "PAPER SUPPLIES")</f>
        <v xml:space="preserve">          6243 - PAPER SUPPLIES</v>
      </c>
      <c r="C73" s="11"/>
      <c r="D73" s="7">
        <v>1161.3399999999999</v>
      </c>
      <c r="E73" s="2"/>
      <c r="F73" s="6">
        <f t="shared" si="28"/>
        <v>0.17192887396610099</v>
      </c>
      <c r="G73" s="2"/>
      <c r="H73" s="7">
        <v>250</v>
      </c>
      <c r="I73" s="2"/>
      <c r="J73" s="6">
        <f t="shared" si="29"/>
        <v>2.1929824561403508E-2</v>
      </c>
      <c r="K73" s="2"/>
      <c r="L73" s="7">
        <f t="shared" si="30"/>
        <v>911.33999999999992</v>
      </c>
      <c r="M73" s="2"/>
      <c r="N73" s="6">
        <f t="shared" si="31"/>
        <v>3.6453599999999997</v>
      </c>
      <c r="O73" s="11"/>
      <c r="P73" s="7">
        <v>1161.3399999999999</v>
      </c>
      <c r="Q73" s="2"/>
      <c r="R73" s="6">
        <f t="shared" si="32"/>
        <v>0.17192887396610099</v>
      </c>
      <c r="S73" s="2"/>
      <c r="T73" s="7">
        <v>250</v>
      </c>
      <c r="U73" s="2"/>
      <c r="V73" s="6">
        <f t="shared" si="33"/>
        <v>2.1929824561403508E-2</v>
      </c>
      <c r="W73" s="2"/>
      <c r="X73" s="7">
        <f t="shared" si="34"/>
        <v>911.33999999999992</v>
      </c>
      <c r="Y73" s="2"/>
      <c r="Z73" s="6">
        <f t="shared" si="35"/>
        <v>3.6453599999999997</v>
      </c>
    </row>
    <row r="74" spans="1:26" s="24" customFormat="1" hidden="1" outlineLevel="2" x14ac:dyDescent="0.25">
      <c r="A74" s="29"/>
      <c r="B74" s="11" t="str">
        <f>CONCATENATE("          ", "6247", " - ", "STORE SUPPLIES")</f>
        <v xml:space="preserve">          6247 - STORE SUPPLIES</v>
      </c>
      <c r="C74" s="11"/>
      <c r="D74" s="7">
        <v>731.76</v>
      </c>
      <c r="E74" s="2"/>
      <c r="F74" s="6">
        <f t="shared" si="28"/>
        <v>0.10833233403950097</v>
      </c>
      <c r="G74" s="2"/>
      <c r="H74" s="7">
        <v>2000</v>
      </c>
      <c r="I74" s="2"/>
      <c r="J74" s="6">
        <f t="shared" si="29"/>
        <v>0.17543859649122806</v>
      </c>
      <c r="K74" s="2"/>
      <c r="L74" s="7">
        <f t="shared" si="30"/>
        <v>-1268.24</v>
      </c>
      <c r="M74" s="2"/>
      <c r="N74" s="6">
        <f t="shared" si="31"/>
        <v>-0.63412000000000002</v>
      </c>
      <c r="O74" s="11"/>
      <c r="P74" s="7">
        <v>731.76</v>
      </c>
      <c r="Q74" s="2"/>
      <c r="R74" s="6">
        <f t="shared" si="32"/>
        <v>0.10833233403950097</v>
      </c>
      <c r="S74" s="2"/>
      <c r="T74" s="7">
        <v>2000</v>
      </c>
      <c r="U74" s="2"/>
      <c r="V74" s="6">
        <f t="shared" si="33"/>
        <v>0.17543859649122806</v>
      </c>
      <c r="W74" s="2"/>
      <c r="X74" s="7">
        <f t="shared" si="34"/>
        <v>-1268.24</v>
      </c>
      <c r="Y74" s="2"/>
      <c r="Z74" s="6">
        <f t="shared" si="35"/>
        <v>-0.63412000000000002</v>
      </c>
    </row>
    <row r="75" spans="1:26" s="27" customFormat="1" outlineLevel="1" collapsed="1" x14ac:dyDescent="0.25">
      <c r="A75" s="28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88.65</v>
      </c>
      <c r="E75" s="1"/>
      <c r="F75" s="5">
        <f t="shared" ref="F75:F77" si="36">IF(D$12=0,0,D75/D$12)</f>
        <v>1.3124058998307864E-2</v>
      </c>
      <c r="G75" s="1"/>
      <c r="H75" s="1">
        <f>SUM(OSRRefH22_12x_0)</f>
        <v>200</v>
      </c>
      <c r="I75" s="1"/>
      <c r="J75" s="5">
        <f t="shared" ref="J75:J77" si="37">IF(H$12=0,0,H75/H$12)</f>
        <v>1.7543859649122806E-2</v>
      </c>
      <c r="K75" s="1"/>
      <c r="L75" s="1">
        <f t="shared" ref="L75:L77" si="38">+D75-H75</f>
        <v>-111.35</v>
      </c>
      <c r="M75" s="1"/>
      <c r="N75" s="5">
        <f t="shared" ref="N75:N77" si="39">IF(H75=0,0,L75/H75)</f>
        <v>-0.55674999999999997</v>
      </c>
      <c r="O75" s="14"/>
      <c r="P75" s="1">
        <f>SUM(OSRRefP22_12x_0)</f>
        <v>88.65</v>
      </c>
      <c r="Q75" s="1"/>
      <c r="R75" s="5">
        <f t="shared" ref="R75:R77" si="40">IF(P$12=0,0,P75/P$12)</f>
        <v>1.3124058998307864E-2</v>
      </c>
      <c r="S75" s="1"/>
      <c r="T75" s="1">
        <f>SUM(OSRRefT22_12x_0)</f>
        <v>200</v>
      </c>
      <c r="U75" s="1"/>
      <c r="V75" s="5">
        <f t="shared" ref="V75:V77" si="41">IF(T$12=0,0,T75/T$12)</f>
        <v>1.7543859649122806E-2</v>
      </c>
      <c r="W75" s="1"/>
      <c r="X75" s="1">
        <f t="shared" ref="X75:X77" si="42">+P75-T75</f>
        <v>-111.35</v>
      </c>
      <c r="Y75" s="1"/>
      <c r="Z75" s="5">
        <f t="shared" ref="Z75:Z77" si="43">IF(T75=0,0,X75/T75)</f>
        <v>-0.55674999999999997</v>
      </c>
    </row>
    <row r="76" spans="1:26" s="24" customFormat="1" hidden="1" outlineLevel="2" x14ac:dyDescent="0.25">
      <c r="A76" s="29"/>
      <c r="B76" s="11" t="str">
        <f>CONCATENATE("          ", "6303", " - ", "DATA PHONE LINES")</f>
        <v xml:space="preserve">          6303 - DATA PHONE LINES</v>
      </c>
      <c r="C76" s="11"/>
      <c r="D76" s="7"/>
      <c r="E76" s="2"/>
      <c r="F76" s="6">
        <f t="shared" si="36"/>
        <v>0</v>
      </c>
      <c r="G76" s="2"/>
      <c r="H76" s="7">
        <v>200</v>
      </c>
      <c r="I76" s="2"/>
      <c r="J76" s="6">
        <f t="shared" si="37"/>
        <v>1.7543859649122806E-2</v>
      </c>
      <c r="K76" s="2"/>
      <c r="L76" s="7">
        <f t="shared" si="38"/>
        <v>-200</v>
      </c>
      <c r="M76" s="2"/>
      <c r="N76" s="6">
        <f t="shared" si="39"/>
        <v>-1</v>
      </c>
      <c r="O76" s="11"/>
      <c r="P76" s="7"/>
      <c r="Q76" s="2"/>
      <c r="R76" s="6">
        <f t="shared" si="40"/>
        <v>0</v>
      </c>
      <c r="S76" s="2"/>
      <c r="T76" s="7">
        <v>200</v>
      </c>
      <c r="U76" s="2"/>
      <c r="V76" s="6">
        <f t="shared" si="41"/>
        <v>1.7543859649122806E-2</v>
      </c>
      <c r="W76" s="2"/>
      <c r="X76" s="7">
        <f t="shared" si="42"/>
        <v>-200</v>
      </c>
      <c r="Y76" s="2"/>
      <c r="Z76" s="6">
        <f t="shared" si="43"/>
        <v>-1</v>
      </c>
    </row>
    <row r="77" spans="1:26" s="24" customFormat="1" hidden="1" outlineLevel="2" x14ac:dyDescent="0.25">
      <c r="A77" s="29"/>
      <c r="B77" s="11" t="str">
        <f>CONCATENATE("          ", "6309", " - ", "TELEPHONE")</f>
        <v xml:space="preserve">          6309 - TELEPHONE</v>
      </c>
      <c r="C77" s="11"/>
      <c r="D77" s="7">
        <v>88.65</v>
      </c>
      <c r="E77" s="2"/>
      <c r="F77" s="6">
        <f t="shared" si="36"/>
        <v>1.3124058998307864E-2</v>
      </c>
      <c r="G77" s="2"/>
      <c r="H77" s="7"/>
      <c r="I77" s="2"/>
      <c r="J77" s="6">
        <f t="shared" si="37"/>
        <v>0</v>
      </c>
      <c r="K77" s="2"/>
      <c r="L77" s="7">
        <f t="shared" si="38"/>
        <v>88.65</v>
      </c>
      <c r="M77" s="2"/>
      <c r="N77" s="6">
        <f t="shared" si="39"/>
        <v>0</v>
      </c>
      <c r="O77" s="11"/>
      <c r="P77" s="7">
        <v>88.65</v>
      </c>
      <c r="Q77" s="2"/>
      <c r="R77" s="6">
        <f t="shared" si="40"/>
        <v>1.3124058998307864E-2</v>
      </c>
      <c r="S77" s="2"/>
      <c r="T77" s="7"/>
      <c r="U77" s="2"/>
      <c r="V77" s="6">
        <f t="shared" si="41"/>
        <v>0</v>
      </c>
      <c r="W77" s="2"/>
      <c r="X77" s="7">
        <f t="shared" si="42"/>
        <v>88.65</v>
      </c>
      <c r="Y77" s="2"/>
      <c r="Z77" s="6">
        <f t="shared" si="43"/>
        <v>0</v>
      </c>
    </row>
    <row r="78" spans="1:26" s="57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collapsed="1" x14ac:dyDescent="0.25">
      <c r="A79" s="10"/>
      <c r="B79" s="25" t="s">
        <v>0</v>
      </c>
      <c r="C79" s="10"/>
      <c r="D79" s="4">
        <f>SUM(OSRRefD25x_0)</f>
        <v>13269</v>
      </c>
      <c r="E79" s="4"/>
      <c r="F79" s="12">
        <f t="shared" ref="F79:F81" si="44">IF(D$12=0,0,D79/D$12)</f>
        <v>1.9643896091206661</v>
      </c>
      <c r="G79" s="4"/>
      <c r="H79" s="4">
        <f>SUM(OSRRefH25x_0)</f>
        <v>12250</v>
      </c>
      <c r="I79" s="4"/>
      <c r="J79" s="12">
        <f t="shared" ref="J79:J81" si="45">IF(H$12=0,0,H79/H$12)</f>
        <v>1.0745614035087718</v>
      </c>
      <c r="K79" s="4"/>
      <c r="L79" s="4">
        <f t="shared" ref="L79:L81" si="46">+D79-H79</f>
        <v>1019</v>
      </c>
      <c r="M79" s="4"/>
      <c r="N79" s="12">
        <f t="shared" ref="N79:N81" si="47">IF(H79=0,0,L79/H79)</f>
        <v>8.3183673469387751E-2</v>
      </c>
      <c r="O79" s="10"/>
      <c r="P79" s="4">
        <f>SUM(OSRRefP25x_0)</f>
        <v>13269</v>
      </c>
      <c r="Q79" s="4"/>
      <c r="R79" s="12">
        <f t="shared" ref="R79:R81" si="48">IF(P$12=0,0,P79/P$12)</f>
        <v>1.9643896091206661</v>
      </c>
      <c r="S79" s="4"/>
      <c r="T79" s="4">
        <f>SUM(OSRRefT25x_0)</f>
        <v>12250</v>
      </c>
      <c r="U79" s="4"/>
      <c r="V79" s="12">
        <f t="shared" ref="V79:V81" si="49">IF(T$12=0,0,T79/T$12)</f>
        <v>1.0745614035087718</v>
      </c>
      <c r="W79" s="4"/>
      <c r="X79" s="4">
        <f t="shared" ref="X79:X81" si="50">+P79-T79</f>
        <v>1019</v>
      </c>
      <c r="Y79" s="4"/>
      <c r="Z79" s="12">
        <f t="shared" ref="Z79:Z81" si="51">IF(T79=0,0,X79/T79)</f>
        <v>8.3183673469387751E-2</v>
      </c>
    </row>
    <row r="80" spans="1:26" s="24" customFormat="1" hidden="1" outlineLevel="1" x14ac:dyDescent="0.25">
      <c r="A80" s="51"/>
      <c r="B80" s="11" t="str">
        <f>CONCATENATE("          ", "9150", " - ", "MISC. INCOME")</f>
        <v xml:space="preserve">          9150 - MISC. INCOME</v>
      </c>
      <c r="C80" s="11"/>
      <c r="D80" s="2">
        <f>--13269</f>
        <v>13269</v>
      </c>
      <c r="E80" s="2"/>
      <c r="F80" s="22">
        <f t="shared" si="44"/>
        <v>1.9643896091206661</v>
      </c>
      <c r="G80" s="2"/>
      <c r="H80" s="2"/>
      <c r="I80" s="2"/>
      <c r="J80" s="22">
        <f t="shared" si="45"/>
        <v>0</v>
      </c>
      <c r="K80" s="2"/>
      <c r="L80" s="2">
        <f t="shared" si="46"/>
        <v>13269</v>
      </c>
      <c r="M80" s="2"/>
      <c r="N80" s="22">
        <f t="shared" si="47"/>
        <v>0</v>
      </c>
      <c r="O80" s="11"/>
      <c r="P80" s="2">
        <f>--13269</f>
        <v>13269</v>
      </c>
      <c r="Q80" s="2"/>
      <c r="R80" s="22">
        <f t="shared" si="48"/>
        <v>1.9643896091206661</v>
      </c>
      <c r="S80" s="2"/>
      <c r="T80" s="2"/>
      <c r="U80" s="2"/>
      <c r="V80" s="22">
        <f t="shared" si="49"/>
        <v>0</v>
      </c>
      <c r="W80" s="2"/>
      <c r="X80" s="2">
        <f t="shared" si="50"/>
        <v>13269</v>
      </c>
      <c r="Y80" s="2"/>
      <c r="Z80" s="22">
        <f t="shared" si="51"/>
        <v>0</v>
      </c>
    </row>
    <row r="81" spans="1:26" s="24" customFormat="1" hidden="1" outlineLevel="1" x14ac:dyDescent="0.25">
      <c r="A81" s="51"/>
      <c r="B81" s="11" t="str">
        <f>CONCATENATE("          ", "9151", " - ", "MISC. INCOME")</f>
        <v xml:space="preserve">          9151 - MISC. INCOME</v>
      </c>
      <c r="C81" s="11"/>
      <c r="D81" s="2">
        <f>0</f>
        <v>0</v>
      </c>
      <c r="E81" s="2"/>
      <c r="F81" s="22">
        <f t="shared" si="44"/>
        <v>0</v>
      </c>
      <c r="G81" s="2"/>
      <c r="H81" s="2">
        <v>12250</v>
      </c>
      <c r="I81" s="2"/>
      <c r="J81" s="22">
        <f t="shared" si="45"/>
        <v>1.0745614035087718</v>
      </c>
      <c r="K81" s="2"/>
      <c r="L81" s="2">
        <f t="shared" si="46"/>
        <v>-12250</v>
      </c>
      <c r="M81" s="2"/>
      <c r="N81" s="22">
        <f t="shared" si="47"/>
        <v>-1</v>
      </c>
      <c r="O81" s="11"/>
      <c r="P81" s="2">
        <f>0</f>
        <v>0</v>
      </c>
      <c r="Q81" s="2"/>
      <c r="R81" s="22">
        <f t="shared" si="48"/>
        <v>0</v>
      </c>
      <c r="S81" s="2"/>
      <c r="T81" s="2">
        <v>12250</v>
      </c>
      <c r="U81" s="2"/>
      <c r="V81" s="22">
        <f t="shared" si="49"/>
        <v>1.0745614035087718</v>
      </c>
      <c r="W81" s="2"/>
      <c r="X81" s="2">
        <f t="shared" si="50"/>
        <v>-12250</v>
      </c>
      <c r="Y81" s="2"/>
      <c r="Z81" s="22">
        <f t="shared" si="51"/>
        <v>-1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6" t="s">
        <v>3</v>
      </c>
      <c r="C83" s="26"/>
      <c r="D83" s="21">
        <f>+D28-D30+D79</f>
        <v>-13893.170000000002</v>
      </c>
      <c r="E83" s="13"/>
      <c r="F83" s="19">
        <f>IF(D$12=0,0,D83/D$12)</f>
        <v>-2.056793939690027</v>
      </c>
      <c r="G83" s="13"/>
      <c r="H83" s="21">
        <f>+H28-H30+H79</f>
        <v>-26107.894397819327</v>
      </c>
      <c r="I83" s="13"/>
      <c r="J83" s="19">
        <f>IF(H$12=0,0,H83/H$12)</f>
        <v>-2.2901661752473093</v>
      </c>
      <c r="K83" s="15"/>
      <c r="L83" s="21">
        <f>+D83-H83</f>
        <v>12214.724397819326</v>
      </c>
      <c r="M83" s="15"/>
      <c r="N83" s="19">
        <f>IF(H83=0,0,L83/H83)</f>
        <v>-0.46785559232381319</v>
      </c>
      <c r="O83" s="25"/>
      <c r="P83" s="21">
        <f>+P28-P30+P79</f>
        <v>-13893.170000000002</v>
      </c>
      <c r="Q83" s="13"/>
      <c r="R83" s="19">
        <f>IF(P$12=0,0,P83/P$12)</f>
        <v>-2.056793939690027</v>
      </c>
      <c r="S83" s="13"/>
      <c r="T83" s="21">
        <f>+T28-T30+T79</f>
        <v>-26107.894397819327</v>
      </c>
      <c r="U83" s="13"/>
      <c r="V83" s="19">
        <f>IF(T$12=0,0,T83/T$12)</f>
        <v>-2.2901661752473093</v>
      </c>
      <c r="W83" s="15"/>
      <c r="X83" s="21">
        <f>+P83-T83</f>
        <v>12214.724397819326</v>
      </c>
      <c r="Y83" s="15"/>
      <c r="Z83" s="19">
        <f>IF(T83=0,0,X83/T83)</f>
        <v>-0.46785559232381319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14</v>
      </c>
      <c r="C85" s="10"/>
      <c r="D85" s="4">
        <v>1404.52</v>
      </c>
      <c r="E85" s="4"/>
      <c r="F85" s="12">
        <f>IF(D$12=0,0,D85/D$12)</f>
        <v>0.20793009976653537</v>
      </c>
      <c r="G85" s="4"/>
      <c r="H85" s="4">
        <v>2778</v>
      </c>
      <c r="I85" s="4"/>
      <c r="J85" s="12">
        <f>IF(H$12=0,0,H85/H$12)</f>
        <v>0.24368421052631578</v>
      </c>
      <c r="K85" s="4"/>
      <c r="L85" s="4">
        <f>+D85-H85</f>
        <v>-1373.48</v>
      </c>
      <c r="M85" s="4"/>
      <c r="N85" s="12">
        <f>IF(H85=0,0,L85/H85)</f>
        <v>-0.4944132469402448</v>
      </c>
      <c r="O85" s="10"/>
      <c r="P85" s="4">
        <v>1404.52</v>
      </c>
      <c r="Q85" s="4"/>
      <c r="R85" s="12">
        <f>IF(P$12=0,0,P85/P$12)</f>
        <v>0.20793009976653537</v>
      </c>
      <c r="S85" s="4"/>
      <c r="T85" s="4">
        <v>2778</v>
      </c>
      <c r="U85" s="4"/>
      <c r="V85" s="12">
        <f>IF(T$12=0,0,T85/T$12)</f>
        <v>0.24368421052631578</v>
      </c>
      <c r="W85" s="4"/>
      <c r="X85" s="4">
        <f>+P85-T85</f>
        <v>-1373.48</v>
      </c>
      <c r="Y85" s="4"/>
      <c r="Z85" s="12">
        <f>IF(T85=0,0,X85/T85)</f>
        <v>-0.4944132469402448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4</v>
      </c>
      <c r="C87" s="26"/>
      <c r="D87" s="32">
        <f>+D83-D85</f>
        <v>-15297.690000000002</v>
      </c>
      <c r="E87" s="13"/>
      <c r="F87" s="31">
        <f>IF(D$12=0,0,D87/D$12)</f>
        <v>-2.2647240394565622</v>
      </c>
      <c r="G87" s="13"/>
      <c r="H87" s="32">
        <f>+H83-H85</f>
        <v>-28885.894397819327</v>
      </c>
      <c r="I87" s="13"/>
      <c r="J87" s="31">
        <f>IF(H$12=0,0,H87/H$12)</f>
        <v>-2.5338503857736252</v>
      </c>
      <c r="K87" s="15"/>
      <c r="L87" s="32">
        <f>D87-H87</f>
        <v>13588.204397819325</v>
      </c>
      <c r="M87" s="15"/>
      <c r="N87" s="31">
        <f>IF(H87=0,0,L87/H87)</f>
        <v>-0.47040968199499944</v>
      </c>
      <c r="O87" s="25"/>
      <c r="P87" s="32">
        <f>+P83-P85</f>
        <v>-15297.690000000002</v>
      </c>
      <c r="Q87" s="13"/>
      <c r="R87" s="31">
        <f>IF(P$12=0,0,P87/P$12)</f>
        <v>-2.2647240394565622</v>
      </c>
      <c r="S87" s="13"/>
      <c r="T87" s="32">
        <f>+T83-T85</f>
        <v>-28885.894397819327</v>
      </c>
      <c r="U87" s="13"/>
      <c r="V87" s="31">
        <f>IF(T$12=0,0,T87/T$12)</f>
        <v>-2.5338503857736252</v>
      </c>
      <c r="W87" s="15"/>
      <c r="X87" s="32">
        <f>P87-T87</f>
        <v>13588.204397819325</v>
      </c>
      <c r="Y87" s="15"/>
      <c r="Z87" s="31">
        <f>IF(T87=0,0,X87/T87)</f>
        <v>-0.47040968199499944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5</v>
      </c>
      <c r="C90" s="26"/>
      <c r="D90" s="33">
        <f>SUM(D87:D89)</f>
        <v>-15297.690000000002</v>
      </c>
      <c r="E90" s="13"/>
      <c r="F90" s="34">
        <f>IF(D$12=0,0,D90/D$12)</f>
        <v>-2.2647240394565622</v>
      </c>
      <c r="G90" s="13"/>
      <c r="H90" s="33">
        <f>SUM(H87:H89)</f>
        <v>-28885.894397819327</v>
      </c>
      <c r="I90" s="13"/>
      <c r="J90" s="34">
        <f>IF(H$12=0,0,H90/H$12)</f>
        <v>-2.5338503857736252</v>
      </c>
      <c r="K90" s="15"/>
      <c r="L90" s="33">
        <f>+D90-H90</f>
        <v>13588.204397819325</v>
      </c>
      <c r="M90" s="15"/>
      <c r="N90" s="34">
        <f>IF(H90=0,0,L90/H90)</f>
        <v>-0.47040968199499944</v>
      </c>
      <c r="O90" s="25"/>
      <c r="P90" s="33">
        <f>SUM(P87:P89)</f>
        <v>-15297.690000000002</v>
      </c>
      <c r="Q90" s="13"/>
      <c r="R90" s="34">
        <f>IF(P$12=0,0,P90/P$12)</f>
        <v>-2.2647240394565622</v>
      </c>
      <c r="S90" s="13"/>
      <c r="T90" s="33">
        <f>SUM(T87:T89)</f>
        <v>-28885.894397819327</v>
      </c>
      <c r="U90" s="13"/>
      <c r="V90" s="34">
        <f>IF(T$12=0,0,T90/T$12)</f>
        <v>-2.5338503857736252</v>
      </c>
      <c r="W90" s="15"/>
      <c r="X90" s="33">
        <f>+P90-T90</f>
        <v>13588.204397819325</v>
      </c>
      <c r="Y90" s="15"/>
      <c r="Z90" s="34">
        <f>IF(T90=0,0,X90/T90)</f>
        <v>-0.47040968199499944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61">
        <v>43726.678737696762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6" t="s">
        <v>314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3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","320", " - ", "Customer Service (old)")</f>
        <v>Department 320 - Customer Service (old)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2154.3200000000002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2154.3200000000002</v>
      </c>
      <c r="M12" s="4"/>
      <c r="N12" s="12">
        <f t="shared" ref="N12:N15" si="1">IF(H12=0,0,L12/H12)</f>
        <v>0</v>
      </c>
      <c r="O12" s="10"/>
      <c r="P12" s="4">
        <f>SUM(OSRRefP13x_0)</f>
        <v>2154.3200000000002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2154.3200000000002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51"/>
      <c r="B13" s="11" t="str">
        <f>CONCATENATE("          ", "4092", " - ", "TAXABLE SALES-GRAD MERCH")</f>
        <v xml:space="preserve">          4092 - TAXABLE SALES-GRAD MERCH</v>
      </c>
      <c r="C13" s="11"/>
      <c r="D13" s="2">
        <f>--2128.63</f>
        <v>2128.63</v>
      </c>
      <c r="E13" s="2"/>
      <c r="F13" s="22"/>
      <c r="G13" s="2"/>
      <c r="H13" s="2"/>
      <c r="I13" s="2"/>
      <c r="J13" s="22"/>
      <c r="K13" s="2"/>
      <c r="L13" s="2">
        <f t="shared" si="0"/>
        <v>2128.63</v>
      </c>
      <c r="M13" s="2"/>
      <c r="N13" s="22">
        <f t="shared" si="1"/>
        <v>0</v>
      </c>
      <c r="O13" s="11"/>
      <c r="P13" s="2">
        <f>--2128.63</f>
        <v>2128.63</v>
      </c>
      <c r="Q13" s="2"/>
      <c r="R13" s="22"/>
      <c r="S13" s="2"/>
      <c r="T13" s="2"/>
      <c r="U13" s="2"/>
      <c r="V13" s="22"/>
      <c r="W13" s="2"/>
      <c r="X13" s="2">
        <f t="shared" si="2"/>
        <v>2128.63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--35.64</f>
        <v>35.64</v>
      </c>
      <c r="E14" s="2"/>
      <c r="F14" s="22"/>
      <c r="G14" s="2"/>
      <c r="H14" s="2"/>
      <c r="I14" s="2"/>
      <c r="J14" s="22"/>
      <c r="K14" s="2"/>
      <c r="L14" s="2">
        <f t="shared" si="0"/>
        <v>35.64</v>
      </c>
      <c r="M14" s="2"/>
      <c r="N14" s="22">
        <f t="shared" si="1"/>
        <v>0</v>
      </c>
      <c r="O14" s="11"/>
      <c r="P14" s="2">
        <f>--35.64</f>
        <v>35.64</v>
      </c>
      <c r="Q14" s="2"/>
      <c r="R14" s="22"/>
      <c r="S14" s="2"/>
      <c r="T14" s="2"/>
      <c r="U14" s="2"/>
      <c r="V14" s="22"/>
      <c r="W14" s="2"/>
      <c r="X14" s="2">
        <f t="shared" si="2"/>
        <v>35.64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>-9.95</f>
        <v>-9.9499999999999993</v>
      </c>
      <c r="E15" s="2"/>
      <c r="F15" s="22"/>
      <c r="G15" s="2"/>
      <c r="H15" s="2"/>
      <c r="I15" s="2"/>
      <c r="J15" s="22"/>
      <c r="K15" s="2"/>
      <c r="L15" s="2">
        <f t="shared" si="0"/>
        <v>-9.9499999999999993</v>
      </c>
      <c r="M15" s="2"/>
      <c r="N15" s="22">
        <f t="shared" si="1"/>
        <v>0</v>
      </c>
      <c r="O15" s="11"/>
      <c r="P15" s="2">
        <f>-9.95</f>
        <v>-9.9499999999999993</v>
      </c>
      <c r="Q15" s="2"/>
      <c r="R15" s="22"/>
      <c r="S15" s="2"/>
      <c r="T15" s="2"/>
      <c r="U15" s="2"/>
      <c r="V15" s="22"/>
      <c r="W15" s="2"/>
      <c r="X15" s="2">
        <f t="shared" si="2"/>
        <v>-9.9499999999999993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1044.4499999999998</v>
      </c>
      <c r="E17" s="4"/>
      <c r="F17" s="12">
        <f t="shared" ref="F17:F21" si="4">IF(D$12=0,0,D17/D$12)</f>
        <v>0.48481655464369255</v>
      </c>
      <c r="G17" s="4"/>
      <c r="H17" s="4">
        <f>SUM(OSRRefH16x_0)</f>
        <v>0</v>
      </c>
      <c r="I17" s="4"/>
      <c r="J17" s="12">
        <f t="shared" ref="J17:J21" si="5">IF(H$12=0,0,H17/H$12)</f>
        <v>0</v>
      </c>
      <c r="K17" s="4"/>
      <c r="L17" s="4">
        <f t="shared" ref="L17:L21" si="6">+D17-H17</f>
        <v>1044.4499999999998</v>
      </c>
      <c r="M17" s="4"/>
      <c r="N17" s="12">
        <f t="shared" ref="N17:N21" si="7">IF(H17=0,0,L17/H17)</f>
        <v>0</v>
      </c>
      <c r="O17" s="10"/>
      <c r="P17" s="4">
        <f>SUM(OSRRefP16x_0)</f>
        <v>1044.4499999999998</v>
      </c>
      <c r="Q17" s="4"/>
      <c r="R17" s="12">
        <f t="shared" ref="R17:R21" si="8">IF(P$12=0,0,P17/P$12)</f>
        <v>0.48481655464369255</v>
      </c>
      <c r="S17" s="4"/>
      <c r="T17" s="4">
        <f>SUM(OSRRefT16x_0)</f>
        <v>0</v>
      </c>
      <c r="U17" s="4"/>
      <c r="V17" s="12">
        <f t="shared" ref="V17:V21" si="9">IF(T$12=0,0,T17/T$12)</f>
        <v>0</v>
      </c>
      <c r="W17" s="4"/>
      <c r="X17" s="4">
        <f t="shared" ref="X17:X21" si="10">+P17-T17</f>
        <v>1044.4499999999998</v>
      </c>
      <c r="Y17" s="4"/>
      <c r="Z17" s="12">
        <f t="shared" ref="Z17:Z21" si="11">IF(T17=0,0,X17/T17)</f>
        <v>0</v>
      </c>
    </row>
    <row r="18" spans="1:26" s="24" customFormat="1" hidden="1" outlineLevel="1" x14ac:dyDescent="0.25">
      <c r="A18" s="51"/>
      <c r="B18" s="11" t="str">
        <f>CONCATENATE("          ", "5092", " - ", "PURCHASES @ COST-GRAD MERCH")</f>
        <v xml:space="preserve">          5092 - PURCHASES @ COST-GRAD MERCH</v>
      </c>
      <c r="C18" s="11"/>
      <c r="D18" s="2">
        <v>1228.5999999999999</v>
      </c>
      <c r="E18" s="2"/>
      <c r="F18" s="22">
        <f t="shared" si="4"/>
        <v>0.57029596345946743</v>
      </c>
      <c r="G18" s="2"/>
      <c r="H18" s="2"/>
      <c r="I18" s="2"/>
      <c r="J18" s="22">
        <f t="shared" si="5"/>
        <v>0</v>
      </c>
      <c r="K18" s="2"/>
      <c r="L18" s="2">
        <f t="shared" si="6"/>
        <v>1228.5999999999999</v>
      </c>
      <c r="M18" s="2"/>
      <c r="N18" s="22">
        <f t="shared" si="7"/>
        <v>0</v>
      </c>
      <c r="O18" s="11"/>
      <c r="P18" s="2">
        <v>1228.5999999999999</v>
      </c>
      <c r="Q18" s="2"/>
      <c r="R18" s="22">
        <f t="shared" si="8"/>
        <v>0.57029596345946743</v>
      </c>
      <c r="S18" s="2"/>
      <c r="T18" s="2"/>
      <c r="U18" s="2"/>
      <c r="V18" s="22">
        <f t="shared" si="9"/>
        <v>0</v>
      </c>
      <c r="W18" s="2"/>
      <c r="X18" s="2">
        <f t="shared" si="10"/>
        <v>1228.5999999999999</v>
      </c>
      <c r="Y18" s="2"/>
      <c r="Z18" s="22">
        <f t="shared" si="11"/>
        <v>0</v>
      </c>
    </row>
    <row r="19" spans="1:26" s="24" customFormat="1" hidden="1" outlineLevel="1" x14ac:dyDescent="0.25">
      <c r="A19" s="51"/>
      <c r="B19" s="11" t="str">
        <f>CONCATENATE("          ", "5095", " - ", "PURCHASES @ COST-CUSTOMER SERV")</f>
        <v xml:space="preserve">          5095 - PURCHASES @ COST-CUSTOMER SERV</v>
      </c>
      <c r="C19" s="11"/>
      <c r="D19" s="2">
        <v>11.85</v>
      </c>
      <c r="E19" s="2"/>
      <c r="F19" s="22">
        <f t="shared" si="4"/>
        <v>5.5005755876564293E-3</v>
      </c>
      <c r="G19" s="2"/>
      <c r="H19" s="2"/>
      <c r="I19" s="2"/>
      <c r="J19" s="22">
        <f t="shared" si="5"/>
        <v>0</v>
      </c>
      <c r="K19" s="2"/>
      <c r="L19" s="2">
        <f t="shared" si="6"/>
        <v>11.85</v>
      </c>
      <c r="M19" s="2"/>
      <c r="N19" s="22">
        <f t="shared" si="7"/>
        <v>0</v>
      </c>
      <c r="O19" s="11"/>
      <c r="P19" s="2">
        <v>11.85</v>
      </c>
      <c r="Q19" s="2"/>
      <c r="R19" s="22">
        <f t="shared" si="8"/>
        <v>5.5005755876564293E-3</v>
      </c>
      <c r="S19" s="2"/>
      <c r="T19" s="2"/>
      <c r="U19" s="2"/>
      <c r="V19" s="22">
        <f t="shared" si="9"/>
        <v>0</v>
      </c>
      <c r="W19" s="2"/>
      <c r="X19" s="2">
        <f t="shared" si="10"/>
        <v>11.85</v>
      </c>
      <c r="Y19" s="2"/>
      <c r="Z19" s="22">
        <f t="shared" si="11"/>
        <v>0</v>
      </c>
    </row>
    <row r="20" spans="1:26" s="24" customFormat="1" hidden="1" outlineLevel="1" x14ac:dyDescent="0.25">
      <c r="A20" s="51"/>
      <c r="B20" s="11" t="str">
        <f>CONCATENATE("          ", "5200", " - ", "PURCHASES OFFSET")</f>
        <v xml:space="preserve">          5200 - PURCHASES OFFSET</v>
      </c>
      <c r="C20" s="11"/>
      <c r="D20" s="2">
        <v>-1241</v>
      </c>
      <c r="E20" s="2"/>
      <c r="F20" s="22">
        <f t="shared" si="4"/>
        <v>-0.57605184002376619</v>
      </c>
      <c r="G20" s="2"/>
      <c r="H20" s="2"/>
      <c r="I20" s="2"/>
      <c r="J20" s="22">
        <f t="shared" si="5"/>
        <v>0</v>
      </c>
      <c r="K20" s="2"/>
      <c r="L20" s="2">
        <f t="shared" si="6"/>
        <v>-1241</v>
      </c>
      <c r="M20" s="2"/>
      <c r="N20" s="22">
        <f t="shared" si="7"/>
        <v>0</v>
      </c>
      <c r="O20" s="11"/>
      <c r="P20" s="2">
        <v>-1241</v>
      </c>
      <c r="Q20" s="2"/>
      <c r="R20" s="22">
        <f t="shared" si="8"/>
        <v>-0.57605184002376619</v>
      </c>
      <c r="S20" s="2"/>
      <c r="T20" s="2"/>
      <c r="U20" s="2"/>
      <c r="V20" s="22">
        <f t="shared" si="9"/>
        <v>0</v>
      </c>
      <c r="W20" s="2"/>
      <c r="X20" s="2">
        <f t="shared" si="10"/>
        <v>-1241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"5300", " - ", "COG$ OFFSET")</f>
        <v xml:space="preserve">          5300 - COG$ OFFSET</v>
      </c>
      <c r="C21" s="11"/>
      <c r="D21" s="2">
        <v>1045</v>
      </c>
      <c r="E21" s="2"/>
      <c r="F21" s="22">
        <f t="shared" si="4"/>
        <v>0.48507185562033489</v>
      </c>
      <c r="G21" s="2"/>
      <c r="H21" s="2"/>
      <c r="I21" s="2"/>
      <c r="J21" s="22">
        <f t="shared" si="5"/>
        <v>0</v>
      </c>
      <c r="K21" s="2"/>
      <c r="L21" s="2">
        <f t="shared" si="6"/>
        <v>1045</v>
      </c>
      <c r="M21" s="2"/>
      <c r="N21" s="22">
        <f t="shared" si="7"/>
        <v>0</v>
      </c>
      <c r="O21" s="11"/>
      <c r="P21" s="2">
        <v>1045</v>
      </c>
      <c r="Q21" s="2"/>
      <c r="R21" s="22">
        <f t="shared" si="8"/>
        <v>0.48507185562033489</v>
      </c>
      <c r="S21" s="2"/>
      <c r="T21" s="2"/>
      <c r="U21" s="2"/>
      <c r="V21" s="22">
        <f t="shared" si="9"/>
        <v>0</v>
      </c>
      <c r="W21" s="2"/>
      <c r="X21" s="2">
        <f t="shared" si="10"/>
        <v>1045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1">
        <f>D12-D17</f>
        <v>1109.8700000000003</v>
      </c>
      <c r="E23" s="13"/>
      <c r="F23" s="19">
        <f>IF(D$12=0,0,D23/D$12)</f>
        <v>0.51518344535630745</v>
      </c>
      <c r="G23" s="13"/>
      <c r="H23" s="21">
        <f>H12-H17</f>
        <v>0</v>
      </c>
      <c r="I23" s="13"/>
      <c r="J23" s="19">
        <f>IF(H$12=0,0,H23/H$12)</f>
        <v>0</v>
      </c>
      <c r="K23" s="15"/>
      <c r="L23" s="21">
        <f>+D23-H23</f>
        <v>1109.8700000000003</v>
      </c>
      <c r="M23" s="15"/>
      <c r="N23" s="19">
        <f>IF(H23=0,0,L23/H23)</f>
        <v>0</v>
      </c>
      <c r="O23" s="25"/>
      <c r="P23" s="21">
        <f>P12-P17</f>
        <v>1109.8700000000003</v>
      </c>
      <c r="Q23" s="13"/>
      <c r="R23" s="19">
        <f>IF(P$12=0,0,P23/P$12)</f>
        <v>0.51518344535630745</v>
      </c>
      <c r="S23" s="13"/>
      <c r="T23" s="21">
        <f>T12-T17</f>
        <v>0</v>
      </c>
      <c r="U23" s="13"/>
      <c r="V23" s="19">
        <f>IF(T$12=0,0,T23/T$12)</f>
        <v>0</v>
      </c>
      <c r="W23" s="15"/>
      <c r="X23" s="21">
        <f>+P23-T23</f>
        <v>1109.8700000000003</v>
      </c>
      <c r="Y23" s="15"/>
      <c r="Z23" s="19">
        <f>IF(T23=0,0,X23/T23)</f>
        <v>0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0">
        <f>SUM(OSRRefD22x_0)</f>
        <v>826.42000000000007</v>
      </c>
      <c r="E25" s="20"/>
      <c r="F25" s="30">
        <f t="shared" ref="F25:F34" si="12">IF(D$12=0,0,D25/D$12)</f>
        <v>0.38361060566675331</v>
      </c>
      <c r="G25" s="20"/>
      <c r="H25" s="20">
        <f>SUM(OSRRefH22x_0)</f>
        <v>3415.7582401442332</v>
      </c>
      <c r="I25" s="20"/>
      <c r="J25" s="30">
        <f t="shared" ref="J25:J34" si="13">IF(H$12=0,0,H25/H$12)</f>
        <v>0</v>
      </c>
      <c r="K25" s="4"/>
      <c r="L25" s="20">
        <f t="shared" ref="L25:L34" si="14">+D25-H25</f>
        <v>-2589.3382401442332</v>
      </c>
      <c r="M25" s="4"/>
      <c r="N25" s="30">
        <f t="shared" ref="N25:N34" si="15">IF(H25=0,0,L25/H25)</f>
        <v>-0.75805664748536072</v>
      </c>
      <c r="O25" s="10"/>
      <c r="P25" s="20">
        <f>SUM(OSRRefP22x_0)</f>
        <v>826.42000000000007</v>
      </c>
      <c r="Q25" s="20"/>
      <c r="R25" s="30">
        <f t="shared" ref="R25:R34" si="16">IF(P$12=0,0,P25/P$12)</f>
        <v>0.38361060566675331</v>
      </c>
      <c r="S25" s="20"/>
      <c r="T25" s="20">
        <f>SUM(OSRRefT22x_0)</f>
        <v>3415.7582401442332</v>
      </c>
      <c r="U25" s="20"/>
      <c r="V25" s="30">
        <f t="shared" ref="V25:V34" si="17">IF(T$12=0,0,T25/T$12)</f>
        <v>0</v>
      </c>
      <c r="W25" s="4"/>
      <c r="X25" s="20">
        <f t="shared" ref="X25:X34" si="18">+P25-T25</f>
        <v>-2589.3382401442332</v>
      </c>
      <c r="Y25" s="4"/>
      <c r="Z25" s="30">
        <f t="shared" ref="Z25:Z34" si="19">IF(T25=0,0,X25/T25)</f>
        <v>-0.75805664748536072</v>
      </c>
    </row>
    <row r="26" spans="1:26" s="27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413.47</v>
      </c>
      <c r="E26" s="1"/>
      <c r="F26" s="5">
        <f t="shared" si="12"/>
        <v>0.19192599056778936</v>
      </c>
      <c r="G26" s="1"/>
      <c r="H26" s="1">
        <f>SUM(OSRRefH22_0x_0)</f>
        <v>1308.1534324519228</v>
      </c>
      <c r="I26" s="1"/>
      <c r="J26" s="5">
        <f t="shared" si="13"/>
        <v>0</v>
      </c>
      <c r="K26" s="1"/>
      <c r="L26" s="1">
        <f t="shared" si="14"/>
        <v>-894.68343245192273</v>
      </c>
      <c r="M26" s="1"/>
      <c r="N26" s="5">
        <f t="shared" si="15"/>
        <v>-0.68392851347336436</v>
      </c>
      <c r="O26" s="14"/>
      <c r="P26" s="1">
        <f>SUM(OSRRefP22_0x_0)</f>
        <v>413.47</v>
      </c>
      <c r="Q26" s="1"/>
      <c r="R26" s="5">
        <f t="shared" si="16"/>
        <v>0.19192599056778936</v>
      </c>
      <c r="S26" s="1"/>
      <c r="T26" s="1">
        <f>SUM(OSRRefT22_0x_0)</f>
        <v>1308.1534324519228</v>
      </c>
      <c r="U26" s="1"/>
      <c r="V26" s="5">
        <f t="shared" si="17"/>
        <v>0</v>
      </c>
      <c r="W26" s="1"/>
      <c r="X26" s="1">
        <f t="shared" si="18"/>
        <v>-894.68343245192273</v>
      </c>
      <c r="Y26" s="1"/>
      <c r="Z26" s="5">
        <f t="shared" si="19"/>
        <v>-0.68392851347336436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73.44</v>
      </c>
      <c r="E27" s="2"/>
      <c r="F27" s="6">
        <f t="shared" si="12"/>
        <v>3.4089643135653012E-2</v>
      </c>
      <c r="G27" s="2"/>
      <c r="H27" s="7">
        <v>187.79836514423098</v>
      </c>
      <c r="I27" s="2"/>
      <c r="J27" s="6">
        <f t="shared" si="13"/>
        <v>0</v>
      </c>
      <c r="K27" s="2"/>
      <c r="L27" s="7">
        <f t="shared" si="14"/>
        <v>-114.35836514423099</v>
      </c>
      <c r="M27" s="2"/>
      <c r="N27" s="6">
        <f t="shared" si="15"/>
        <v>-0.60894228262531802</v>
      </c>
      <c r="O27" s="11"/>
      <c r="P27" s="7">
        <v>73.44</v>
      </c>
      <c r="Q27" s="2"/>
      <c r="R27" s="6">
        <f t="shared" si="16"/>
        <v>3.4089643135653012E-2</v>
      </c>
      <c r="S27" s="2"/>
      <c r="T27" s="7">
        <v>187.79836514423098</v>
      </c>
      <c r="U27" s="2"/>
      <c r="V27" s="6">
        <f t="shared" si="17"/>
        <v>0</v>
      </c>
      <c r="W27" s="2"/>
      <c r="X27" s="7">
        <f t="shared" si="18"/>
        <v>-114.35836514423099</v>
      </c>
      <c r="Y27" s="2"/>
      <c r="Z27" s="6">
        <f t="shared" si="19"/>
        <v>-0.60894228262531802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18.239999999999998</v>
      </c>
      <c r="E28" s="2"/>
      <c r="F28" s="6">
        <f t="shared" si="12"/>
        <v>8.4667087526458448E-3</v>
      </c>
      <c r="G28" s="2"/>
      <c r="H28" s="7">
        <v>46.624447115384605</v>
      </c>
      <c r="I28" s="2"/>
      <c r="J28" s="6">
        <f t="shared" si="13"/>
        <v>0</v>
      </c>
      <c r="K28" s="2"/>
      <c r="L28" s="7">
        <f t="shared" si="14"/>
        <v>-28.384447115384607</v>
      </c>
      <c r="M28" s="2"/>
      <c r="N28" s="6">
        <f t="shared" si="15"/>
        <v>-0.60878892665771966</v>
      </c>
      <c r="O28" s="11"/>
      <c r="P28" s="7">
        <v>18.239999999999998</v>
      </c>
      <c r="Q28" s="2"/>
      <c r="R28" s="6">
        <f t="shared" si="16"/>
        <v>8.4667087526458448E-3</v>
      </c>
      <c r="S28" s="2"/>
      <c r="T28" s="7">
        <v>46.624447115384605</v>
      </c>
      <c r="U28" s="2"/>
      <c r="V28" s="6">
        <f t="shared" si="17"/>
        <v>0</v>
      </c>
      <c r="W28" s="2"/>
      <c r="X28" s="7">
        <f t="shared" si="18"/>
        <v>-28.384447115384607</v>
      </c>
      <c r="Y28" s="2"/>
      <c r="Z28" s="6">
        <f t="shared" si="19"/>
        <v>-0.60878892665771966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152.63</v>
      </c>
      <c r="E29" s="2"/>
      <c r="F29" s="6">
        <f t="shared" si="12"/>
        <v>7.0848341936202597E-2</v>
      </c>
      <c r="G29" s="2"/>
      <c r="H29" s="7">
        <v>660</v>
      </c>
      <c r="I29" s="2"/>
      <c r="J29" s="6">
        <f t="shared" si="13"/>
        <v>0</v>
      </c>
      <c r="K29" s="2"/>
      <c r="L29" s="7">
        <f t="shared" si="14"/>
        <v>-507.37</v>
      </c>
      <c r="M29" s="2"/>
      <c r="N29" s="6">
        <f t="shared" si="15"/>
        <v>-0.76874242424242423</v>
      </c>
      <c r="O29" s="11"/>
      <c r="P29" s="7">
        <v>152.63</v>
      </c>
      <c r="Q29" s="2"/>
      <c r="R29" s="6">
        <f t="shared" si="16"/>
        <v>7.0848341936202597E-2</v>
      </c>
      <c r="S29" s="2"/>
      <c r="T29" s="7">
        <v>660</v>
      </c>
      <c r="U29" s="2"/>
      <c r="V29" s="6">
        <f t="shared" si="17"/>
        <v>0</v>
      </c>
      <c r="W29" s="2"/>
      <c r="X29" s="7">
        <f t="shared" si="18"/>
        <v>-507.37</v>
      </c>
      <c r="Y29" s="2"/>
      <c r="Z29" s="6">
        <f t="shared" si="19"/>
        <v>-0.76874242424242423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2.5</v>
      </c>
      <c r="E30" s="2"/>
      <c r="F30" s="6">
        <f t="shared" si="12"/>
        <v>1.1604589847376433E-3</v>
      </c>
      <c r="G30" s="2"/>
      <c r="H30" s="7">
        <v>6.3801874999999999</v>
      </c>
      <c r="I30" s="2"/>
      <c r="J30" s="6">
        <f t="shared" si="13"/>
        <v>0</v>
      </c>
      <c r="K30" s="2"/>
      <c r="L30" s="7">
        <f t="shared" si="14"/>
        <v>-3.8801874999999999</v>
      </c>
      <c r="M30" s="2"/>
      <c r="N30" s="6">
        <f t="shared" si="15"/>
        <v>-0.60816198583505576</v>
      </c>
      <c r="O30" s="11"/>
      <c r="P30" s="7">
        <v>2.5</v>
      </c>
      <c r="Q30" s="2"/>
      <c r="R30" s="6">
        <f t="shared" si="16"/>
        <v>1.1604589847376433E-3</v>
      </c>
      <c r="S30" s="2"/>
      <c r="T30" s="7">
        <v>6.3801874999999999</v>
      </c>
      <c r="U30" s="2"/>
      <c r="V30" s="6">
        <f t="shared" si="17"/>
        <v>0</v>
      </c>
      <c r="W30" s="2"/>
      <c r="X30" s="7">
        <f t="shared" si="18"/>
        <v>-3.8801874999999999</v>
      </c>
      <c r="Y30" s="2"/>
      <c r="Z30" s="6">
        <f t="shared" si="19"/>
        <v>-0.60816198583505576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67.06</v>
      </c>
      <c r="E31" s="2"/>
      <c r="F31" s="6">
        <f t="shared" si="12"/>
        <v>3.1128151806602545E-2</v>
      </c>
      <c r="G31" s="2"/>
      <c r="H31" s="7">
        <v>211.036971153846</v>
      </c>
      <c r="I31" s="2"/>
      <c r="J31" s="6">
        <f t="shared" si="13"/>
        <v>0</v>
      </c>
      <c r="K31" s="2"/>
      <c r="L31" s="7">
        <f t="shared" si="14"/>
        <v>-143.97697115384599</v>
      </c>
      <c r="M31" s="2"/>
      <c r="N31" s="6">
        <f t="shared" si="15"/>
        <v>-0.68223577303375316</v>
      </c>
      <c r="O31" s="11"/>
      <c r="P31" s="7">
        <v>67.06</v>
      </c>
      <c r="Q31" s="2"/>
      <c r="R31" s="6">
        <f t="shared" si="16"/>
        <v>3.1128151806602545E-2</v>
      </c>
      <c r="S31" s="2"/>
      <c r="T31" s="7">
        <v>211.036971153846</v>
      </c>
      <c r="U31" s="2"/>
      <c r="V31" s="6">
        <f t="shared" si="17"/>
        <v>0</v>
      </c>
      <c r="W31" s="2"/>
      <c r="X31" s="7">
        <f t="shared" si="18"/>
        <v>-143.97697115384599</v>
      </c>
      <c r="Y31" s="2"/>
      <c r="Z31" s="6">
        <f t="shared" si="19"/>
        <v>-0.68223577303375316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55.32</v>
      </c>
      <c r="E33" s="2"/>
      <c r="F33" s="6">
        <f t="shared" si="12"/>
        <v>2.5678636414274571E-2</v>
      </c>
      <c r="G33" s="2"/>
      <c r="H33" s="7">
        <v>122.695913461538</v>
      </c>
      <c r="I33" s="2"/>
      <c r="J33" s="6">
        <f t="shared" si="13"/>
        <v>0</v>
      </c>
      <c r="K33" s="2"/>
      <c r="L33" s="7">
        <f t="shared" si="14"/>
        <v>-67.375913461538005</v>
      </c>
      <c r="M33" s="2"/>
      <c r="N33" s="6">
        <f t="shared" si="15"/>
        <v>-0.54912923797302027</v>
      </c>
      <c r="O33" s="11"/>
      <c r="P33" s="7">
        <v>55.32</v>
      </c>
      <c r="Q33" s="2"/>
      <c r="R33" s="6">
        <f t="shared" si="16"/>
        <v>2.5678636414274571E-2</v>
      </c>
      <c r="S33" s="2"/>
      <c r="T33" s="7">
        <v>122.695913461538</v>
      </c>
      <c r="U33" s="2"/>
      <c r="V33" s="6">
        <f t="shared" si="17"/>
        <v>0</v>
      </c>
      <c r="W33" s="2"/>
      <c r="X33" s="7">
        <f t="shared" si="18"/>
        <v>-67.375913461538005</v>
      </c>
      <c r="Y33" s="2"/>
      <c r="Z33" s="6">
        <f t="shared" si="19"/>
        <v>-0.54912923797302027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44.28</v>
      </c>
      <c r="E34" s="2"/>
      <c r="F34" s="6">
        <f t="shared" si="12"/>
        <v>2.055404953767314E-2</v>
      </c>
      <c r="G34" s="2"/>
      <c r="H34" s="7">
        <v>73.6175480769231</v>
      </c>
      <c r="I34" s="2"/>
      <c r="J34" s="6">
        <f t="shared" si="13"/>
        <v>0</v>
      </c>
      <c r="K34" s="2"/>
      <c r="L34" s="7">
        <f t="shared" si="14"/>
        <v>-29.337548076923099</v>
      </c>
      <c r="M34" s="2"/>
      <c r="N34" s="6">
        <f t="shared" si="15"/>
        <v>-0.3985129747362442</v>
      </c>
      <c r="O34" s="11"/>
      <c r="P34" s="7">
        <v>44.28</v>
      </c>
      <c r="Q34" s="2"/>
      <c r="R34" s="6">
        <f t="shared" si="16"/>
        <v>2.055404953767314E-2</v>
      </c>
      <c r="S34" s="2"/>
      <c r="T34" s="7">
        <v>73.6175480769231</v>
      </c>
      <c r="U34" s="2"/>
      <c r="V34" s="6">
        <f t="shared" si="17"/>
        <v>0</v>
      </c>
      <c r="W34" s="2"/>
      <c r="X34" s="7">
        <f t="shared" si="18"/>
        <v>-29.337548076923099</v>
      </c>
      <c r="Y34" s="2"/>
      <c r="Z34" s="6">
        <f t="shared" si="19"/>
        <v>-0.3985129747362442</v>
      </c>
    </row>
    <row r="35" spans="1:26" s="27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1315</v>
      </c>
      <c r="E35" s="1"/>
      <c r="F35" s="5">
        <f t="shared" ref="F35:F45" si="20">IF(D$12=0,0,D35/D$12)</f>
        <v>0.61040142597200042</v>
      </c>
      <c r="G35" s="1"/>
      <c r="H35" s="1">
        <f>SUM(OSRRefH22_1x_0)</f>
        <v>2257.6048076923103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-942.60480769231026</v>
      </c>
      <c r="M35" s="1"/>
      <c r="N35" s="5">
        <f t="shared" ref="N35:N45" si="23">IF(H35=0,0,L35/H35)</f>
        <v>-0.41752427372611184</v>
      </c>
      <c r="O35" s="14"/>
      <c r="P35" s="1">
        <f>SUM(OSRRefP22_1x_0)</f>
        <v>1315</v>
      </c>
      <c r="Q35" s="1"/>
      <c r="R35" s="5">
        <f t="shared" ref="R35:R45" si="24">IF(P$12=0,0,P35/P$12)</f>
        <v>0.61040142597200042</v>
      </c>
      <c r="S35" s="1"/>
      <c r="T35" s="1">
        <f>SUM(OSRRefT22_1x_0)</f>
        <v>2257.6048076923103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-942.60480769231026</v>
      </c>
      <c r="Y35" s="1"/>
      <c r="Z35" s="5">
        <f t="shared" ref="Z35:Z45" si="27">IF(T35=0,0,X35/T35)</f>
        <v>-0.41752427372611184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1200</v>
      </c>
      <c r="E37" s="2"/>
      <c r="F37" s="6">
        <f t="shared" si="20"/>
        <v>0.55702031267406882</v>
      </c>
      <c r="G37" s="2"/>
      <c r="H37" s="7">
        <v>2257.6048076923103</v>
      </c>
      <c r="I37" s="2"/>
      <c r="J37" s="6">
        <f t="shared" si="21"/>
        <v>0</v>
      </c>
      <c r="K37" s="2"/>
      <c r="L37" s="7">
        <f t="shared" si="22"/>
        <v>-1057.6048076923103</v>
      </c>
      <c r="M37" s="2"/>
      <c r="N37" s="6">
        <f t="shared" si="23"/>
        <v>-0.46846321556755455</v>
      </c>
      <c r="O37" s="11"/>
      <c r="P37" s="7">
        <v>1200</v>
      </c>
      <c r="Q37" s="2"/>
      <c r="R37" s="6">
        <f t="shared" si="24"/>
        <v>0.55702031267406882</v>
      </c>
      <c r="S37" s="2"/>
      <c r="T37" s="7">
        <v>2257.6048076923103</v>
      </c>
      <c r="U37" s="2"/>
      <c r="V37" s="6">
        <f t="shared" si="25"/>
        <v>0</v>
      </c>
      <c r="W37" s="2"/>
      <c r="X37" s="7">
        <f t="shared" si="26"/>
        <v>-1057.6048076923103</v>
      </c>
      <c r="Y37" s="2"/>
      <c r="Z37" s="6">
        <f t="shared" si="27"/>
        <v>-0.46846321556755455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115</v>
      </c>
      <c r="E42" s="2"/>
      <c r="F42" s="6">
        <f t="shared" si="20"/>
        <v>5.3381113297931597E-2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115</v>
      </c>
      <c r="M42" s="2"/>
      <c r="N42" s="6">
        <f t="shared" si="23"/>
        <v>0</v>
      </c>
      <c r="O42" s="11"/>
      <c r="P42" s="7">
        <v>115</v>
      </c>
      <c r="Q42" s="2"/>
      <c r="R42" s="6">
        <f t="shared" si="24"/>
        <v>5.3381113297931597E-2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115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8"/>
      <c r="B46" s="14" t="str">
        <f>CONCATENATE("     ","Discounts and Markdowns                           ")</f>
        <v xml:space="preserve">     Discounts and Markdowns                           </v>
      </c>
      <c r="C46" s="14"/>
      <c r="D46" s="1">
        <f>SUM(OSRRefD22_2x_0)</f>
        <v>5.25</v>
      </c>
      <c r="E46" s="1"/>
      <c r="F46" s="5">
        <f t="shared" ref="F46:F50" si="28">IF(D$12=0,0,D46/D$12)</f>
        <v>2.4369638679490511E-3</v>
      </c>
      <c r="G46" s="1"/>
      <c r="H46" s="1">
        <f>SUM(OSRRefH22_2x_0)</f>
        <v>100</v>
      </c>
      <c r="I46" s="1"/>
      <c r="J46" s="5">
        <f t="shared" ref="J46:J50" si="29">IF(H$12=0,0,H46/H$12)</f>
        <v>0</v>
      </c>
      <c r="K46" s="1"/>
      <c r="L46" s="1">
        <f t="shared" ref="L46:L50" si="30">+D46-H46</f>
        <v>-94.75</v>
      </c>
      <c r="M46" s="1"/>
      <c r="N46" s="5">
        <f t="shared" ref="N46:N50" si="31">IF(H46=0,0,L46/H46)</f>
        <v>-0.94750000000000001</v>
      </c>
      <c r="O46" s="14"/>
      <c r="P46" s="1">
        <f>SUM(OSRRefP22_2x_0)</f>
        <v>5.25</v>
      </c>
      <c r="Q46" s="1"/>
      <c r="R46" s="5">
        <f t="shared" ref="R46:R50" si="32">IF(P$12=0,0,P46/P$12)</f>
        <v>2.4369638679490511E-3</v>
      </c>
      <c r="S46" s="1"/>
      <c r="T46" s="1">
        <f>SUM(OSRRefT22_2x_0)</f>
        <v>100</v>
      </c>
      <c r="U46" s="1"/>
      <c r="V46" s="5">
        <f t="shared" ref="V46:V50" si="33">IF(T$12=0,0,T46/T$12)</f>
        <v>0</v>
      </c>
      <c r="W46" s="1"/>
      <c r="X46" s="1">
        <f t="shared" ref="X46:X50" si="34">+P46-T46</f>
        <v>-94.75</v>
      </c>
      <c r="Y46" s="1"/>
      <c r="Z46" s="5">
        <f t="shared" ref="Z46:Z50" si="35">IF(T46=0,0,X46/T46)</f>
        <v>-0.94750000000000001</v>
      </c>
    </row>
    <row r="47" spans="1:26" s="24" customFormat="1" hidden="1" outlineLevel="2" x14ac:dyDescent="0.25">
      <c r="A47" s="29"/>
      <c r="B47" s="11" t="str">
        <f>CONCATENATE("          ", "6382", " - ", "DISCOUNTS/MARK DOWNS")</f>
        <v xml:space="preserve">          6382 - DISCOUNTS/MARK DOWNS</v>
      </c>
      <c r="C47" s="11"/>
      <c r="D47" s="7">
        <v>5.25</v>
      </c>
      <c r="E47" s="2"/>
      <c r="F47" s="6">
        <f t="shared" si="28"/>
        <v>2.4369638679490511E-3</v>
      </c>
      <c r="G47" s="2"/>
      <c r="H47" s="7">
        <v>100</v>
      </c>
      <c r="I47" s="2"/>
      <c r="J47" s="6">
        <f t="shared" si="29"/>
        <v>0</v>
      </c>
      <c r="K47" s="2"/>
      <c r="L47" s="7">
        <f t="shared" si="30"/>
        <v>-94.75</v>
      </c>
      <c r="M47" s="2"/>
      <c r="N47" s="6">
        <f t="shared" si="31"/>
        <v>-0.94750000000000001</v>
      </c>
      <c r="O47" s="11"/>
      <c r="P47" s="7">
        <v>5.25</v>
      </c>
      <c r="Q47" s="2"/>
      <c r="R47" s="6">
        <f t="shared" si="32"/>
        <v>2.4369638679490511E-3</v>
      </c>
      <c r="S47" s="2"/>
      <c r="T47" s="7">
        <v>100</v>
      </c>
      <c r="U47" s="2"/>
      <c r="V47" s="6">
        <f t="shared" si="33"/>
        <v>0</v>
      </c>
      <c r="W47" s="2"/>
      <c r="X47" s="7">
        <f t="shared" si="34"/>
        <v>-94.75</v>
      </c>
      <c r="Y47" s="2"/>
      <c r="Z47" s="6">
        <f t="shared" si="35"/>
        <v>-0.94750000000000001</v>
      </c>
    </row>
    <row r="48" spans="1:26" s="27" customFormat="1" outlineLevel="1" collapsed="1" x14ac:dyDescent="0.25">
      <c r="A48" s="28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SUM(OSRRefD22_3x_0)</f>
        <v>-2596.42</v>
      </c>
      <c r="E48" s="1"/>
      <c r="F48" s="5">
        <f t="shared" si="28"/>
        <v>-1.2052155668610047</v>
      </c>
      <c r="G48" s="1"/>
      <c r="H48" s="1">
        <f>SUM(OSRRefH22_3x_0)</f>
        <v>-1000</v>
      </c>
      <c r="I48" s="1"/>
      <c r="J48" s="5">
        <f t="shared" si="29"/>
        <v>0</v>
      </c>
      <c r="K48" s="1"/>
      <c r="L48" s="1">
        <f t="shared" si="30"/>
        <v>-1596.42</v>
      </c>
      <c r="M48" s="1"/>
      <c r="N48" s="5">
        <f t="shared" si="31"/>
        <v>1.5964200000000002</v>
      </c>
      <c r="O48" s="14"/>
      <c r="P48" s="1">
        <f>SUM(OSRRefP22_3x_0)</f>
        <v>-2596.42</v>
      </c>
      <c r="Q48" s="1"/>
      <c r="R48" s="5">
        <f t="shared" si="32"/>
        <v>-1.2052155668610047</v>
      </c>
      <c r="S48" s="1"/>
      <c r="T48" s="1">
        <f>SUM(OSRRefT22_3x_0)</f>
        <v>-1000</v>
      </c>
      <c r="U48" s="1"/>
      <c r="V48" s="5">
        <f t="shared" si="33"/>
        <v>0</v>
      </c>
      <c r="W48" s="1"/>
      <c r="X48" s="1">
        <f t="shared" si="34"/>
        <v>-1596.42</v>
      </c>
      <c r="Y48" s="1"/>
      <c r="Z48" s="5">
        <f t="shared" si="35"/>
        <v>1.5964200000000002</v>
      </c>
    </row>
    <row r="49" spans="1:26" s="24" customFormat="1" hidden="1" outlineLevel="2" x14ac:dyDescent="0.25">
      <c r="A49" s="29"/>
      <c r="B49" s="11" t="str">
        <f>CONCATENATE("          ", "6305", " - ", "FREIGHT OUT")</f>
        <v xml:space="preserve">          6305 - FREIGHT OUT</v>
      </c>
      <c r="C49" s="11"/>
      <c r="D49" s="7">
        <v>1053.1300000000001</v>
      </c>
      <c r="E49" s="2"/>
      <c r="F49" s="6">
        <f t="shared" si="28"/>
        <v>0.48884566823870179</v>
      </c>
      <c r="G49" s="2"/>
      <c r="H49" s="7">
        <v>-1000</v>
      </c>
      <c r="I49" s="2"/>
      <c r="J49" s="6">
        <f t="shared" si="29"/>
        <v>0</v>
      </c>
      <c r="K49" s="2"/>
      <c r="L49" s="7">
        <f t="shared" si="30"/>
        <v>2053.13</v>
      </c>
      <c r="M49" s="2"/>
      <c r="N49" s="6">
        <f t="shared" si="31"/>
        <v>-2.0531299999999999</v>
      </c>
      <c r="O49" s="11"/>
      <c r="P49" s="7">
        <v>1053.1300000000001</v>
      </c>
      <c r="Q49" s="2"/>
      <c r="R49" s="6">
        <f t="shared" si="32"/>
        <v>0.48884566823870179</v>
      </c>
      <c r="S49" s="2"/>
      <c r="T49" s="7">
        <v>-1000</v>
      </c>
      <c r="U49" s="2"/>
      <c r="V49" s="6">
        <f t="shared" si="33"/>
        <v>0</v>
      </c>
      <c r="W49" s="2"/>
      <c r="X49" s="7">
        <f t="shared" si="34"/>
        <v>2053.13</v>
      </c>
      <c r="Y49" s="2"/>
      <c r="Z49" s="6">
        <f t="shared" si="35"/>
        <v>-2.0531299999999999</v>
      </c>
    </row>
    <row r="50" spans="1:26" s="24" customFormat="1" hidden="1" outlineLevel="2" x14ac:dyDescent="0.25">
      <c r="A50" s="29"/>
      <c r="B50" s="11" t="str">
        <f>CONCATENATE("          ", "6307", " - ", "POSTAGE")</f>
        <v xml:space="preserve">          6307 - POSTAGE</v>
      </c>
      <c r="C50" s="11"/>
      <c r="D50" s="7">
        <v>-3649.55</v>
      </c>
      <c r="E50" s="2"/>
      <c r="F50" s="6">
        <f t="shared" si="28"/>
        <v>-1.6940612350997066</v>
      </c>
      <c r="G50" s="2"/>
      <c r="H50" s="7"/>
      <c r="I50" s="2"/>
      <c r="J50" s="6">
        <f t="shared" si="29"/>
        <v>0</v>
      </c>
      <c r="K50" s="2"/>
      <c r="L50" s="7">
        <f t="shared" si="30"/>
        <v>-3649.55</v>
      </c>
      <c r="M50" s="2"/>
      <c r="N50" s="6">
        <f t="shared" si="31"/>
        <v>0</v>
      </c>
      <c r="O50" s="11"/>
      <c r="P50" s="7">
        <v>-3649.55</v>
      </c>
      <c r="Q50" s="2"/>
      <c r="R50" s="6">
        <f t="shared" si="32"/>
        <v>-1.6940612350997066</v>
      </c>
      <c r="S50" s="2"/>
      <c r="T50" s="7"/>
      <c r="U50" s="2"/>
      <c r="V50" s="6">
        <f t="shared" si="33"/>
        <v>0</v>
      </c>
      <c r="W50" s="2"/>
      <c r="X50" s="7">
        <f t="shared" si="34"/>
        <v>-3649.55</v>
      </c>
      <c r="Y50" s="2"/>
      <c r="Z50" s="6">
        <f t="shared" si="35"/>
        <v>0</v>
      </c>
    </row>
    <row r="51" spans="1:26" s="27" customFormat="1" outlineLevel="1" collapsed="1" x14ac:dyDescent="0.25">
      <c r="A51" s="28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SUM(OSRRefD22_4x_0)</f>
        <v>1585.32</v>
      </c>
      <c r="E51" s="1"/>
      <c r="F51" s="5">
        <f t="shared" ref="F51:F54" si="36">IF(D$12=0,0,D51/D$12)</f>
        <v>0.73587953507371229</v>
      </c>
      <c r="G51" s="1"/>
      <c r="H51" s="1">
        <f>SUM(OSRRefH22_4x_0)</f>
        <v>750</v>
      </c>
      <c r="I51" s="1"/>
      <c r="J51" s="5">
        <f t="shared" ref="J51:J54" si="37">IF(H$12=0,0,H51/H$12)</f>
        <v>0</v>
      </c>
      <c r="K51" s="1"/>
      <c r="L51" s="1">
        <f t="shared" ref="L51:L54" si="38">+D51-H51</f>
        <v>835.31999999999994</v>
      </c>
      <c r="M51" s="1"/>
      <c r="N51" s="5">
        <f t="shared" ref="N51:N54" si="39">IF(H51=0,0,L51/H51)</f>
        <v>1.1137599999999999</v>
      </c>
      <c r="O51" s="14"/>
      <c r="P51" s="1">
        <f>SUM(OSRRefP22_4x_0)</f>
        <v>1585.32</v>
      </c>
      <c r="Q51" s="1"/>
      <c r="R51" s="5">
        <f t="shared" ref="R51:R54" si="40">IF(P$12=0,0,P51/P$12)</f>
        <v>0.73587953507371229</v>
      </c>
      <c r="S51" s="1"/>
      <c r="T51" s="1">
        <f>SUM(OSRRefT22_4x_0)</f>
        <v>750</v>
      </c>
      <c r="U51" s="1"/>
      <c r="V51" s="5">
        <f t="shared" ref="V51:V54" si="41">IF(T$12=0,0,T51/T$12)</f>
        <v>0</v>
      </c>
      <c r="W51" s="1"/>
      <c r="X51" s="1">
        <f t="shared" ref="X51:X54" si="42">+P51-T51</f>
        <v>835.31999999999994</v>
      </c>
      <c r="Y51" s="1"/>
      <c r="Z51" s="5">
        <f t="shared" ref="Z51:Z54" si="43">IF(T51=0,0,X51/T51)</f>
        <v>1.1137599999999999</v>
      </c>
    </row>
    <row r="52" spans="1:26" s="24" customFormat="1" hidden="1" outlineLevel="2" x14ac:dyDescent="0.25">
      <c r="A52" s="29"/>
      <c r="B52" s="11" t="str">
        <f>CONCATENATE("          ", "6247", " - ", "STORE SUPPLIES")</f>
        <v xml:space="preserve">          6247 - STORE SUPPLIES</v>
      </c>
      <c r="C52" s="11"/>
      <c r="D52" s="7">
        <v>1585.32</v>
      </c>
      <c r="E52" s="2"/>
      <c r="F52" s="6">
        <f t="shared" si="36"/>
        <v>0.73587953507371229</v>
      </c>
      <c r="G52" s="2"/>
      <c r="H52" s="7">
        <v>750</v>
      </c>
      <c r="I52" s="2"/>
      <c r="J52" s="6">
        <f t="shared" si="37"/>
        <v>0</v>
      </c>
      <c r="K52" s="2"/>
      <c r="L52" s="7">
        <f t="shared" si="38"/>
        <v>835.31999999999994</v>
      </c>
      <c r="M52" s="2"/>
      <c r="N52" s="6">
        <f t="shared" si="39"/>
        <v>1.1137599999999999</v>
      </c>
      <c r="O52" s="11"/>
      <c r="P52" s="7">
        <v>1585.32</v>
      </c>
      <c r="Q52" s="2"/>
      <c r="R52" s="6">
        <f t="shared" si="40"/>
        <v>0.73587953507371229</v>
      </c>
      <c r="S52" s="2"/>
      <c r="T52" s="7">
        <v>750</v>
      </c>
      <c r="U52" s="2"/>
      <c r="V52" s="6">
        <f t="shared" si="41"/>
        <v>0</v>
      </c>
      <c r="W52" s="2"/>
      <c r="X52" s="7">
        <f t="shared" si="42"/>
        <v>835.31999999999994</v>
      </c>
      <c r="Y52" s="2"/>
      <c r="Z52" s="6">
        <f t="shared" si="43"/>
        <v>1.1137599999999999</v>
      </c>
    </row>
    <row r="53" spans="1:26" s="27" customFormat="1" outlineLevel="1" collapsed="1" x14ac:dyDescent="0.25">
      <c r="A53" s="28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SUM(OSRRefD22_5x_0)</f>
        <v>103.8</v>
      </c>
      <c r="E53" s="1"/>
      <c r="F53" s="5">
        <f t="shared" si="36"/>
        <v>4.818225704630695E-2</v>
      </c>
      <c r="G53" s="1"/>
      <c r="H53" s="1">
        <f>SUM(OSRRefH22_5x_0)</f>
        <v>0</v>
      </c>
      <c r="I53" s="1"/>
      <c r="J53" s="5">
        <f t="shared" si="37"/>
        <v>0</v>
      </c>
      <c r="K53" s="1"/>
      <c r="L53" s="1">
        <f t="shared" si="38"/>
        <v>103.8</v>
      </c>
      <c r="M53" s="1"/>
      <c r="N53" s="5">
        <f t="shared" si="39"/>
        <v>0</v>
      </c>
      <c r="O53" s="14"/>
      <c r="P53" s="1">
        <f>SUM(OSRRefP22_5x_0)</f>
        <v>103.8</v>
      </c>
      <c r="Q53" s="1"/>
      <c r="R53" s="5">
        <f t="shared" si="40"/>
        <v>4.818225704630695E-2</v>
      </c>
      <c r="S53" s="1"/>
      <c r="T53" s="1">
        <f>SUM(OSRRefT22_5x_0)</f>
        <v>0</v>
      </c>
      <c r="U53" s="1"/>
      <c r="V53" s="5">
        <f t="shared" si="41"/>
        <v>0</v>
      </c>
      <c r="W53" s="1"/>
      <c r="X53" s="1">
        <f t="shared" si="42"/>
        <v>103.8</v>
      </c>
      <c r="Y53" s="1"/>
      <c r="Z53" s="5">
        <f t="shared" si="43"/>
        <v>0</v>
      </c>
    </row>
    <row r="54" spans="1:26" s="24" customFormat="1" hidden="1" outlineLevel="2" x14ac:dyDescent="0.25">
      <c r="A54" s="29"/>
      <c r="B54" s="11" t="str">
        <f>CONCATENATE("          ", "6309", " - ", "TELEPHONE")</f>
        <v xml:space="preserve">          6309 - TELEPHONE</v>
      </c>
      <c r="C54" s="11"/>
      <c r="D54" s="7">
        <v>103.8</v>
      </c>
      <c r="E54" s="2"/>
      <c r="F54" s="6">
        <f t="shared" si="36"/>
        <v>4.818225704630695E-2</v>
      </c>
      <c r="G54" s="2"/>
      <c r="H54" s="7"/>
      <c r="I54" s="2"/>
      <c r="J54" s="6">
        <f t="shared" si="37"/>
        <v>0</v>
      </c>
      <c r="K54" s="2"/>
      <c r="L54" s="7">
        <f t="shared" si="38"/>
        <v>103.8</v>
      </c>
      <c r="M54" s="2"/>
      <c r="N54" s="6">
        <f t="shared" si="39"/>
        <v>0</v>
      </c>
      <c r="O54" s="11"/>
      <c r="P54" s="7">
        <v>103.8</v>
      </c>
      <c r="Q54" s="2"/>
      <c r="R54" s="6">
        <f t="shared" si="40"/>
        <v>4.818225704630695E-2</v>
      </c>
      <c r="S54" s="2"/>
      <c r="T54" s="7"/>
      <c r="U54" s="2"/>
      <c r="V54" s="6">
        <f t="shared" si="41"/>
        <v>0</v>
      </c>
      <c r="W54" s="2"/>
      <c r="X54" s="7">
        <f t="shared" si="42"/>
        <v>103.8</v>
      </c>
      <c r="Y54" s="2"/>
      <c r="Z54" s="6">
        <f t="shared" si="43"/>
        <v>0</v>
      </c>
    </row>
    <row r="55" spans="1:26" s="57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25">
      <c r="A56" s="10"/>
      <c r="B56" s="25" t="s">
        <v>0</v>
      </c>
      <c r="C56" s="10"/>
      <c r="D56" s="4">
        <f>SUM(OSRRefD25x_0)</f>
        <v>329.7</v>
      </c>
      <c r="E56" s="4"/>
      <c r="F56" s="12">
        <f t="shared" ref="F56:F59" si="44">IF(D$12=0,0,D56/D$12)</f>
        <v>0.1530413309072004</v>
      </c>
      <c r="G56" s="4"/>
      <c r="H56" s="4">
        <f>SUM(OSRRefH25x_0)</f>
        <v>13500</v>
      </c>
      <c r="I56" s="4"/>
      <c r="J56" s="12">
        <f t="shared" ref="J56:J59" si="45">IF(H$12=0,0,H56/H$12)</f>
        <v>0</v>
      </c>
      <c r="K56" s="4"/>
      <c r="L56" s="4">
        <f t="shared" ref="L56:L59" si="46">+D56-H56</f>
        <v>-13170.3</v>
      </c>
      <c r="M56" s="4"/>
      <c r="N56" s="12">
        <f t="shared" ref="N56:N59" si="47">IF(H56=0,0,L56/H56)</f>
        <v>-0.97557777777777777</v>
      </c>
      <c r="O56" s="10"/>
      <c r="P56" s="4">
        <f>SUM(OSRRefP25x_0)</f>
        <v>329.7</v>
      </c>
      <c r="Q56" s="4"/>
      <c r="R56" s="12">
        <f t="shared" ref="R56:R59" si="48">IF(P$12=0,0,P56/P$12)</f>
        <v>0.1530413309072004</v>
      </c>
      <c r="S56" s="4"/>
      <c r="T56" s="4">
        <f>SUM(OSRRefT25x_0)</f>
        <v>13500</v>
      </c>
      <c r="U56" s="4"/>
      <c r="V56" s="12">
        <f t="shared" ref="V56:V59" si="49">IF(T$12=0,0,T56/T$12)</f>
        <v>0</v>
      </c>
      <c r="W56" s="4"/>
      <c r="X56" s="4">
        <f t="shared" ref="X56:X59" si="50">+P56-T56</f>
        <v>-13170.3</v>
      </c>
      <c r="Y56" s="4"/>
      <c r="Z56" s="12">
        <f t="shared" ref="Z56:Z59" si="51">IF(T56=0,0,X56/T56)</f>
        <v>-0.97557777777777777</v>
      </c>
    </row>
    <row r="57" spans="1:26" s="24" customFormat="1" hidden="1" outlineLevel="1" x14ac:dyDescent="0.25">
      <c r="A57" s="51"/>
      <c r="B57" s="11" t="str">
        <f>CONCATENATE("          ", "4098", " - ", "TAXABLE SALES-GRAD RENTALS")</f>
        <v xml:space="preserve">          4098 - TAXABLE SALES-GRAD RENTALS</v>
      </c>
      <c r="C57" s="11"/>
      <c r="D57" s="2">
        <f>--74.7</f>
        <v>74.7</v>
      </c>
      <c r="E57" s="2"/>
      <c r="F57" s="22">
        <f t="shared" si="44"/>
        <v>3.4674514463960783E-2</v>
      </c>
      <c r="G57" s="2"/>
      <c r="H57" s="2"/>
      <c r="I57" s="2"/>
      <c r="J57" s="22">
        <f t="shared" si="45"/>
        <v>0</v>
      </c>
      <c r="K57" s="2"/>
      <c r="L57" s="2">
        <f t="shared" si="46"/>
        <v>74.7</v>
      </c>
      <c r="M57" s="2"/>
      <c r="N57" s="22">
        <f t="shared" si="47"/>
        <v>0</v>
      </c>
      <c r="O57" s="11"/>
      <c r="P57" s="2">
        <f>--74.7</f>
        <v>74.7</v>
      </c>
      <c r="Q57" s="2"/>
      <c r="R57" s="22">
        <f t="shared" si="48"/>
        <v>3.4674514463960783E-2</v>
      </c>
      <c r="S57" s="2"/>
      <c r="T57" s="2"/>
      <c r="U57" s="2"/>
      <c r="V57" s="22">
        <f t="shared" si="49"/>
        <v>0</v>
      </c>
      <c r="W57" s="2"/>
      <c r="X57" s="2">
        <f t="shared" si="50"/>
        <v>74.7</v>
      </c>
      <c r="Y57" s="2"/>
      <c r="Z57" s="22">
        <f t="shared" si="51"/>
        <v>0</v>
      </c>
    </row>
    <row r="58" spans="1:26" s="24" customFormat="1" hidden="1" outlineLevel="1" x14ac:dyDescent="0.25">
      <c r="A58" s="51"/>
      <c r="B58" s="11" t="str">
        <f>CONCATENATE("          ", "4198", " - ", "NON-TAXABLE SALES-GRAD RENTALS")</f>
        <v xml:space="preserve">          4198 - NON-TAXABLE SALES-GRAD RENTALS</v>
      </c>
      <c r="C58" s="11"/>
      <c r="D58" s="2">
        <f>--255</f>
        <v>255</v>
      </c>
      <c r="E58" s="2"/>
      <c r="F58" s="22">
        <f t="shared" si="44"/>
        <v>0.11836681644323963</v>
      </c>
      <c r="G58" s="2"/>
      <c r="H58" s="2"/>
      <c r="I58" s="2"/>
      <c r="J58" s="22">
        <f t="shared" si="45"/>
        <v>0</v>
      </c>
      <c r="K58" s="2"/>
      <c r="L58" s="2">
        <f t="shared" si="46"/>
        <v>255</v>
      </c>
      <c r="M58" s="2"/>
      <c r="N58" s="22">
        <f t="shared" si="47"/>
        <v>0</v>
      </c>
      <c r="O58" s="11"/>
      <c r="P58" s="2">
        <f>--255</f>
        <v>255</v>
      </c>
      <c r="Q58" s="2"/>
      <c r="R58" s="22">
        <f t="shared" si="48"/>
        <v>0.11836681644323963</v>
      </c>
      <c r="S58" s="2"/>
      <c r="T58" s="2"/>
      <c r="U58" s="2"/>
      <c r="V58" s="22">
        <f t="shared" si="49"/>
        <v>0</v>
      </c>
      <c r="W58" s="2"/>
      <c r="X58" s="2">
        <f t="shared" si="50"/>
        <v>255</v>
      </c>
      <c r="Y58" s="2"/>
      <c r="Z58" s="22">
        <f t="shared" si="51"/>
        <v>0</v>
      </c>
    </row>
    <row r="59" spans="1:26" s="24" customFormat="1" hidden="1" outlineLevel="1" x14ac:dyDescent="0.25">
      <c r="A59" s="51"/>
      <c r="B59" s="11" t="str">
        <f>CONCATENATE("          ", "9160", " - ", "MISC. INCOME")</f>
        <v xml:space="preserve">          9160 - MISC. INCOME</v>
      </c>
      <c r="C59" s="11"/>
      <c r="D59" s="2">
        <f>0</f>
        <v>0</v>
      </c>
      <c r="E59" s="2"/>
      <c r="F59" s="22">
        <f t="shared" si="44"/>
        <v>0</v>
      </c>
      <c r="G59" s="2"/>
      <c r="H59" s="2">
        <v>13500</v>
      </c>
      <c r="I59" s="2"/>
      <c r="J59" s="22">
        <f t="shared" si="45"/>
        <v>0</v>
      </c>
      <c r="K59" s="2"/>
      <c r="L59" s="2">
        <f t="shared" si="46"/>
        <v>-13500</v>
      </c>
      <c r="M59" s="2"/>
      <c r="N59" s="22">
        <f t="shared" si="47"/>
        <v>-1</v>
      </c>
      <c r="O59" s="11"/>
      <c r="P59" s="2">
        <f>0</f>
        <v>0</v>
      </c>
      <c r="Q59" s="2"/>
      <c r="R59" s="22">
        <f t="shared" si="48"/>
        <v>0</v>
      </c>
      <c r="S59" s="2"/>
      <c r="T59" s="2">
        <v>13500</v>
      </c>
      <c r="U59" s="2"/>
      <c r="V59" s="22">
        <f t="shared" si="49"/>
        <v>0</v>
      </c>
      <c r="W59" s="2"/>
      <c r="X59" s="2">
        <f t="shared" si="50"/>
        <v>-13500</v>
      </c>
      <c r="Y59" s="2"/>
      <c r="Z59" s="22">
        <f t="shared" si="51"/>
        <v>-1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6" t="s">
        <v>3</v>
      </c>
      <c r="C61" s="26"/>
      <c r="D61" s="21">
        <f>+D23-D25+D56</f>
        <v>613.15000000000032</v>
      </c>
      <c r="E61" s="13"/>
      <c r="F61" s="19">
        <f>IF(D$12=0,0,D61/D$12)</f>
        <v>0.28461417059675453</v>
      </c>
      <c r="G61" s="13"/>
      <c r="H61" s="21">
        <f>+H23-H25+H56</f>
        <v>10084.241759855766</v>
      </c>
      <c r="I61" s="13"/>
      <c r="J61" s="19">
        <f>IF(H$12=0,0,H61/H$12)</f>
        <v>0</v>
      </c>
      <c r="K61" s="15"/>
      <c r="L61" s="21">
        <f>+D61-H61</f>
        <v>-9471.0917598557662</v>
      </c>
      <c r="M61" s="15"/>
      <c r="N61" s="19">
        <f>IF(H61=0,0,L61/H61)</f>
        <v>-0.939197213374943</v>
      </c>
      <c r="O61" s="25"/>
      <c r="P61" s="21">
        <f>+P23-P25+P56</f>
        <v>613.15000000000032</v>
      </c>
      <c r="Q61" s="13"/>
      <c r="R61" s="19">
        <f>IF(P$12=0,0,P61/P$12)</f>
        <v>0.28461417059675453</v>
      </c>
      <c r="S61" s="13"/>
      <c r="T61" s="21">
        <f>+T23-T25+T56</f>
        <v>10084.241759855766</v>
      </c>
      <c r="U61" s="13"/>
      <c r="V61" s="19">
        <f>IF(T$12=0,0,T61/T$12)</f>
        <v>0</v>
      </c>
      <c r="W61" s="15"/>
      <c r="X61" s="21">
        <f>+P61-T61</f>
        <v>-9471.0917598557662</v>
      </c>
      <c r="Y61" s="15"/>
      <c r="Z61" s="19">
        <f>IF(T61=0,0,X61/T61)</f>
        <v>-0.939197213374943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2"/>
      <c r="B63" s="10" t="s">
        <v>14</v>
      </c>
      <c r="C63" s="10"/>
      <c r="D63" s="4">
        <v>447.95</v>
      </c>
      <c r="E63" s="4"/>
      <c r="F63" s="12">
        <f>IF(D$12=0,0,D63/D$12)</f>
        <v>0.20793104088529094</v>
      </c>
      <c r="G63" s="4"/>
      <c r="H63" s="4">
        <v>0</v>
      </c>
      <c r="I63" s="4"/>
      <c r="J63" s="12">
        <f>IF(H$12=0,0,H63/H$12)</f>
        <v>0</v>
      </c>
      <c r="K63" s="4"/>
      <c r="L63" s="4">
        <f>+D63-H63</f>
        <v>447.95</v>
      </c>
      <c r="M63" s="4"/>
      <c r="N63" s="12">
        <f>IF(H63=0,0,L63/H63)</f>
        <v>0</v>
      </c>
      <c r="O63" s="10"/>
      <c r="P63" s="4">
        <v>447.95</v>
      </c>
      <c r="Q63" s="4"/>
      <c r="R63" s="12">
        <f>IF(P$12=0,0,P63/P$12)</f>
        <v>0.20793104088529094</v>
      </c>
      <c r="S63" s="4"/>
      <c r="T63" s="4">
        <v>0</v>
      </c>
      <c r="U63" s="4"/>
      <c r="V63" s="12">
        <f>IF(T$12=0,0,T63/T$12)</f>
        <v>0</v>
      </c>
      <c r="W63" s="4"/>
      <c r="X63" s="4">
        <f>+P63-T63</f>
        <v>447.95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6" t="s">
        <v>4</v>
      </c>
      <c r="C65" s="26"/>
      <c r="D65" s="32">
        <f>+D61-D63</f>
        <v>165.20000000000033</v>
      </c>
      <c r="E65" s="13"/>
      <c r="F65" s="31">
        <f>IF(D$12=0,0,D65/D$12)</f>
        <v>7.6683129711463627E-2</v>
      </c>
      <c r="G65" s="13"/>
      <c r="H65" s="32">
        <f>+H61-H63</f>
        <v>10084.241759855766</v>
      </c>
      <c r="I65" s="13"/>
      <c r="J65" s="31">
        <f>IF(H$12=0,0,H65/H$12)</f>
        <v>0</v>
      </c>
      <c r="K65" s="15"/>
      <c r="L65" s="32">
        <f>D65-H65</f>
        <v>-9919.0417598557651</v>
      </c>
      <c r="M65" s="15"/>
      <c r="N65" s="31">
        <f>IF(H65=0,0,L65/H65)</f>
        <v>-0.98361800481047135</v>
      </c>
      <c r="O65" s="25"/>
      <c r="P65" s="32">
        <f>+P61-P63</f>
        <v>165.20000000000033</v>
      </c>
      <c r="Q65" s="13"/>
      <c r="R65" s="31">
        <f>IF(P$12=0,0,P65/P$12)</f>
        <v>7.6683129711463627E-2</v>
      </c>
      <c r="S65" s="13"/>
      <c r="T65" s="32">
        <f>+T61-T63</f>
        <v>10084.241759855766</v>
      </c>
      <c r="U65" s="13"/>
      <c r="V65" s="31">
        <f>IF(T$12=0,0,T65/T$12)</f>
        <v>0</v>
      </c>
      <c r="W65" s="15"/>
      <c r="X65" s="32">
        <f>P65-T65</f>
        <v>-9919.0417598557651</v>
      </c>
      <c r="Y65" s="15"/>
      <c r="Z65" s="31">
        <f>IF(T65=0,0,X65/T65)</f>
        <v>-0.98361800481047135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6" t="s">
        <v>5</v>
      </c>
      <c r="C68" s="26"/>
      <c r="D68" s="33">
        <f>SUM(D65:D67)</f>
        <v>165.20000000000033</v>
      </c>
      <c r="E68" s="13"/>
      <c r="F68" s="34">
        <f>IF(D$12=0,0,D68/D$12)</f>
        <v>7.6683129711463627E-2</v>
      </c>
      <c r="G68" s="13"/>
      <c r="H68" s="33">
        <f>SUM(H65:H67)</f>
        <v>10084.241759855766</v>
      </c>
      <c r="I68" s="13"/>
      <c r="J68" s="34">
        <f>IF(H$12=0,0,H68/H$12)</f>
        <v>0</v>
      </c>
      <c r="K68" s="15"/>
      <c r="L68" s="33">
        <f>+D68-H68</f>
        <v>-9919.0417598557651</v>
      </c>
      <c r="M68" s="15"/>
      <c r="N68" s="34">
        <f>IF(H68=0,0,L68/H68)</f>
        <v>-0.98361800481047135</v>
      </c>
      <c r="O68" s="25"/>
      <c r="P68" s="33">
        <f>SUM(P65:P67)</f>
        <v>165.20000000000033</v>
      </c>
      <c r="Q68" s="13"/>
      <c r="R68" s="34">
        <f>IF(P$12=0,0,P68/P$12)</f>
        <v>7.6683129711463627E-2</v>
      </c>
      <c r="S68" s="13"/>
      <c r="T68" s="33">
        <f>SUM(T65:T67)</f>
        <v>10084.241759855766</v>
      </c>
      <c r="U68" s="13"/>
      <c r="V68" s="34">
        <f>IF(T$12=0,0,T68/T$12)</f>
        <v>0</v>
      </c>
      <c r="W68" s="15"/>
      <c r="X68" s="33">
        <f>+P68-T68</f>
        <v>-9919.0417598557651</v>
      </c>
      <c r="Y68" s="15"/>
      <c r="Z68" s="34">
        <f>IF(T68=0,0,X68/T68)</f>
        <v>-0.98361800481047135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61">
        <v>43726.678782870367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6" t="s">
        <v>314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3"/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36" sqref="D36:D4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370337.37</v>
      </c>
      <c r="E12" s="4"/>
      <c r="F12" s="12"/>
      <c r="G12" s="4"/>
      <c r="H12" s="4">
        <f>SUM(OSRRefH13x_0)</f>
        <v>411833</v>
      </c>
      <c r="I12" s="4"/>
      <c r="J12" s="12"/>
      <c r="K12" s="4"/>
      <c r="L12" s="4">
        <f t="shared" ref="L12:L32" si="0">+D12-H12</f>
        <v>-41495.630000000005</v>
      </c>
      <c r="M12" s="4"/>
      <c r="N12" s="12">
        <f t="shared" ref="N12:N32" si="1">IF(H12=0,0,L12/H12)</f>
        <v>-0.10075838992989879</v>
      </c>
      <c r="O12" s="10"/>
      <c r="P12" s="4">
        <f>SUM(OSRRefP13x_0)</f>
        <v>370337.37</v>
      </c>
      <c r="Q12" s="4"/>
      <c r="R12" s="12"/>
      <c r="S12" s="4"/>
      <c r="T12" s="4">
        <f>SUM(OSRRefT13x_0)</f>
        <v>411833</v>
      </c>
      <c r="U12" s="4"/>
      <c r="V12" s="12"/>
      <c r="W12" s="4"/>
      <c r="X12" s="4">
        <f t="shared" ref="X12:X32" si="2">+P12-T12</f>
        <v>-41495.630000000005</v>
      </c>
      <c r="Y12" s="4"/>
      <c r="Z12" s="12">
        <f t="shared" ref="Z12:Z32" si="3">IF(T12=0,0,X12/T12)</f>
        <v>-0.10075838992989879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362413</v>
      </c>
      <c r="I13" s="2"/>
      <c r="J13" s="22"/>
      <c r="K13" s="2"/>
      <c r="L13" s="2">
        <f t="shared" si="0"/>
        <v>-362413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362413</v>
      </c>
      <c r="U13" s="2"/>
      <c r="V13" s="22"/>
      <c r="W13" s="2"/>
      <c r="X13" s="2">
        <f t="shared" si="2"/>
        <v>-362413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--20944.59</f>
        <v>20944.59</v>
      </c>
      <c r="E14" s="2"/>
      <c r="F14" s="22"/>
      <c r="G14" s="2"/>
      <c r="H14" s="2"/>
      <c r="I14" s="2"/>
      <c r="J14" s="22"/>
      <c r="K14" s="2"/>
      <c r="L14" s="2">
        <f t="shared" si="0"/>
        <v>20944.59</v>
      </c>
      <c r="M14" s="2"/>
      <c r="N14" s="22">
        <f t="shared" si="1"/>
        <v>0</v>
      </c>
      <c r="O14" s="11"/>
      <c r="P14" s="2">
        <f>--20944.59</f>
        <v>20944.59</v>
      </c>
      <c r="Q14" s="2"/>
      <c r="R14" s="22"/>
      <c r="S14" s="2"/>
      <c r="T14" s="2"/>
      <c r="U14" s="2"/>
      <c r="V14" s="22"/>
      <c r="W14" s="2"/>
      <c r="X14" s="2">
        <f t="shared" si="2"/>
        <v>20944.59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--398769.74</f>
        <v>398769.74</v>
      </c>
      <c r="E15" s="2"/>
      <c r="F15" s="22"/>
      <c r="G15" s="2"/>
      <c r="H15" s="2"/>
      <c r="I15" s="2"/>
      <c r="J15" s="22"/>
      <c r="K15" s="2"/>
      <c r="L15" s="2">
        <f t="shared" si="0"/>
        <v>398769.74</v>
      </c>
      <c r="M15" s="2"/>
      <c r="N15" s="22">
        <f t="shared" si="1"/>
        <v>0</v>
      </c>
      <c r="O15" s="11"/>
      <c r="P15" s="2">
        <f>--398769.74</f>
        <v>398769.74</v>
      </c>
      <c r="Q15" s="2"/>
      <c r="R15" s="22"/>
      <c r="S15" s="2"/>
      <c r="T15" s="2"/>
      <c r="U15" s="2"/>
      <c r="V15" s="22"/>
      <c r="W15" s="2"/>
      <c r="X15" s="2">
        <f t="shared" si="2"/>
        <v>398769.74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--7906.1</f>
        <v>7906.1</v>
      </c>
      <c r="E16" s="2"/>
      <c r="F16" s="22"/>
      <c r="G16" s="2"/>
      <c r="H16" s="2"/>
      <c r="I16" s="2"/>
      <c r="J16" s="22"/>
      <c r="K16" s="2"/>
      <c r="L16" s="2">
        <f t="shared" si="0"/>
        <v>7906.1</v>
      </c>
      <c r="M16" s="2"/>
      <c r="N16" s="22">
        <f t="shared" si="1"/>
        <v>0</v>
      </c>
      <c r="O16" s="11"/>
      <c r="P16" s="2">
        <f>--7906.1</f>
        <v>7906.1</v>
      </c>
      <c r="Q16" s="2"/>
      <c r="R16" s="22"/>
      <c r="S16" s="2"/>
      <c r="T16" s="2"/>
      <c r="U16" s="2"/>
      <c r="V16" s="22"/>
      <c r="W16" s="2"/>
      <c r="X16" s="2">
        <f t="shared" si="2"/>
        <v>7906.1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--129</f>
        <v>129</v>
      </c>
      <c r="E17" s="2"/>
      <c r="F17" s="22"/>
      <c r="G17" s="2"/>
      <c r="H17" s="2"/>
      <c r="I17" s="2"/>
      <c r="J17" s="22"/>
      <c r="K17" s="2"/>
      <c r="L17" s="2">
        <f t="shared" si="0"/>
        <v>129</v>
      </c>
      <c r="M17" s="2"/>
      <c r="N17" s="22">
        <f t="shared" si="1"/>
        <v>0</v>
      </c>
      <c r="O17" s="11"/>
      <c r="P17" s="2">
        <f>--129</f>
        <v>129</v>
      </c>
      <c r="Q17" s="2"/>
      <c r="R17" s="22"/>
      <c r="S17" s="2"/>
      <c r="T17" s="2"/>
      <c r="U17" s="2"/>
      <c r="V17" s="22"/>
      <c r="W17" s="2"/>
      <c r="X17" s="2">
        <f t="shared" si="2"/>
        <v>129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"4085", " - ", "TAXABLE SALES-SOFTWARE")</f>
        <v xml:space="preserve">          4085 - TAXABLE SALES-SOFTWARE</v>
      </c>
      <c r="C18" s="11"/>
      <c r="D18" s="2">
        <f>--493.95</f>
        <v>493.95</v>
      </c>
      <c r="E18" s="2"/>
      <c r="F18" s="22"/>
      <c r="G18" s="2"/>
      <c r="H18" s="2"/>
      <c r="I18" s="2"/>
      <c r="J18" s="22"/>
      <c r="K18" s="2"/>
      <c r="L18" s="2">
        <f t="shared" si="0"/>
        <v>493.95</v>
      </c>
      <c r="M18" s="2"/>
      <c r="N18" s="22">
        <f t="shared" si="1"/>
        <v>0</v>
      </c>
      <c r="O18" s="11"/>
      <c r="P18" s="2">
        <f>--493.95</f>
        <v>493.95</v>
      </c>
      <c r="Q18" s="2"/>
      <c r="R18" s="22"/>
      <c r="S18" s="2"/>
      <c r="T18" s="2"/>
      <c r="U18" s="2"/>
      <c r="V18" s="22"/>
      <c r="W18" s="2"/>
      <c r="X18" s="2">
        <f t="shared" si="2"/>
        <v>493.95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--1980.33</f>
        <v>1980.33</v>
      </c>
      <c r="E19" s="2"/>
      <c r="F19" s="22"/>
      <c r="G19" s="2"/>
      <c r="H19" s="2"/>
      <c r="I19" s="2"/>
      <c r="J19" s="22"/>
      <c r="K19" s="2"/>
      <c r="L19" s="2">
        <f t="shared" si="0"/>
        <v>1980.33</v>
      </c>
      <c r="M19" s="2"/>
      <c r="N19" s="22">
        <f t="shared" si="1"/>
        <v>0</v>
      </c>
      <c r="O19" s="11"/>
      <c r="P19" s="2">
        <f>--1980.33</f>
        <v>1980.33</v>
      </c>
      <c r="Q19" s="2"/>
      <c r="R19" s="22"/>
      <c r="S19" s="2"/>
      <c r="T19" s="2"/>
      <c r="U19" s="2"/>
      <c r="V19" s="22"/>
      <c r="W19" s="2"/>
      <c r="X19" s="2">
        <f t="shared" si="2"/>
        <v>1980.33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"4088", " - ", "TAXABLE SALES-MUSIC")</f>
        <v xml:space="preserve">          4088 - TAXABLE SALES-MUSIC</v>
      </c>
      <c r="C20" s="11"/>
      <c r="D20" s="2">
        <f>--258.99</f>
        <v>258.99</v>
      </c>
      <c r="E20" s="2"/>
      <c r="F20" s="22"/>
      <c r="G20" s="2"/>
      <c r="H20" s="2"/>
      <c r="I20" s="2"/>
      <c r="J20" s="22"/>
      <c r="K20" s="2"/>
      <c r="L20" s="2">
        <f t="shared" si="0"/>
        <v>258.99</v>
      </c>
      <c r="M20" s="2"/>
      <c r="N20" s="22">
        <f t="shared" si="1"/>
        <v>0</v>
      </c>
      <c r="O20" s="11"/>
      <c r="P20" s="2">
        <f>--258.99</f>
        <v>258.99</v>
      </c>
      <c r="Q20" s="2"/>
      <c r="R20" s="22"/>
      <c r="S20" s="2"/>
      <c r="T20" s="2"/>
      <c r="U20" s="2"/>
      <c r="V20" s="22"/>
      <c r="W20" s="2"/>
      <c r="X20" s="2">
        <f t="shared" si="2"/>
        <v>258.99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22"/>
      <c r="G21" s="2"/>
      <c r="H21" s="2">
        <v>49420</v>
      </c>
      <c r="I21" s="2"/>
      <c r="J21" s="22"/>
      <c r="K21" s="2"/>
      <c r="L21" s="2">
        <f t="shared" si="0"/>
        <v>-49420</v>
      </c>
      <c r="M21" s="2"/>
      <c r="N21" s="22">
        <f t="shared" si="1"/>
        <v>-1</v>
      </c>
      <c r="O21" s="11"/>
      <c r="P21" s="2">
        <f>0</f>
        <v>0</v>
      </c>
      <c r="Q21" s="2"/>
      <c r="R21" s="22"/>
      <c r="S21" s="2"/>
      <c r="T21" s="2">
        <v>49420</v>
      </c>
      <c r="U21" s="2"/>
      <c r="V21" s="22"/>
      <c r="W21" s="2"/>
      <c r="X21" s="2">
        <f t="shared" si="2"/>
        <v>-49420</v>
      </c>
      <c r="Y21" s="2"/>
      <c r="Z21" s="22">
        <f t="shared" si="3"/>
        <v>-1</v>
      </c>
    </row>
    <row r="22" spans="1:26" s="24" customFormat="1" hidden="1" outlineLevel="1" x14ac:dyDescent="0.25">
      <c r="A22" s="51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--1302.61</f>
        <v>1302.6099999999999</v>
      </c>
      <c r="E22" s="2"/>
      <c r="F22" s="22"/>
      <c r="G22" s="2"/>
      <c r="H22" s="2"/>
      <c r="I22" s="2"/>
      <c r="J22" s="22"/>
      <c r="K22" s="2"/>
      <c r="L22" s="2">
        <f t="shared" si="0"/>
        <v>1302.6099999999999</v>
      </c>
      <c r="M22" s="2"/>
      <c r="N22" s="22">
        <f t="shared" si="1"/>
        <v>0</v>
      </c>
      <c r="O22" s="11"/>
      <c r="P22" s="2">
        <f>--1302.61</f>
        <v>1302.6099999999999</v>
      </c>
      <c r="Q22" s="2"/>
      <c r="R22" s="22"/>
      <c r="S22" s="2"/>
      <c r="T22" s="2"/>
      <c r="U22" s="2"/>
      <c r="V22" s="22"/>
      <c r="W22" s="2"/>
      <c r="X22" s="2">
        <f t="shared" si="2"/>
        <v>1302.6099999999999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--10618</f>
        <v>10618</v>
      </c>
      <c r="E23" s="2"/>
      <c r="F23" s="22"/>
      <c r="G23" s="2"/>
      <c r="H23" s="2"/>
      <c r="I23" s="2"/>
      <c r="J23" s="22"/>
      <c r="K23" s="2"/>
      <c r="L23" s="2">
        <f t="shared" si="0"/>
        <v>10618</v>
      </c>
      <c r="M23" s="2"/>
      <c r="N23" s="22">
        <f t="shared" si="1"/>
        <v>0</v>
      </c>
      <c r="O23" s="11"/>
      <c r="P23" s="2">
        <f>--10618</f>
        <v>10618</v>
      </c>
      <c r="Q23" s="2"/>
      <c r="R23" s="22"/>
      <c r="S23" s="2"/>
      <c r="T23" s="2"/>
      <c r="U23" s="2"/>
      <c r="V23" s="22"/>
      <c r="W23" s="2"/>
      <c r="X23" s="2">
        <f t="shared" si="2"/>
        <v>10618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--181.9</f>
        <v>181.9</v>
      </c>
      <c r="E24" s="2"/>
      <c r="F24" s="22"/>
      <c r="G24" s="2"/>
      <c r="H24" s="2"/>
      <c r="I24" s="2"/>
      <c r="J24" s="22"/>
      <c r="K24" s="2"/>
      <c r="L24" s="2">
        <f t="shared" si="0"/>
        <v>181.9</v>
      </c>
      <c r="M24" s="2"/>
      <c r="N24" s="22">
        <f t="shared" si="1"/>
        <v>0</v>
      </c>
      <c r="O24" s="11"/>
      <c r="P24" s="2">
        <f>--181.9</f>
        <v>181.9</v>
      </c>
      <c r="Q24" s="2"/>
      <c r="R24" s="22"/>
      <c r="S24" s="2"/>
      <c r="T24" s="2"/>
      <c r="U24" s="2"/>
      <c r="V24" s="22"/>
      <c r="W24" s="2"/>
      <c r="X24" s="2">
        <f t="shared" si="2"/>
        <v>181.9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"4185", " - ", "NON-TAXABLE SALES-SOFTWARE")</f>
        <v xml:space="preserve">          4185 - NON-TAXABLE SALES-SOFTWARE</v>
      </c>
      <c r="C25" s="11"/>
      <c r="D25" s="2">
        <f>--752</f>
        <v>752</v>
      </c>
      <c r="E25" s="2"/>
      <c r="F25" s="22"/>
      <c r="G25" s="2"/>
      <c r="H25" s="2"/>
      <c r="I25" s="2"/>
      <c r="J25" s="22"/>
      <c r="K25" s="2"/>
      <c r="L25" s="2">
        <f t="shared" si="0"/>
        <v>752</v>
      </c>
      <c r="M25" s="2"/>
      <c r="N25" s="22">
        <f t="shared" si="1"/>
        <v>0</v>
      </c>
      <c r="O25" s="11"/>
      <c r="P25" s="2">
        <f>--752</f>
        <v>752</v>
      </c>
      <c r="Q25" s="2"/>
      <c r="R25" s="22"/>
      <c r="S25" s="2"/>
      <c r="T25" s="2"/>
      <c r="U25" s="2"/>
      <c r="V25" s="22"/>
      <c r="W25" s="2"/>
      <c r="X25" s="2">
        <f t="shared" si="2"/>
        <v>752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--79.97</f>
        <v>79.97</v>
      </c>
      <c r="E26" s="2"/>
      <c r="F26" s="22"/>
      <c r="G26" s="2"/>
      <c r="H26" s="2"/>
      <c r="I26" s="2"/>
      <c r="J26" s="22"/>
      <c r="K26" s="2"/>
      <c r="L26" s="2">
        <f t="shared" si="0"/>
        <v>79.97</v>
      </c>
      <c r="M26" s="2"/>
      <c r="N26" s="22">
        <f t="shared" si="1"/>
        <v>0</v>
      </c>
      <c r="O26" s="11"/>
      <c r="P26" s="2">
        <f>--79.97</f>
        <v>79.97</v>
      </c>
      <c r="Q26" s="2"/>
      <c r="R26" s="22"/>
      <c r="S26" s="2"/>
      <c r="T26" s="2"/>
      <c r="U26" s="2"/>
      <c r="V26" s="22"/>
      <c r="W26" s="2"/>
      <c r="X26" s="2">
        <f t="shared" si="2"/>
        <v>79.97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"4188", " - ", "NON-TAXABLE SALES-MUSIC")</f>
        <v xml:space="preserve">          4188 - NON-TAXABLE SALES-MUSIC</v>
      </c>
      <c r="C27" s="11"/>
      <c r="D27" s="2">
        <f>--99.98</f>
        <v>99.98</v>
      </c>
      <c r="E27" s="2"/>
      <c r="F27" s="22"/>
      <c r="G27" s="2"/>
      <c r="H27" s="2"/>
      <c r="I27" s="2"/>
      <c r="J27" s="22"/>
      <c r="K27" s="2"/>
      <c r="L27" s="2">
        <f t="shared" si="0"/>
        <v>99.98</v>
      </c>
      <c r="M27" s="2"/>
      <c r="N27" s="22">
        <f t="shared" si="1"/>
        <v>0</v>
      </c>
      <c r="O27" s="11"/>
      <c r="P27" s="2">
        <f>--99.98</f>
        <v>99.98</v>
      </c>
      <c r="Q27" s="2"/>
      <c r="R27" s="22"/>
      <c r="S27" s="2"/>
      <c r="T27" s="2"/>
      <c r="U27" s="2"/>
      <c r="V27" s="22"/>
      <c r="W27" s="2"/>
      <c r="X27" s="2">
        <f t="shared" si="2"/>
        <v>99.98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>-1658.99</f>
        <v>-1658.99</v>
      </c>
      <c r="E28" s="2"/>
      <c r="F28" s="22"/>
      <c r="G28" s="2"/>
      <c r="H28" s="2"/>
      <c r="I28" s="2"/>
      <c r="J28" s="22"/>
      <c r="K28" s="2"/>
      <c r="L28" s="2">
        <f t="shared" si="0"/>
        <v>-1658.99</v>
      </c>
      <c r="M28" s="2"/>
      <c r="N28" s="22">
        <f t="shared" si="1"/>
        <v>0</v>
      </c>
      <c r="O28" s="11"/>
      <c r="P28" s="2">
        <f>-1658.99</f>
        <v>-1658.99</v>
      </c>
      <c r="Q28" s="2"/>
      <c r="R28" s="22"/>
      <c r="S28" s="2"/>
      <c r="T28" s="2"/>
      <c r="U28" s="2"/>
      <c r="V28" s="22"/>
      <c r="W28" s="2"/>
      <c r="X28" s="2">
        <f t="shared" si="2"/>
        <v>-1658.99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-70341.06</f>
        <v>-70341.06</v>
      </c>
      <c r="E29" s="2"/>
      <c r="F29" s="22"/>
      <c r="G29" s="2"/>
      <c r="H29" s="2"/>
      <c r="I29" s="2"/>
      <c r="J29" s="22"/>
      <c r="K29" s="2"/>
      <c r="L29" s="2">
        <f t="shared" si="0"/>
        <v>-70341.06</v>
      </c>
      <c r="M29" s="2"/>
      <c r="N29" s="22">
        <f t="shared" si="1"/>
        <v>0</v>
      </c>
      <c r="O29" s="11"/>
      <c r="P29" s="2">
        <f>-70341.06</f>
        <v>-70341.06</v>
      </c>
      <c r="Q29" s="2"/>
      <c r="R29" s="22"/>
      <c r="S29" s="2"/>
      <c r="T29" s="2"/>
      <c r="U29" s="2"/>
      <c r="V29" s="22"/>
      <c r="W29" s="2"/>
      <c r="X29" s="2">
        <f t="shared" si="2"/>
        <v>-70341.06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-226.8</f>
        <v>-226.8</v>
      </c>
      <c r="E30" s="2"/>
      <c r="F30" s="22"/>
      <c r="G30" s="2"/>
      <c r="H30" s="2"/>
      <c r="I30" s="2"/>
      <c r="J30" s="22"/>
      <c r="K30" s="2"/>
      <c r="L30" s="2">
        <f t="shared" si="0"/>
        <v>-226.8</v>
      </c>
      <c r="M30" s="2"/>
      <c r="N30" s="22">
        <f t="shared" si="1"/>
        <v>0</v>
      </c>
      <c r="O30" s="11"/>
      <c r="P30" s="2">
        <f>-226.8</f>
        <v>-226.8</v>
      </c>
      <c r="Q30" s="2"/>
      <c r="R30" s="22"/>
      <c r="S30" s="2"/>
      <c r="T30" s="2"/>
      <c r="U30" s="2"/>
      <c r="V30" s="22"/>
      <c r="W30" s="2"/>
      <c r="X30" s="2">
        <f t="shared" si="2"/>
        <v>-226.8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>-406.99</f>
        <v>-406.99</v>
      </c>
      <c r="E31" s="2"/>
      <c r="F31" s="22"/>
      <c r="G31" s="2"/>
      <c r="H31" s="2"/>
      <c r="I31" s="2"/>
      <c r="J31" s="22"/>
      <c r="K31" s="2"/>
      <c r="L31" s="2">
        <f t="shared" si="0"/>
        <v>-406.99</v>
      </c>
      <c r="M31" s="2"/>
      <c r="N31" s="22">
        <f t="shared" si="1"/>
        <v>0</v>
      </c>
      <c r="O31" s="11"/>
      <c r="P31" s="2">
        <f>-406.99</f>
        <v>-406.99</v>
      </c>
      <c r="Q31" s="2"/>
      <c r="R31" s="22"/>
      <c r="S31" s="2"/>
      <c r="T31" s="2"/>
      <c r="U31" s="2"/>
      <c r="V31" s="22"/>
      <c r="W31" s="2"/>
      <c r="X31" s="2">
        <f t="shared" si="2"/>
        <v>-406.99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-545.95</f>
        <v>-545.95000000000005</v>
      </c>
      <c r="E32" s="2"/>
      <c r="F32" s="22"/>
      <c r="G32" s="2"/>
      <c r="H32" s="2"/>
      <c r="I32" s="2"/>
      <c r="J32" s="22"/>
      <c r="K32" s="2"/>
      <c r="L32" s="2">
        <f t="shared" si="0"/>
        <v>-545.95000000000005</v>
      </c>
      <c r="M32" s="2"/>
      <c r="N32" s="22">
        <f t="shared" si="1"/>
        <v>0</v>
      </c>
      <c r="O32" s="11"/>
      <c r="P32" s="2">
        <f>-545.95</f>
        <v>-545.95000000000005</v>
      </c>
      <c r="Q32" s="2"/>
      <c r="R32" s="22"/>
      <c r="S32" s="2"/>
      <c r="T32" s="2"/>
      <c r="U32" s="2"/>
      <c r="V32" s="22"/>
      <c r="W32" s="2"/>
      <c r="X32" s="2">
        <f t="shared" si="2"/>
        <v>-545.95000000000005</v>
      </c>
      <c r="Y32" s="2"/>
      <c r="Z32" s="22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5" t="s">
        <v>8</v>
      </c>
      <c r="C34" s="10"/>
      <c r="D34" s="4">
        <f>SUM(OSRRefD16x_0)</f>
        <v>342320.18999999994</v>
      </c>
      <c r="E34" s="4"/>
      <c r="F34" s="12">
        <f t="shared" ref="F34:F44" si="4">IF(D$12=0,0,D34/D$12)</f>
        <v>0.9243468732307516</v>
      </c>
      <c r="G34" s="4"/>
      <c r="H34" s="4">
        <f>SUM(OSRRefH16x_0)</f>
        <v>321627</v>
      </c>
      <c r="I34" s="4"/>
      <c r="J34" s="12">
        <f t="shared" ref="J34:J44" si="5">IF(H$12=0,0,H34/H$12)</f>
        <v>0.78096461429754294</v>
      </c>
      <c r="K34" s="4"/>
      <c r="L34" s="4">
        <f t="shared" ref="L34:L44" si="6">+D34-H34</f>
        <v>20693.189999999944</v>
      </c>
      <c r="M34" s="4"/>
      <c r="N34" s="12">
        <f t="shared" ref="N34:N44" si="7">IF(H34=0,0,L34/H34)</f>
        <v>6.4339094665559621E-2</v>
      </c>
      <c r="O34" s="10"/>
      <c r="P34" s="4">
        <f>SUM(OSRRefP16x_0)</f>
        <v>342320.18999999994</v>
      </c>
      <c r="Q34" s="4"/>
      <c r="R34" s="12">
        <f t="shared" ref="R34:R44" si="8">IF(P$12=0,0,P34/P$12)</f>
        <v>0.9243468732307516</v>
      </c>
      <c r="S34" s="4"/>
      <c r="T34" s="4">
        <f>SUM(OSRRefT16x_0)</f>
        <v>321627</v>
      </c>
      <c r="U34" s="4"/>
      <c r="V34" s="12">
        <f t="shared" ref="V34:V44" si="9">IF(T$12=0,0,T34/T$12)</f>
        <v>0.78096461429754294</v>
      </c>
      <c r="W34" s="4"/>
      <c r="X34" s="4">
        <f t="shared" ref="X34:X44" si="10">+P34-T34</f>
        <v>20693.189999999944</v>
      </c>
      <c r="Y34" s="4"/>
      <c r="Z34" s="12">
        <f t="shared" ref="Z34:Z44" si="11">IF(T34=0,0,X34/T34)</f>
        <v>6.4339094665559621E-2</v>
      </c>
    </row>
    <row r="35" spans="1:26" s="24" customFormat="1" hidden="1" outlineLevel="1" x14ac:dyDescent="0.25">
      <c r="A35" s="51"/>
      <c r="B35" s="11" t="str">
        <f>CONCATENATE("          ", "5000", " - ", "PURCHASES @ COST")</f>
        <v xml:space="preserve">          5000 - PURCHASES @ COST</v>
      </c>
      <c r="C35" s="11"/>
      <c r="D35" s="2"/>
      <c r="E35" s="2"/>
      <c r="F35" s="22">
        <f t="shared" si="4"/>
        <v>0</v>
      </c>
      <c r="G35" s="2"/>
      <c r="H35" s="2">
        <v>321627</v>
      </c>
      <c r="I35" s="2"/>
      <c r="J35" s="22">
        <f t="shared" si="5"/>
        <v>0.78096461429754294</v>
      </c>
      <c r="K35" s="2"/>
      <c r="L35" s="2">
        <f t="shared" si="6"/>
        <v>-321627</v>
      </c>
      <c r="M35" s="2"/>
      <c r="N35" s="22">
        <f t="shared" si="7"/>
        <v>-1</v>
      </c>
      <c r="O35" s="11"/>
      <c r="P35" s="2"/>
      <c r="Q35" s="2"/>
      <c r="R35" s="22">
        <f t="shared" si="8"/>
        <v>0</v>
      </c>
      <c r="S35" s="2"/>
      <c r="T35" s="2">
        <v>321627</v>
      </c>
      <c r="U35" s="2"/>
      <c r="V35" s="22">
        <f t="shared" si="9"/>
        <v>0.78096461429754294</v>
      </c>
      <c r="W35" s="2"/>
      <c r="X35" s="2">
        <f t="shared" si="10"/>
        <v>-321627</v>
      </c>
      <c r="Y35" s="2"/>
      <c r="Z35" s="22">
        <f t="shared" si="11"/>
        <v>-1</v>
      </c>
    </row>
    <row r="36" spans="1:26" s="24" customFormat="1" hidden="1" outlineLevel="1" x14ac:dyDescent="0.25">
      <c r="A36" s="51"/>
      <c r="B36" s="11" t="str">
        <f>CONCATENATE("          ", "5081", " - ", "PURCHASES @ COST-ELECTRONICS")</f>
        <v xml:space="preserve">          5081 - PURCHASES @ COST-ELECTRONICS</v>
      </c>
      <c r="C36" s="11"/>
      <c r="D36" s="2">
        <v>66058.349999999991</v>
      </c>
      <c r="E36" s="2"/>
      <c r="F36" s="22">
        <f t="shared" si="4"/>
        <v>0.17837343825172164</v>
      </c>
      <c r="G36" s="2"/>
      <c r="H36" s="2"/>
      <c r="I36" s="2"/>
      <c r="J36" s="22">
        <f t="shared" si="5"/>
        <v>0</v>
      </c>
      <c r="K36" s="2"/>
      <c r="L36" s="2">
        <f t="shared" si="6"/>
        <v>66058.349999999991</v>
      </c>
      <c r="M36" s="2"/>
      <c r="N36" s="22">
        <f t="shared" si="7"/>
        <v>0</v>
      </c>
      <c r="O36" s="11"/>
      <c r="P36" s="2">
        <v>66058.349999999991</v>
      </c>
      <c r="Q36" s="2"/>
      <c r="R36" s="22">
        <f t="shared" si="8"/>
        <v>0.17837343825172164</v>
      </c>
      <c r="S36" s="2"/>
      <c r="T36" s="2"/>
      <c r="U36" s="2"/>
      <c r="V36" s="22">
        <f t="shared" si="9"/>
        <v>0</v>
      </c>
      <c r="W36" s="2"/>
      <c r="X36" s="2">
        <f t="shared" si="10"/>
        <v>66058.349999999991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"5082", " - ", "PURCHASES @ COST-COMPUTER HARD")</f>
        <v xml:space="preserve">          5082 - PURCHASES @ COST-COMPUTER HARD</v>
      </c>
      <c r="C37" s="11"/>
      <c r="D37" s="2">
        <v>356559.97</v>
      </c>
      <c r="E37" s="2"/>
      <c r="F37" s="22">
        <f t="shared" si="4"/>
        <v>0.96279770523833441</v>
      </c>
      <c r="G37" s="2"/>
      <c r="H37" s="2"/>
      <c r="I37" s="2"/>
      <c r="J37" s="22">
        <f t="shared" si="5"/>
        <v>0</v>
      </c>
      <c r="K37" s="2"/>
      <c r="L37" s="2">
        <f t="shared" si="6"/>
        <v>356559.97</v>
      </c>
      <c r="M37" s="2"/>
      <c r="N37" s="22">
        <f t="shared" si="7"/>
        <v>0</v>
      </c>
      <c r="O37" s="11"/>
      <c r="P37" s="2">
        <v>356559.97</v>
      </c>
      <c r="Q37" s="2"/>
      <c r="R37" s="22">
        <f t="shared" si="8"/>
        <v>0.96279770523833441</v>
      </c>
      <c r="S37" s="2"/>
      <c r="T37" s="2"/>
      <c r="U37" s="2"/>
      <c r="V37" s="22">
        <f t="shared" si="9"/>
        <v>0</v>
      </c>
      <c r="W37" s="2"/>
      <c r="X37" s="2">
        <f t="shared" si="10"/>
        <v>356559.97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"5083", " - ", "PURCHASES @ COST-COMPUTER EQUI")</f>
        <v xml:space="preserve">          5083 - PURCHASES @ COST-COMPUTER EQUI</v>
      </c>
      <c r="C38" s="11"/>
      <c r="D38" s="2">
        <v>7276.14</v>
      </c>
      <c r="E38" s="2"/>
      <c r="F38" s="22">
        <f t="shared" si="4"/>
        <v>1.9647328596625289E-2</v>
      </c>
      <c r="G38" s="2"/>
      <c r="H38" s="2"/>
      <c r="I38" s="2"/>
      <c r="J38" s="22">
        <f t="shared" si="5"/>
        <v>0</v>
      </c>
      <c r="K38" s="2"/>
      <c r="L38" s="2">
        <f t="shared" si="6"/>
        <v>7276.14</v>
      </c>
      <c r="M38" s="2"/>
      <c r="N38" s="22">
        <f t="shared" si="7"/>
        <v>0</v>
      </c>
      <c r="O38" s="11"/>
      <c r="P38" s="2">
        <v>7276.14</v>
      </c>
      <c r="Q38" s="2"/>
      <c r="R38" s="22">
        <f t="shared" si="8"/>
        <v>1.9647328596625289E-2</v>
      </c>
      <c r="S38" s="2"/>
      <c r="T38" s="2"/>
      <c r="U38" s="2"/>
      <c r="V38" s="22">
        <f t="shared" si="9"/>
        <v>0</v>
      </c>
      <c r="W38" s="2"/>
      <c r="X38" s="2">
        <f t="shared" si="10"/>
        <v>7276.14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"5086", " - ", "PURCHASES @ COST-COMPUTER SUPP")</f>
        <v xml:space="preserve">          5086 - PURCHASES @ COST-COMPUTER SUPP</v>
      </c>
      <c r="C39" s="11"/>
      <c r="D39" s="2">
        <v>3427.07</v>
      </c>
      <c r="E39" s="2"/>
      <c r="F39" s="22">
        <f t="shared" si="4"/>
        <v>9.2539135329497008E-3</v>
      </c>
      <c r="G39" s="2"/>
      <c r="H39" s="2"/>
      <c r="I39" s="2"/>
      <c r="J39" s="22">
        <f t="shared" si="5"/>
        <v>0</v>
      </c>
      <c r="K39" s="2"/>
      <c r="L39" s="2">
        <f t="shared" si="6"/>
        <v>3427.07</v>
      </c>
      <c r="M39" s="2"/>
      <c r="N39" s="22">
        <f t="shared" si="7"/>
        <v>0</v>
      </c>
      <c r="O39" s="11"/>
      <c r="P39" s="2">
        <v>3427.07</v>
      </c>
      <c r="Q39" s="2"/>
      <c r="R39" s="22">
        <f t="shared" si="8"/>
        <v>9.2539135329497008E-3</v>
      </c>
      <c r="S39" s="2"/>
      <c r="T39" s="2"/>
      <c r="U39" s="2"/>
      <c r="V39" s="22">
        <f t="shared" si="9"/>
        <v>0</v>
      </c>
      <c r="W39" s="2"/>
      <c r="X39" s="2">
        <f t="shared" si="10"/>
        <v>3427.07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"5088", " - ", "PURCHASES @ COST-MUSIC")</f>
        <v xml:space="preserve">          5088 - PURCHASES @ COST-MUSIC</v>
      </c>
      <c r="C40" s="11"/>
      <c r="D40" s="2">
        <v>82</v>
      </c>
      <c r="E40" s="2"/>
      <c r="F40" s="22">
        <f t="shared" si="4"/>
        <v>2.2141972871924862E-4</v>
      </c>
      <c r="G40" s="2"/>
      <c r="H40" s="2"/>
      <c r="I40" s="2"/>
      <c r="J40" s="22">
        <f t="shared" si="5"/>
        <v>0</v>
      </c>
      <c r="K40" s="2"/>
      <c r="L40" s="2">
        <f t="shared" si="6"/>
        <v>82</v>
      </c>
      <c r="M40" s="2"/>
      <c r="N40" s="22">
        <f t="shared" si="7"/>
        <v>0</v>
      </c>
      <c r="O40" s="11"/>
      <c r="P40" s="2">
        <v>82</v>
      </c>
      <c r="Q40" s="2"/>
      <c r="R40" s="22">
        <f t="shared" si="8"/>
        <v>2.2141972871924862E-4</v>
      </c>
      <c r="S40" s="2"/>
      <c r="T40" s="2"/>
      <c r="U40" s="2"/>
      <c r="V40" s="22">
        <f t="shared" si="9"/>
        <v>0</v>
      </c>
      <c r="W40" s="2"/>
      <c r="X40" s="2">
        <f t="shared" si="10"/>
        <v>82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"5200", " - ", "PURCHASES OFFSET")</f>
        <v xml:space="preserve">          5200 - PURCHASES OFFSET</v>
      </c>
      <c r="C41" s="11"/>
      <c r="D41" s="2">
        <v>-433440</v>
      </c>
      <c r="E41" s="2"/>
      <c r="F41" s="22">
        <f t="shared" si="4"/>
        <v>-1.1703922831228186</v>
      </c>
      <c r="G41" s="2"/>
      <c r="H41" s="2"/>
      <c r="I41" s="2"/>
      <c r="J41" s="22">
        <f t="shared" si="5"/>
        <v>0</v>
      </c>
      <c r="K41" s="2"/>
      <c r="L41" s="2">
        <f t="shared" si="6"/>
        <v>-433440</v>
      </c>
      <c r="M41" s="2"/>
      <c r="N41" s="22">
        <f t="shared" si="7"/>
        <v>0</v>
      </c>
      <c r="O41" s="11"/>
      <c r="P41" s="2">
        <v>-433440</v>
      </c>
      <c r="Q41" s="2"/>
      <c r="R41" s="22">
        <f t="shared" si="8"/>
        <v>-1.1703922831228186</v>
      </c>
      <c r="S41" s="2"/>
      <c r="T41" s="2"/>
      <c r="U41" s="2"/>
      <c r="V41" s="22">
        <f t="shared" si="9"/>
        <v>0</v>
      </c>
      <c r="W41" s="2"/>
      <c r="X41" s="2">
        <f t="shared" si="10"/>
        <v>-433440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"5300", " - ", "COG$ OFFSET")</f>
        <v xml:space="preserve">          5300 - COG$ OFFSET</v>
      </c>
      <c r="C42" s="11"/>
      <c r="D42" s="2">
        <v>342320</v>
      </c>
      <c r="E42" s="2"/>
      <c r="F42" s="22">
        <f t="shared" si="4"/>
        <v>0.92434636018503891</v>
      </c>
      <c r="G42" s="2"/>
      <c r="H42" s="2"/>
      <c r="I42" s="2"/>
      <c r="J42" s="22">
        <f t="shared" si="5"/>
        <v>0</v>
      </c>
      <c r="K42" s="2"/>
      <c r="L42" s="2">
        <f t="shared" si="6"/>
        <v>342320</v>
      </c>
      <c r="M42" s="2"/>
      <c r="N42" s="22">
        <f t="shared" si="7"/>
        <v>0</v>
      </c>
      <c r="O42" s="11"/>
      <c r="P42" s="2">
        <v>342320</v>
      </c>
      <c r="Q42" s="2"/>
      <c r="R42" s="22">
        <f t="shared" si="8"/>
        <v>0.92434636018503891</v>
      </c>
      <c r="S42" s="2"/>
      <c r="T42" s="2"/>
      <c r="U42" s="2"/>
      <c r="V42" s="22">
        <f t="shared" si="9"/>
        <v>0</v>
      </c>
      <c r="W42" s="2"/>
      <c r="X42" s="2">
        <f t="shared" si="10"/>
        <v>342320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"5583", " - ", "FREIGHT-IN-COMPUTER EQUIPMENT")</f>
        <v xml:space="preserve">          5583 - FREIGHT-IN-COMPUTER EQUIPMENT</v>
      </c>
      <c r="C43" s="11"/>
      <c r="D43" s="2">
        <v>6.99</v>
      </c>
      <c r="E43" s="2"/>
      <c r="F43" s="22">
        <f t="shared" si="4"/>
        <v>1.8874681753018875E-5</v>
      </c>
      <c r="G43" s="2"/>
      <c r="H43" s="2"/>
      <c r="I43" s="2"/>
      <c r="J43" s="22">
        <f t="shared" si="5"/>
        <v>0</v>
      </c>
      <c r="K43" s="2"/>
      <c r="L43" s="2">
        <f t="shared" si="6"/>
        <v>6.99</v>
      </c>
      <c r="M43" s="2"/>
      <c r="N43" s="22">
        <f t="shared" si="7"/>
        <v>0</v>
      </c>
      <c r="O43" s="11"/>
      <c r="P43" s="2">
        <v>6.99</v>
      </c>
      <c r="Q43" s="2"/>
      <c r="R43" s="22">
        <f t="shared" si="8"/>
        <v>1.8874681753018875E-5</v>
      </c>
      <c r="S43" s="2"/>
      <c r="T43" s="2"/>
      <c r="U43" s="2"/>
      <c r="V43" s="22">
        <f t="shared" si="9"/>
        <v>0</v>
      </c>
      <c r="W43" s="2"/>
      <c r="X43" s="2">
        <f t="shared" si="10"/>
        <v>6.99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"5586", " - ", "FREIGHT-IN-COMPUTER SUPPLIES")</f>
        <v xml:space="preserve">          5586 - FREIGHT-IN-COMPUTER SUPPLIES</v>
      </c>
      <c r="C44" s="11"/>
      <c r="D44" s="2">
        <v>29.67</v>
      </c>
      <c r="E44" s="2"/>
      <c r="F44" s="22">
        <f t="shared" si="4"/>
        <v>8.0116138428050086E-5</v>
      </c>
      <c r="G44" s="2"/>
      <c r="H44" s="2"/>
      <c r="I44" s="2"/>
      <c r="J44" s="22">
        <f t="shared" si="5"/>
        <v>0</v>
      </c>
      <c r="K44" s="2"/>
      <c r="L44" s="2">
        <f t="shared" si="6"/>
        <v>29.67</v>
      </c>
      <c r="M44" s="2"/>
      <c r="N44" s="22">
        <f t="shared" si="7"/>
        <v>0</v>
      </c>
      <c r="O44" s="11"/>
      <c r="P44" s="2">
        <v>29.67</v>
      </c>
      <c r="Q44" s="2"/>
      <c r="R44" s="22">
        <f t="shared" si="8"/>
        <v>8.0116138428050086E-5</v>
      </c>
      <c r="S44" s="2"/>
      <c r="T44" s="2"/>
      <c r="U44" s="2"/>
      <c r="V44" s="22">
        <f t="shared" si="9"/>
        <v>0</v>
      </c>
      <c r="W44" s="2"/>
      <c r="X44" s="2">
        <f t="shared" si="10"/>
        <v>29.67</v>
      </c>
      <c r="Y44" s="2"/>
      <c r="Z44" s="22">
        <f t="shared" si="11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6" t="s">
        <v>6</v>
      </c>
      <c r="C46" s="26"/>
      <c r="D46" s="21">
        <f>D12-D34</f>
        <v>28017.180000000051</v>
      </c>
      <c r="E46" s="13"/>
      <c r="F46" s="19">
        <f>IF(D$12=0,0,D46/D$12)</f>
        <v>7.5653126769248402E-2</v>
      </c>
      <c r="G46" s="13"/>
      <c r="H46" s="21">
        <f>H12-H34</f>
        <v>90206</v>
      </c>
      <c r="I46" s="13"/>
      <c r="J46" s="19">
        <f>IF(H$12=0,0,H46/H$12)</f>
        <v>0.21903538570245706</v>
      </c>
      <c r="K46" s="15"/>
      <c r="L46" s="21">
        <f>+D46-H46</f>
        <v>-62188.819999999949</v>
      </c>
      <c r="M46" s="15"/>
      <c r="N46" s="19">
        <f>IF(H46=0,0,L46/H46)</f>
        <v>-0.68940890849832548</v>
      </c>
      <c r="O46" s="25"/>
      <c r="P46" s="21">
        <f>P12-P34</f>
        <v>28017.180000000051</v>
      </c>
      <c r="Q46" s="13"/>
      <c r="R46" s="19">
        <f>IF(P$12=0,0,P46/P$12)</f>
        <v>7.5653126769248402E-2</v>
      </c>
      <c r="S46" s="13"/>
      <c r="T46" s="21">
        <f>T12-T34</f>
        <v>90206</v>
      </c>
      <c r="U46" s="13"/>
      <c r="V46" s="19">
        <f>IF(T$12=0,0,T46/T$12)</f>
        <v>0.21903538570245706</v>
      </c>
      <c r="W46" s="15"/>
      <c r="X46" s="21">
        <f>+P46-T46</f>
        <v>-62188.819999999949</v>
      </c>
      <c r="Y46" s="15"/>
      <c r="Z46" s="19">
        <f>IF(T46=0,0,X46/T46)</f>
        <v>-0.68940890849832548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5" t="s">
        <v>9</v>
      </c>
      <c r="C48" s="10"/>
      <c r="D48" s="20">
        <f>SUM(OSRRefD22x_0)</f>
        <v>25028.93</v>
      </c>
      <c r="E48" s="20"/>
      <c r="F48" s="30">
        <f t="shared" ref="F48:F59" si="12">IF(D$12=0,0,D48/D$12)</f>
        <v>6.7584132813817852E-2</v>
      </c>
      <c r="G48" s="20"/>
      <c r="H48" s="20">
        <f>SUM(OSRRefH22x_0)</f>
        <v>16313.977036896154</v>
      </c>
      <c r="I48" s="20"/>
      <c r="J48" s="30">
        <f t="shared" ref="J48:J59" si="13">IF(H$12=0,0,H48/H$12)</f>
        <v>3.9613088404513858E-2</v>
      </c>
      <c r="K48" s="4"/>
      <c r="L48" s="20">
        <f t="shared" ref="L48:L59" si="14">+D48-H48</f>
        <v>8714.9529631038458</v>
      </c>
      <c r="M48" s="4"/>
      <c r="N48" s="30">
        <f t="shared" ref="N48:N59" si="15">IF(H48=0,0,L48/H48)</f>
        <v>0.53420162008281979</v>
      </c>
      <c r="O48" s="10"/>
      <c r="P48" s="20">
        <f>SUM(OSRRefP22x_0)</f>
        <v>25028.93</v>
      </c>
      <c r="Q48" s="20"/>
      <c r="R48" s="30">
        <f t="shared" ref="R48:R59" si="16">IF(P$12=0,0,P48/P$12)</f>
        <v>6.7584132813817852E-2</v>
      </c>
      <c r="S48" s="20"/>
      <c r="T48" s="20">
        <f>SUM(OSRRefT22x_0)</f>
        <v>16313.977036896154</v>
      </c>
      <c r="U48" s="20"/>
      <c r="V48" s="30">
        <f t="shared" ref="V48:V59" si="17">IF(T$12=0,0,T48/T$12)</f>
        <v>3.9613088404513858E-2</v>
      </c>
      <c r="W48" s="4"/>
      <c r="X48" s="20">
        <f t="shared" ref="X48:X59" si="18">+P48-T48</f>
        <v>8714.9529631038458</v>
      </c>
      <c r="Y48" s="4"/>
      <c r="Z48" s="30">
        <f t="shared" ref="Z48:Z59" si="19">IF(T48=0,0,X48/T48)</f>
        <v>0.53420162008281979</v>
      </c>
    </row>
    <row r="49" spans="1:26" s="27" customFormat="1" outlineLevel="1" collapsed="1" x14ac:dyDescent="0.25">
      <c r="A49" s="28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2718.76</v>
      </c>
      <c r="E49" s="1"/>
      <c r="F49" s="5">
        <f t="shared" si="12"/>
        <v>7.3413061177163954E-3</v>
      </c>
      <c r="G49" s="1"/>
      <c r="H49" s="1">
        <f>SUM(OSRRefH22_0x_0)</f>
        <v>2938.2252984346151</v>
      </c>
      <c r="I49" s="1"/>
      <c r="J49" s="5">
        <f t="shared" si="13"/>
        <v>7.1345067015868447E-3</v>
      </c>
      <c r="K49" s="1"/>
      <c r="L49" s="1">
        <f t="shared" si="14"/>
        <v>-219.46529843461485</v>
      </c>
      <c r="M49" s="1"/>
      <c r="N49" s="5">
        <f t="shared" si="15"/>
        <v>-7.4693148463304826E-2</v>
      </c>
      <c r="O49" s="14"/>
      <c r="P49" s="1">
        <f>SUM(OSRRefP22_0x_0)</f>
        <v>2718.76</v>
      </c>
      <c r="Q49" s="1"/>
      <c r="R49" s="5">
        <f t="shared" si="16"/>
        <v>7.3413061177163954E-3</v>
      </c>
      <c r="S49" s="1"/>
      <c r="T49" s="1">
        <f>SUM(OSRRefT22_0x_0)</f>
        <v>2938.2252984346151</v>
      </c>
      <c r="U49" s="1"/>
      <c r="V49" s="5">
        <f t="shared" si="17"/>
        <v>7.1345067015868447E-3</v>
      </c>
      <c r="W49" s="1"/>
      <c r="X49" s="1">
        <f t="shared" si="18"/>
        <v>-219.46529843461485</v>
      </c>
      <c r="Y49" s="1"/>
      <c r="Z49" s="5">
        <f t="shared" si="19"/>
        <v>-7.4693148463304826E-2</v>
      </c>
    </row>
    <row r="50" spans="1:26" s="24" customFormat="1" hidden="1" outlineLevel="2" x14ac:dyDescent="0.25">
      <c r="A50" s="29"/>
      <c r="B50" s="11" t="str">
        <f>CONCATENATE("          ", "6111", " - ", "F.I.C.A.")</f>
        <v xml:space="preserve">          6111 - F.I.C.A.</v>
      </c>
      <c r="C50" s="11"/>
      <c r="D50" s="7">
        <v>497.85</v>
      </c>
      <c r="E50" s="2"/>
      <c r="F50" s="6">
        <f t="shared" si="12"/>
        <v>1.3443147797911942E-3</v>
      </c>
      <c r="G50" s="2"/>
      <c r="H50" s="7">
        <v>763.20605089615401</v>
      </c>
      <c r="I50" s="2"/>
      <c r="J50" s="6">
        <f t="shared" si="13"/>
        <v>1.8531930440157879E-3</v>
      </c>
      <c r="K50" s="2"/>
      <c r="L50" s="7">
        <f t="shared" si="14"/>
        <v>-265.35605089615399</v>
      </c>
      <c r="M50" s="2"/>
      <c r="N50" s="6">
        <f t="shared" si="15"/>
        <v>-0.34768598936627115</v>
      </c>
      <c r="O50" s="11"/>
      <c r="P50" s="7">
        <v>497.85</v>
      </c>
      <c r="Q50" s="2"/>
      <c r="R50" s="6">
        <f t="shared" si="16"/>
        <v>1.3443147797911942E-3</v>
      </c>
      <c r="S50" s="2"/>
      <c r="T50" s="7">
        <v>763.20605089615401</v>
      </c>
      <c r="U50" s="2"/>
      <c r="V50" s="6">
        <f t="shared" si="17"/>
        <v>1.8531930440157879E-3</v>
      </c>
      <c r="W50" s="2"/>
      <c r="X50" s="7">
        <f t="shared" si="18"/>
        <v>-265.35605089615399</v>
      </c>
      <c r="Y50" s="2"/>
      <c r="Z50" s="6">
        <f t="shared" si="19"/>
        <v>-0.34768598936627115</v>
      </c>
    </row>
    <row r="51" spans="1:26" s="24" customFormat="1" hidden="1" outlineLevel="2" x14ac:dyDescent="0.25">
      <c r="A51" s="29"/>
      <c r="B51" s="11" t="str">
        <f>CONCATENATE("          ", "6112", " - ", "COMPENSATION INSURANCE")</f>
        <v xml:space="preserve">          6112 - COMPENSATION INSURANCE</v>
      </c>
      <c r="C51" s="11"/>
      <c r="D51" s="7">
        <v>123.65</v>
      </c>
      <c r="E51" s="2"/>
      <c r="F51" s="6">
        <f t="shared" si="12"/>
        <v>3.3388474946506212E-4</v>
      </c>
      <c r="G51" s="2"/>
      <c r="H51" s="7">
        <v>189.480138076923</v>
      </c>
      <c r="I51" s="2"/>
      <c r="J51" s="6">
        <f t="shared" si="13"/>
        <v>4.6008974044557622E-4</v>
      </c>
      <c r="K51" s="2"/>
      <c r="L51" s="7">
        <f t="shared" si="14"/>
        <v>-65.830138076922992</v>
      </c>
      <c r="M51" s="2"/>
      <c r="N51" s="6">
        <f t="shared" si="15"/>
        <v>-0.34742500583463803</v>
      </c>
      <c r="O51" s="11"/>
      <c r="P51" s="7">
        <v>123.65</v>
      </c>
      <c r="Q51" s="2"/>
      <c r="R51" s="6">
        <f t="shared" si="16"/>
        <v>3.3388474946506212E-4</v>
      </c>
      <c r="S51" s="2"/>
      <c r="T51" s="7">
        <v>189.480138076923</v>
      </c>
      <c r="U51" s="2"/>
      <c r="V51" s="6">
        <f t="shared" si="17"/>
        <v>4.6008974044557622E-4</v>
      </c>
      <c r="W51" s="2"/>
      <c r="X51" s="7">
        <f t="shared" si="18"/>
        <v>-65.830138076922992</v>
      </c>
      <c r="Y51" s="2"/>
      <c r="Z51" s="6">
        <f t="shared" si="19"/>
        <v>-0.34742500583463803</v>
      </c>
    </row>
    <row r="52" spans="1:26" s="24" customFormat="1" hidden="1" outlineLevel="2" x14ac:dyDescent="0.25">
      <c r="A52" s="29"/>
      <c r="B52" s="11" t="str">
        <f>CONCATENATE("          ", "6113", " - ", "GROUP INSURANCE")</f>
        <v xml:space="preserve">          6113 - GROUP INSURANCE</v>
      </c>
      <c r="C52" s="11"/>
      <c r="D52" s="7">
        <v>964.88</v>
      </c>
      <c r="E52" s="2"/>
      <c r="F52" s="6">
        <f t="shared" si="12"/>
        <v>2.6054081444710805E-3</v>
      </c>
      <c r="G52" s="2"/>
      <c r="H52" s="7">
        <v>1186.2</v>
      </c>
      <c r="I52" s="2"/>
      <c r="J52" s="6">
        <f t="shared" si="13"/>
        <v>2.8802937112858856E-3</v>
      </c>
      <c r="K52" s="2"/>
      <c r="L52" s="7">
        <f t="shared" si="14"/>
        <v>-221.32000000000005</v>
      </c>
      <c r="M52" s="2"/>
      <c r="N52" s="6">
        <f t="shared" si="15"/>
        <v>-0.1865789917383241</v>
      </c>
      <c r="O52" s="11"/>
      <c r="P52" s="7">
        <v>964.88</v>
      </c>
      <c r="Q52" s="2"/>
      <c r="R52" s="6">
        <f t="shared" si="16"/>
        <v>2.6054081444710805E-3</v>
      </c>
      <c r="S52" s="2"/>
      <c r="T52" s="7">
        <v>1186.2</v>
      </c>
      <c r="U52" s="2"/>
      <c r="V52" s="6">
        <f t="shared" si="17"/>
        <v>2.8802937112858856E-3</v>
      </c>
      <c r="W52" s="2"/>
      <c r="X52" s="7">
        <f t="shared" si="18"/>
        <v>-221.32000000000005</v>
      </c>
      <c r="Y52" s="2"/>
      <c r="Z52" s="6">
        <f t="shared" si="19"/>
        <v>-0.1865789917383241</v>
      </c>
    </row>
    <row r="53" spans="1:26" s="24" customFormat="1" hidden="1" outlineLevel="2" x14ac:dyDescent="0.25">
      <c r="A53" s="29"/>
      <c r="B53" s="11" t="str">
        <f>CONCATENATE("          ", "6114", " - ", "STATE UNEMPLOYMENT INSURANCE")</f>
        <v xml:space="preserve">          6114 - STATE UNEMPLOYMENT INSURANCE</v>
      </c>
      <c r="C53" s="11"/>
      <c r="D53" s="7">
        <v>16.920000000000002</v>
      </c>
      <c r="E53" s="2"/>
      <c r="F53" s="6">
        <f t="shared" si="12"/>
        <v>4.5688070852801064E-5</v>
      </c>
      <c r="G53" s="2"/>
      <c r="H53" s="7">
        <v>25.928861000000001</v>
      </c>
      <c r="I53" s="2"/>
      <c r="J53" s="6">
        <f t="shared" si="13"/>
        <v>6.2959648692552573E-5</v>
      </c>
      <c r="K53" s="2"/>
      <c r="L53" s="7">
        <f t="shared" si="14"/>
        <v>-9.0088609999999996</v>
      </c>
      <c r="M53" s="2"/>
      <c r="N53" s="6">
        <f t="shared" si="15"/>
        <v>-0.34744530428853004</v>
      </c>
      <c r="O53" s="11"/>
      <c r="P53" s="7">
        <v>16.920000000000002</v>
      </c>
      <c r="Q53" s="2"/>
      <c r="R53" s="6">
        <f t="shared" si="16"/>
        <v>4.5688070852801064E-5</v>
      </c>
      <c r="S53" s="2"/>
      <c r="T53" s="7">
        <v>25.928861000000001</v>
      </c>
      <c r="U53" s="2"/>
      <c r="V53" s="6">
        <f t="shared" si="17"/>
        <v>6.2959648692552573E-5</v>
      </c>
      <c r="W53" s="2"/>
      <c r="X53" s="7">
        <f t="shared" si="18"/>
        <v>-9.0088609999999996</v>
      </c>
      <c r="Y53" s="2"/>
      <c r="Z53" s="6">
        <f t="shared" si="19"/>
        <v>-0.34744530428853004</v>
      </c>
    </row>
    <row r="54" spans="1:26" s="24" customFormat="1" hidden="1" outlineLevel="2" x14ac:dyDescent="0.25">
      <c r="A54" s="29"/>
      <c r="B54" s="11" t="str">
        <f>CONCATENATE("          ", "6115", " - ", "P.E.R.S.")</f>
        <v xml:space="preserve">          6115 - P.E.R.S.</v>
      </c>
      <c r="C54" s="11"/>
      <c r="D54" s="7">
        <v>183.4</v>
      </c>
      <c r="E54" s="2"/>
      <c r="F54" s="6">
        <f t="shared" si="12"/>
        <v>4.9522412496475854E-4</v>
      </c>
      <c r="G54" s="2"/>
      <c r="H54" s="7">
        <v>367.528640769231</v>
      </c>
      <c r="I54" s="2"/>
      <c r="J54" s="6">
        <f t="shared" si="13"/>
        <v>8.9242154166672169E-4</v>
      </c>
      <c r="K54" s="2"/>
      <c r="L54" s="7">
        <f t="shared" si="14"/>
        <v>-184.128640769231</v>
      </c>
      <c r="M54" s="2"/>
      <c r="N54" s="6">
        <f t="shared" si="15"/>
        <v>-0.50099127073158978</v>
      </c>
      <c r="O54" s="11"/>
      <c r="P54" s="7">
        <v>183.4</v>
      </c>
      <c r="Q54" s="2"/>
      <c r="R54" s="6">
        <f t="shared" si="16"/>
        <v>4.9522412496475854E-4</v>
      </c>
      <c r="S54" s="2"/>
      <c r="T54" s="7">
        <v>367.528640769231</v>
      </c>
      <c r="U54" s="2"/>
      <c r="V54" s="6">
        <f t="shared" si="17"/>
        <v>8.9242154166672169E-4</v>
      </c>
      <c r="W54" s="2"/>
      <c r="X54" s="7">
        <f t="shared" si="18"/>
        <v>-184.128640769231</v>
      </c>
      <c r="Y54" s="2"/>
      <c r="Z54" s="6">
        <f t="shared" si="19"/>
        <v>-0.50099127073158978</v>
      </c>
    </row>
    <row r="55" spans="1:26" s="24" customFormat="1" hidden="1" outlineLevel="2" x14ac:dyDescent="0.25">
      <c r="A55" s="29"/>
      <c r="B55" s="11" t="str">
        <f>CONCATENATE("          ", "6116", " - ", "EDUCATIONAL BENEFITS")</f>
        <v xml:space="preserve">          6116 - EDUCATIONAL BENEFITS</v>
      </c>
      <c r="C55" s="11"/>
      <c r="D55" s="7"/>
      <c r="E55" s="2"/>
      <c r="F55" s="6">
        <f t="shared" si="12"/>
        <v>0</v>
      </c>
      <c r="G55" s="2"/>
      <c r="H55" s="7">
        <v>0</v>
      </c>
      <c r="I55" s="2"/>
      <c r="J55" s="6">
        <f t="shared" si="13"/>
        <v>0</v>
      </c>
      <c r="K55" s="2"/>
      <c r="L55" s="7">
        <f t="shared" si="14"/>
        <v>0</v>
      </c>
      <c r="M55" s="2"/>
      <c r="N55" s="6">
        <f t="shared" si="15"/>
        <v>0</v>
      </c>
      <c r="O55" s="11"/>
      <c r="P55" s="7"/>
      <c r="Q55" s="2"/>
      <c r="R55" s="6">
        <f t="shared" si="16"/>
        <v>0</v>
      </c>
      <c r="S55" s="2"/>
      <c r="T55" s="7">
        <v>0</v>
      </c>
      <c r="U55" s="2"/>
      <c r="V55" s="6">
        <f t="shared" si="17"/>
        <v>0</v>
      </c>
      <c r="W55" s="2"/>
      <c r="X55" s="7">
        <f t="shared" si="18"/>
        <v>0</v>
      </c>
      <c r="Y55" s="2"/>
      <c r="Z55" s="6">
        <f t="shared" si="19"/>
        <v>0</v>
      </c>
    </row>
    <row r="56" spans="1:26" s="24" customFormat="1" hidden="1" outlineLevel="2" x14ac:dyDescent="0.25">
      <c r="A56" s="29"/>
      <c r="B56" s="11" t="str">
        <f>CONCATENATE("          ", "6117", " - ", "RETIREMENT STAFF HOURLY")</f>
        <v xml:space="preserve">          6117 - RETIREMENT STAFF HOURLY</v>
      </c>
      <c r="C56" s="11"/>
      <c r="D56" s="7">
        <v>140.12</v>
      </c>
      <c r="E56" s="2"/>
      <c r="F56" s="6">
        <f t="shared" si="12"/>
        <v>3.7835771205050142E-4</v>
      </c>
      <c r="G56" s="2"/>
      <c r="H56" s="7"/>
      <c r="I56" s="2"/>
      <c r="J56" s="6">
        <f t="shared" si="13"/>
        <v>0</v>
      </c>
      <c r="K56" s="2"/>
      <c r="L56" s="7">
        <f t="shared" si="14"/>
        <v>140.12</v>
      </c>
      <c r="M56" s="2"/>
      <c r="N56" s="6">
        <f t="shared" si="15"/>
        <v>0</v>
      </c>
      <c r="O56" s="11"/>
      <c r="P56" s="7">
        <v>140.12</v>
      </c>
      <c r="Q56" s="2"/>
      <c r="R56" s="6">
        <f t="shared" si="16"/>
        <v>3.7835771205050142E-4</v>
      </c>
      <c r="S56" s="2"/>
      <c r="T56" s="7"/>
      <c r="U56" s="2"/>
      <c r="V56" s="6">
        <f t="shared" si="17"/>
        <v>0</v>
      </c>
      <c r="W56" s="2"/>
      <c r="X56" s="7">
        <f t="shared" si="18"/>
        <v>140.12</v>
      </c>
      <c r="Y56" s="2"/>
      <c r="Z56" s="6">
        <f t="shared" si="19"/>
        <v>0</v>
      </c>
    </row>
    <row r="57" spans="1:26" s="24" customFormat="1" hidden="1" outlineLevel="2" x14ac:dyDescent="0.25">
      <c r="A57" s="29"/>
      <c r="B57" s="11" t="str">
        <f>CONCATENATE("          ", "6118", " - ", "VACATION")</f>
        <v xml:space="preserve">          6118 - VACATION</v>
      </c>
      <c r="C57" s="11"/>
      <c r="D57" s="7">
        <v>313.32</v>
      </c>
      <c r="E57" s="2"/>
      <c r="F57" s="6">
        <f t="shared" si="12"/>
        <v>8.4603938295506071E-4</v>
      </c>
      <c r="G57" s="2"/>
      <c r="H57" s="7">
        <v>213.679442307692</v>
      </c>
      <c r="I57" s="2"/>
      <c r="J57" s="6">
        <f t="shared" si="13"/>
        <v>5.1884973352716267E-4</v>
      </c>
      <c r="K57" s="2"/>
      <c r="L57" s="7">
        <f t="shared" si="14"/>
        <v>99.640557692307993</v>
      </c>
      <c r="M57" s="2"/>
      <c r="N57" s="6">
        <f t="shared" si="15"/>
        <v>0.46630858175316919</v>
      </c>
      <c r="O57" s="11"/>
      <c r="P57" s="7">
        <v>313.32</v>
      </c>
      <c r="Q57" s="2"/>
      <c r="R57" s="6">
        <f t="shared" si="16"/>
        <v>8.4603938295506071E-4</v>
      </c>
      <c r="S57" s="2"/>
      <c r="T57" s="7">
        <v>213.679442307692</v>
      </c>
      <c r="U57" s="2"/>
      <c r="V57" s="6">
        <f t="shared" si="17"/>
        <v>5.1884973352716267E-4</v>
      </c>
      <c r="W57" s="2"/>
      <c r="X57" s="7">
        <f t="shared" si="18"/>
        <v>99.640557692307993</v>
      </c>
      <c r="Y57" s="2"/>
      <c r="Z57" s="6">
        <f t="shared" si="19"/>
        <v>0.46630858175316919</v>
      </c>
    </row>
    <row r="58" spans="1:26" s="24" customFormat="1" hidden="1" outlineLevel="2" x14ac:dyDescent="0.25">
      <c r="A58" s="29"/>
      <c r="B58" s="11" t="str">
        <f>CONCATENATE("          ", "6119", " - ", "SICK LEAVE")</f>
        <v xml:space="preserve">          6119 - SICK LEAVE</v>
      </c>
      <c r="C58" s="11"/>
      <c r="D58" s="7">
        <v>328.62</v>
      </c>
      <c r="E58" s="2"/>
      <c r="F58" s="6">
        <f t="shared" si="12"/>
        <v>8.8735306404535952E-4</v>
      </c>
      <c r="G58" s="2"/>
      <c r="H58" s="7">
        <v>192.202165384615</v>
      </c>
      <c r="I58" s="2"/>
      <c r="J58" s="6">
        <f t="shared" si="13"/>
        <v>4.6669928195315819E-4</v>
      </c>
      <c r="K58" s="2"/>
      <c r="L58" s="7">
        <f t="shared" si="14"/>
        <v>136.417834615385</v>
      </c>
      <c r="M58" s="2"/>
      <c r="N58" s="6">
        <f t="shared" si="15"/>
        <v>0.70976221491781744</v>
      </c>
      <c r="O58" s="11"/>
      <c r="P58" s="7">
        <v>328.62</v>
      </c>
      <c r="Q58" s="2"/>
      <c r="R58" s="6">
        <f t="shared" si="16"/>
        <v>8.8735306404535952E-4</v>
      </c>
      <c r="S58" s="2"/>
      <c r="T58" s="7">
        <v>192.202165384615</v>
      </c>
      <c r="U58" s="2"/>
      <c r="V58" s="6">
        <f t="shared" si="17"/>
        <v>4.6669928195315819E-4</v>
      </c>
      <c r="W58" s="2"/>
      <c r="X58" s="7">
        <f t="shared" si="18"/>
        <v>136.417834615385</v>
      </c>
      <c r="Y58" s="2"/>
      <c r="Z58" s="6">
        <f t="shared" si="19"/>
        <v>0.70976221491781744</v>
      </c>
    </row>
    <row r="59" spans="1:26" s="24" customFormat="1" hidden="1" outlineLevel="2" x14ac:dyDescent="0.25">
      <c r="A59" s="29"/>
      <c r="B59" s="11" t="str">
        <f>CONCATENATE("          ", "6156", " - ", "EMPLOYEE MEALS")</f>
        <v xml:space="preserve">          6156 - EMPLOYEE MEALS</v>
      </c>
      <c r="C59" s="11"/>
      <c r="D59" s="7">
        <v>150</v>
      </c>
      <c r="E59" s="2"/>
      <c r="F59" s="6">
        <f t="shared" si="12"/>
        <v>4.0503608912057675E-4</v>
      </c>
      <c r="G59" s="2"/>
      <c r="H59" s="7"/>
      <c r="I59" s="2"/>
      <c r="J59" s="6">
        <f t="shared" si="13"/>
        <v>0</v>
      </c>
      <c r="K59" s="2"/>
      <c r="L59" s="7">
        <f t="shared" si="14"/>
        <v>150</v>
      </c>
      <c r="M59" s="2"/>
      <c r="N59" s="6">
        <f t="shared" si="15"/>
        <v>0</v>
      </c>
      <c r="O59" s="11"/>
      <c r="P59" s="7">
        <v>150</v>
      </c>
      <c r="Q59" s="2"/>
      <c r="R59" s="6">
        <f t="shared" si="16"/>
        <v>4.0503608912057675E-4</v>
      </c>
      <c r="S59" s="2"/>
      <c r="T59" s="7"/>
      <c r="U59" s="2"/>
      <c r="V59" s="6">
        <f t="shared" si="17"/>
        <v>0</v>
      </c>
      <c r="W59" s="2"/>
      <c r="X59" s="7">
        <f t="shared" si="18"/>
        <v>150</v>
      </c>
      <c r="Y59" s="2"/>
      <c r="Z59" s="6">
        <f t="shared" si="19"/>
        <v>0</v>
      </c>
    </row>
    <row r="60" spans="1:26" s="27" customFormat="1" outlineLevel="1" collapsed="1" x14ac:dyDescent="0.25">
      <c r="A60" s="28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7913.5400000000009</v>
      </c>
      <c r="E60" s="1"/>
      <c r="F60" s="5">
        <f t="shared" ref="F60:F70" si="20">IF(D$12=0,0,D60/D$12)</f>
        <v>2.1368461951328327E-2</v>
      </c>
      <c r="G60" s="1"/>
      <c r="H60" s="1">
        <f>SUM(OSRRefH22_1x_0)</f>
        <v>9630.7517384615403</v>
      </c>
      <c r="I60" s="1"/>
      <c r="J60" s="5">
        <f t="shared" ref="J60:J70" si="21">IF(H$12=0,0,H60/H$12)</f>
        <v>2.3385089923492145E-2</v>
      </c>
      <c r="K60" s="1"/>
      <c r="L60" s="1">
        <f t="shared" ref="L60:L70" si="22">+D60-H60</f>
        <v>-1717.2117384615394</v>
      </c>
      <c r="M60" s="1"/>
      <c r="N60" s="5">
        <f t="shared" ref="N60:N70" si="23">IF(H60=0,0,L60/H60)</f>
        <v>-0.17830505708122993</v>
      </c>
      <c r="O60" s="14"/>
      <c r="P60" s="1">
        <f>SUM(OSRRefP22_1x_0)</f>
        <v>7913.5400000000009</v>
      </c>
      <c r="Q60" s="1"/>
      <c r="R60" s="5">
        <f t="shared" ref="R60:R70" si="24">IF(P$12=0,0,P60/P$12)</f>
        <v>2.1368461951328327E-2</v>
      </c>
      <c r="S60" s="1"/>
      <c r="T60" s="1">
        <f>SUM(OSRRefT22_1x_0)</f>
        <v>9630.7517384615403</v>
      </c>
      <c r="U60" s="1"/>
      <c r="V60" s="5">
        <f t="shared" ref="V60:V70" si="25">IF(T$12=0,0,T60/T$12)</f>
        <v>2.3385089923492145E-2</v>
      </c>
      <c r="W60" s="1"/>
      <c r="X60" s="1">
        <f t="shared" ref="X60:X70" si="26">+P60-T60</f>
        <v>-1717.2117384615394</v>
      </c>
      <c r="Y60" s="1"/>
      <c r="Z60" s="5">
        <f t="shared" ref="Z60:Z70" si="27">IF(T60=0,0,X60/T60)</f>
        <v>-0.17830505708122993</v>
      </c>
    </row>
    <row r="61" spans="1:26" s="24" customFormat="1" hidden="1" outlineLevel="2" x14ac:dyDescent="0.25">
      <c r="A61" s="29"/>
      <c r="B61" s="11" t="str">
        <f>CONCATENATE("          ", "6001", " - ", "ADMINISTRATIVE SALARIES")</f>
        <v xml:space="preserve">          6001 - ADMINISTRATIVE SALARIES</v>
      </c>
      <c r="C61" s="11"/>
      <c r="D61" s="7"/>
      <c r="E61" s="2"/>
      <c r="F61" s="6">
        <f t="shared" si="20"/>
        <v>0</v>
      </c>
      <c r="G61" s="2"/>
      <c r="H61" s="7">
        <v>3931.7017384615406</v>
      </c>
      <c r="I61" s="2"/>
      <c r="J61" s="6">
        <f t="shared" si="21"/>
        <v>9.5468350968998129E-3</v>
      </c>
      <c r="K61" s="2"/>
      <c r="L61" s="7">
        <f t="shared" si="22"/>
        <v>-3931.7017384615406</v>
      </c>
      <c r="M61" s="2"/>
      <c r="N61" s="6">
        <f t="shared" si="23"/>
        <v>-1</v>
      </c>
      <c r="O61" s="11"/>
      <c r="P61" s="7"/>
      <c r="Q61" s="2"/>
      <c r="R61" s="6">
        <f t="shared" si="24"/>
        <v>0</v>
      </c>
      <c r="S61" s="2"/>
      <c r="T61" s="7">
        <v>3931.7017384615406</v>
      </c>
      <c r="U61" s="2"/>
      <c r="V61" s="6">
        <f t="shared" si="25"/>
        <v>9.5468350968998129E-3</v>
      </c>
      <c r="W61" s="2"/>
      <c r="X61" s="7">
        <f t="shared" si="26"/>
        <v>-3931.7017384615406</v>
      </c>
      <c r="Y61" s="2"/>
      <c r="Z61" s="6">
        <f t="shared" si="27"/>
        <v>-1</v>
      </c>
    </row>
    <row r="62" spans="1:26" s="24" customFormat="1" hidden="1" outlineLevel="2" x14ac:dyDescent="0.25">
      <c r="A62" s="29"/>
      <c r="B62" s="11" t="str">
        <f>CONCATENATE("          ", "6002", " - ", "STAFF SALARIES")</f>
        <v xml:space="preserve">          6002 - STAFF SALARIES</v>
      </c>
      <c r="C62" s="11"/>
      <c r="D62" s="7">
        <v>3151.4</v>
      </c>
      <c r="E62" s="2"/>
      <c r="F62" s="6">
        <f t="shared" si="20"/>
        <v>8.509538208363903E-3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3151.4</v>
      </c>
      <c r="M62" s="2"/>
      <c r="N62" s="6">
        <f t="shared" si="23"/>
        <v>0</v>
      </c>
      <c r="O62" s="11"/>
      <c r="P62" s="7">
        <v>3151.4</v>
      </c>
      <c r="Q62" s="2"/>
      <c r="R62" s="6">
        <f t="shared" si="24"/>
        <v>8.509538208363903E-3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3151.4</v>
      </c>
      <c r="Y62" s="2"/>
      <c r="Z62" s="6">
        <f t="shared" si="27"/>
        <v>0</v>
      </c>
    </row>
    <row r="63" spans="1:26" s="24" customFormat="1" hidden="1" outlineLevel="2" x14ac:dyDescent="0.25">
      <c r="A63" s="29"/>
      <c r="B63" s="11" t="str">
        <f>CONCATENATE("          ", "6003", " - ", "STAFF HOURLY-9 MONTH")</f>
        <v xml:space="preserve">          6003 - STAFF HOURLY-9 MONTH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4" customFormat="1" hidden="1" outlineLevel="2" x14ac:dyDescent="0.25">
      <c r="A64" s="29"/>
      <c r="B64" s="11" t="str">
        <f>CONCATENATE("          ", "6004", " - ", "STAFF HOURLY")</f>
        <v xml:space="preserve">          6004 - STAFF HOURLY</v>
      </c>
      <c r="C64" s="11"/>
      <c r="D64" s="7"/>
      <c r="E64" s="2"/>
      <c r="F64" s="6">
        <f t="shared" si="20"/>
        <v>0</v>
      </c>
      <c r="G64" s="2"/>
      <c r="H64" s="7">
        <v>1400.8</v>
      </c>
      <c r="I64" s="2"/>
      <c r="J64" s="6">
        <f t="shared" si="21"/>
        <v>3.4013787141875468E-3</v>
      </c>
      <c r="K64" s="2"/>
      <c r="L64" s="7">
        <f t="shared" si="22"/>
        <v>-1400.8</v>
      </c>
      <c r="M64" s="2"/>
      <c r="N64" s="6">
        <f t="shared" si="23"/>
        <v>-1</v>
      </c>
      <c r="O64" s="11"/>
      <c r="P64" s="7"/>
      <c r="Q64" s="2"/>
      <c r="R64" s="6">
        <f t="shared" si="24"/>
        <v>0</v>
      </c>
      <c r="S64" s="2"/>
      <c r="T64" s="7">
        <v>1400.8</v>
      </c>
      <c r="U64" s="2"/>
      <c r="V64" s="6">
        <f t="shared" si="25"/>
        <v>3.4013787141875468E-3</v>
      </c>
      <c r="W64" s="2"/>
      <c r="X64" s="7">
        <f t="shared" si="26"/>
        <v>-1400.8</v>
      </c>
      <c r="Y64" s="2"/>
      <c r="Z64" s="6">
        <f t="shared" si="27"/>
        <v>-1</v>
      </c>
    </row>
    <row r="65" spans="1:26" s="24" customFormat="1" hidden="1" outlineLevel="2" x14ac:dyDescent="0.25">
      <c r="A65" s="29"/>
      <c r="B65" s="11" t="str">
        <f>CONCATENATE("          ", "6005", " - ", "TEMPORARY WAGES-HOURLY")</f>
        <v xml:space="preserve">          6005 - TEMPORARY WAGES-HOURLY</v>
      </c>
      <c r="C65" s="11"/>
      <c r="D65" s="7">
        <v>2433.6999999999998</v>
      </c>
      <c r="E65" s="2"/>
      <c r="F65" s="6">
        <f t="shared" si="20"/>
        <v>6.5715755339516499E-3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2433.6999999999998</v>
      </c>
      <c r="M65" s="2"/>
      <c r="N65" s="6">
        <f t="shared" si="23"/>
        <v>0</v>
      </c>
      <c r="O65" s="11"/>
      <c r="P65" s="7">
        <v>2433.6999999999998</v>
      </c>
      <c r="Q65" s="2"/>
      <c r="R65" s="6">
        <f t="shared" si="24"/>
        <v>6.5715755339516499E-3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2433.6999999999998</v>
      </c>
      <c r="Y65" s="2"/>
      <c r="Z65" s="6">
        <f t="shared" si="27"/>
        <v>0</v>
      </c>
    </row>
    <row r="66" spans="1:26" s="24" customFormat="1" hidden="1" outlineLevel="2" x14ac:dyDescent="0.25">
      <c r="A66" s="29"/>
      <c r="B66" s="11" t="str">
        <f>CONCATENATE("          ", "6006", " - ", "TEMPORARY PART TIME")</f>
        <v xml:space="preserve">          6006 - TEMPORARY PART TIME</v>
      </c>
      <c r="C66" s="11"/>
      <c r="D66" s="7">
        <v>1448.44</v>
      </c>
      <c r="E66" s="2"/>
      <c r="F66" s="6">
        <f t="shared" si="20"/>
        <v>3.9111364861720548E-3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1448.44</v>
      </c>
      <c r="M66" s="2"/>
      <c r="N66" s="6">
        <f t="shared" si="23"/>
        <v>0</v>
      </c>
      <c r="O66" s="11"/>
      <c r="P66" s="7">
        <v>1448.44</v>
      </c>
      <c r="Q66" s="2"/>
      <c r="R66" s="6">
        <f t="shared" si="24"/>
        <v>3.9111364861720548E-3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1448.44</v>
      </c>
      <c r="Y66" s="2"/>
      <c r="Z66" s="6">
        <f t="shared" si="27"/>
        <v>0</v>
      </c>
    </row>
    <row r="67" spans="1:26" s="24" customFormat="1" hidden="1" outlineLevel="2" x14ac:dyDescent="0.25">
      <c r="A67" s="29"/>
      <c r="B67" s="11" t="str">
        <f>CONCATENATE("          ", "6007", " - ", "STUDENT HOURLY")</f>
        <v xml:space="preserve">          6007 - STUDENT HOURLY</v>
      </c>
      <c r="C67" s="11"/>
      <c r="D67" s="7">
        <v>880</v>
      </c>
      <c r="E67" s="2"/>
      <c r="F67" s="6">
        <f t="shared" si="20"/>
        <v>2.376211722840717E-3</v>
      </c>
      <c r="G67" s="2"/>
      <c r="H67" s="7">
        <v>4298.25</v>
      </c>
      <c r="I67" s="2"/>
      <c r="J67" s="6">
        <f t="shared" si="21"/>
        <v>1.0436876112404785E-2</v>
      </c>
      <c r="K67" s="2"/>
      <c r="L67" s="7">
        <f t="shared" si="22"/>
        <v>-3418.25</v>
      </c>
      <c r="M67" s="2"/>
      <c r="N67" s="6">
        <f t="shared" si="23"/>
        <v>-0.79526551503518872</v>
      </c>
      <c r="O67" s="11"/>
      <c r="P67" s="7">
        <v>880</v>
      </c>
      <c r="Q67" s="2"/>
      <c r="R67" s="6">
        <f t="shared" si="24"/>
        <v>2.376211722840717E-3</v>
      </c>
      <c r="S67" s="2"/>
      <c r="T67" s="7">
        <v>4298.25</v>
      </c>
      <c r="U67" s="2"/>
      <c r="V67" s="6">
        <f t="shared" si="25"/>
        <v>1.0436876112404785E-2</v>
      </c>
      <c r="W67" s="2"/>
      <c r="X67" s="7">
        <f t="shared" si="26"/>
        <v>-3418.25</v>
      </c>
      <c r="Y67" s="2"/>
      <c r="Z67" s="6">
        <f t="shared" si="27"/>
        <v>-0.79526551503518872</v>
      </c>
    </row>
    <row r="68" spans="1:26" s="24" customFormat="1" hidden="1" outlineLevel="2" x14ac:dyDescent="0.25">
      <c r="A68" s="29"/>
      <c r="B68" s="11" t="str">
        <f>CONCATENATE("          ", "6008", " - ", "STUDENT HOURLY-FICA EXEMPT")</f>
        <v xml:space="preserve">          6008 - STUDENT HOURLY-FICA EXEMPT</v>
      </c>
      <c r="C68" s="11"/>
      <c r="D68" s="7"/>
      <c r="E68" s="2"/>
      <c r="F68" s="6">
        <f t="shared" si="20"/>
        <v>0</v>
      </c>
      <c r="G68" s="2"/>
      <c r="H68" s="7">
        <v>0</v>
      </c>
      <c r="I68" s="2"/>
      <c r="J68" s="6">
        <f t="shared" si="21"/>
        <v>0</v>
      </c>
      <c r="K68" s="2"/>
      <c r="L68" s="7">
        <f t="shared" si="22"/>
        <v>0</v>
      </c>
      <c r="M68" s="2"/>
      <c r="N68" s="6">
        <f t="shared" si="23"/>
        <v>0</v>
      </c>
      <c r="O68" s="11"/>
      <c r="P68" s="7"/>
      <c r="Q68" s="2"/>
      <c r="R68" s="6">
        <f t="shared" si="24"/>
        <v>0</v>
      </c>
      <c r="S68" s="2"/>
      <c r="T68" s="7">
        <v>0</v>
      </c>
      <c r="U68" s="2"/>
      <c r="V68" s="6">
        <f t="shared" si="25"/>
        <v>0</v>
      </c>
      <c r="W68" s="2"/>
      <c r="X68" s="7">
        <f t="shared" si="26"/>
        <v>0</v>
      </c>
      <c r="Y68" s="2"/>
      <c r="Z68" s="6">
        <f t="shared" si="27"/>
        <v>0</v>
      </c>
    </row>
    <row r="69" spans="1:26" s="24" customFormat="1" hidden="1" outlineLevel="2" x14ac:dyDescent="0.25">
      <c r="A69" s="29"/>
      <c r="B69" s="11" t="str">
        <f>CONCATENATE("          ", "6009", " - ", "TEMPORARY-SEASONAL")</f>
        <v xml:space="preserve">          6009 - TEMPORARY-SEASONAL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25">
      <c r="A70" s="29"/>
      <c r="B70" s="11" t="str">
        <f>CONCATENATE("          ", "6010", " - ", "GRATUITY")</f>
        <v xml:space="preserve">          6010 - GRATUITY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7" customFormat="1" outlineLevel="1" collapsed="1" x14ac:dyDescent="0.25">
      <c r="A71" s="28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359.07</v>
      </c>
      <c r="E71" s="1"/>
      <c r="F71" s="5">
        <f t="shared" ref="F71:F83" si="28">IF(D$12=0,0,D71/D$12)</f>
        <v>9.6957539013683655E-4</v>
      </c>
      <c r="G71" s="1"/>
      <c r="H71" s="1">
        <f>SUM(OSRRefH22_2x_0)</f>
        <v>250</v>
      </c>
      <c r="I71" s="1"/>
      <c r="J71" s="5">
        <f t="shared" ref="J71:J83" si="29">IF(H$12=0,0,H71/H$12)</f>
        <v>6.0704217486214074E-4</v>
      </c>
      <c r="K71" s="1"/>
      <c r="L71" s="1">
        <f t="shared" ref="L71:L83" si="30">+D71-H71</f>
        <v>109.07</v>
      </c>
      <c r="M71" s="1"/>
      <c r="N71" s="5">
        <f t="shared" ref="N71:N83" si="31">IF(H71=0,0,L71/H71)</f>
        <v>0.43627999999999995</v>
      </c>
      <c r="O71" s="14"/>
      <c r="P71" s="1">
        <f>SUM(OSRRefP22_2x_0)</f>
        <v>359.07</v>
      </c>
      <c r="Q71" s="1"/>
      <c r="R71" s="5">
        <f t="shared" ref="R71:R83" si="32">IF(P$12=0,0,P71/P$12)</f>
        <v>9.6957539013683655E-4</v>
      </c>
      <c r="S71" s="1"/>
      <c r="T71" s="1">
        <f>SUM(OSRRefT22_2x_0)</f>
        <v>250</v>
      </c>
      <c r="U71" s="1"/>
      <c r="V71" s="5">
        <f t="shared" ref="V71:V83" si="33">IF(T$12=0,0,T71/T$12)</f>
        <v>6.0704217486214074E-4</v>
      </c>
      <c r="W71" s="1"/>
      <c r="X71" s="1">
        <f t="shared" ref="X71:X83" si="34">+P71-T71</f>
        <v>109.07</v>
      </c>
      <c r="Y71" s="1"/>
      <c r="Z71" s="5">
        <f t="shared" ref="Z71:Z83" si="35">IF(T71=0,0,X71/T71)</f>
        <v>0.43627999999999995</v>
      </c>
    </row>
    <row r="72" spans="1:26" s="24" customFormat="1" hidden="1" outlineLevel="2" x14ac:dyDescent="0.25">
      <c r="A72" s="29"/>
      <c r="B72" s="11" t="str">
        <f>CONCATENATE("          ", "6362", " - ", "ADVERTISING EXPENSE")</f>
        <v xml:space="preserve">          6362 - ADVERTISING EXPENSE</v>
      </c>
      <c r="C72" s="11"/>
      <c r="D72" s="7">
        <v>359.07</v>
      </c>
      <c r="E72" s="2"/>
      <c r="F72" s="6">
        <f t="shared" si="28"/>
        <v>9.6957539013683655E-4</v>
      </c>
      <c r="G72" s="2"/>
      <c r="H72" s="7">
        <v>250</v>
      </c>
      <c r="I72" s="2"/>
      <c r="J72" s="6">
        <f t="shared" si="29"/>
        <v>6.0704217486214074E-4</v>
      </c>
      <c r="K72" s="2"/>
      <c r="L72" s="7">
        <f t="shared" si="30"/>
        <v>109.07</v>
      </c>
      <c r="M72" s="2"/>
      <c r="N72" s="6">
        <f t="shared" si="31"/>
        <v>0.43627999999999995</v>
      </c>
      <c r="O72" s="11"/>
      <c r="P72" s="7">
        <v>359.07</v>
      </c>
      <c r="Q72" s="2"/>
      <c r="R72" s="6">
        <f t="shared" si="32"/>
        <v>9.6957539013683655E-4</v>
      </c>
      <c r="S72" s="2"/>
      <c r="T72" s="7">
        <v>250</v>
      </c>
      <c r="U72" s="2"/>
      <c r="V72" s="6">
        <f t="shared" si="33"/>
        <v>6.0704217486214074E-4</v>
      </c>
      <c r="W72" s="2"/>
      <c r="X72" s="7">
        <f t="shared" si="34"/>
        <v>109.07</v>
      </c>
      <c r="Y72" s="2"/>
      <c r="Z72" s="6">
        <f t="shared" si="35"/>
        <v>0.43627999999999995</v>
      </c>
    </row>
    <row r="73" spans="1:26" s="27" customFormat="1" outlineLevel="1" collapsed="1" x14ac:dyDescent="0.25">
      <c r="A73" s="28"/>
      <c r="B73" s="14" t="str">
        <f>CONCATENATE("     ","Depreciation                                      ")</f>
        <v xml:space="preserve">     Depreciation                                      </v>
      </c>
      <c r="C73" s="14"/>
      <c r="D73" s="1">
        <f>SUM(OSRRefD22_3x_0)</f>
        <v>280.44</v>
      </c>
      <c r="E73" s="1"/>
      <c r="F73" s="5">
        <f t="shared" si="28"/>
        <v>7.5725547221983027E-4</v>
      </c>
      <c r="G73" s="1"/>
      <c r="H73" s="1">
        <f>SUM(OSRRefH22_3x_0)</f>
        <v>0</v>
      </c>
      <c r="I73" s="1"/>
      <c r="J73" s="5">
        <f t="shared" si="29"/>
        <v>0</v>
      </c>
      <c r="K73" s="1"/>
      <c r="L73" s="1">
        <f t="shared" si="30"/>
        <v>280.44</v>
      </c>
      <c r="M73" s="1"/>
      <c r="N73" s="5">
        <f t="shared" si="31"/>
        <v>0</v>
      </c>
      <c r="O73" s="14"/>
      <c r="P73" s="1">
        <f>SUM(OSRRefP22_3x_0)</f>
        <v>280.44</v>
      </c>
      <c r="Q73" s="1"/>
      <c r="R73" s="5">
        <f t="shared" si="32"/>
        <v>7.5725547221983027E-4</v>
      </c>
      <c r="S73" s="1"/>
      <c r="T73" s="1">
        <f>SUM(OSRRefT22_3x_0)</f>
        <v>0</v>
      </c>
      <c r="U73" s="1"/>
      <c r="V73" s="5">
        <f t="shared" si="33"/>
        <v>0</v>
      </c>
      <c r="W73" s="1"/>
      <c r="X73" s="1">
        <f t="shared" si="34"/>
        <v>280.44</v>
      </c>
      <c r="Y73" s="1"/>
      <c r="Z73" s="5">
        <f t="shared" si="35"/>
        <v>0</v>
      </c>
    </row>
    <row r="74" spans="1:26" s="24" customFormat="1" hidden="1" outlineLevel="2" x14ac:dyDescent="0.25">
      <c r="A74" s="29"/>
      <c r="B74" s="11" t="str">
        <f>CONCATENATE("          ", "6322", " - ", "EQUIPMENT DEPRECIATION EXPENSE")</f>
        <v xml:space="preserve">          6322 - EQUIPMENT DEPRECIATION EXPENSE</v>
      </c>
      <c r="C74" s="11"/>
      <c r="D74" s="7">
        <v>280.44</v>
      </c>
      <c r="E74" s="2"/>
      <c r="F74" s="6">
        <f t="shared" si="28"/>
        <v>7.5725547221983027E-4</v>
      </c>
      <c r="G74" s="2"/>
      <c r="H74" s="7"/>
      <c r="I74" s="2"/>
      <c r="J74" s="6">
        <f t="shared" si="29"/>
        <v>0</v>
      </c>
      <c r="K74" s="2"/>
      <c r="L74" s="7">
        <f t="shared" si="30"/>
        <v>280.44</v>
      </c>
      <c r="M74" s="2"/>
      <c r="N74" s="6">
        <f t="shared" si="31"/>
        <v>0</v>
      </c>
      <c r="O74" s="11"/>
      <c r="P74" s="7">
        <v>280.44</v>
      </c>
      <c r="Q74" s="2"/>
      <c r="R74" s="6">
        <f t="shared" si="32"/>
        <v>7.5725547221983027E-4</v>
      </c>
      <c r="S74" s="2"/>
      <c r="T74" s="7"/>
      <c r="U74" s="2"/>
      <c r="V74" s="6">
        <f t="shared" si="33"/>
        <v>0</v>
      </c>
      <c r="W74" s="2"/>
      <c r="X74" s="7">
        <f t="shared" si="34"/>
        <v>280.44</v>
      </c>
      <c r="Y74" s="2"/>
      <c r="Z74" s="6">
        <f t="shared" si="35"/>
        <v>0</v>
      </c>
    </row>
    <row r="75" spans="1:26" s="27" customFormat="1" outlineLevel="1" collapsed="1" x14ac:dyDescent="0.25">
      <c r="A75" s="28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SUM(OSRRefD22_4x_0)</f>
        <v>12904.81</v>
      </c>
      <c r="E75" s="1"/>
      <c r="F75" s="5">
        <f t="shared" si="28"/>
        <v>3.4846091821627401E-2</v>
      </c>
      <c r="G75" s="1"/>
      <c r="H75" s="1">
        <f>SUM(OSRRefH22_4x_0)</f>
        <v>2500</v>
      </c>
      <c r="I75" s="1"/>
      <c r="J75" s="5">
        <f t="shared" si="29"/>
        <v>6.0704217486214074E-3</v>
      </c>
      <c r="K75" s="1"/>
      <c r="L75" s="1">
        <f t="shared" si="30"/>
        <v>10404.81</v>
      </c>
      <c r="M75" s="1"/>
      <c r="N75" s="5">
        <f t="shared" si="31"/>
        <v>4.161924</v>
      </c>
      <c r="O75" s="14"/>
      <c r="P75" s="1">
        <f>SUM(OSRRefP22_4x_0)</f>
        <v>12904.81</v>
      </c>
      <c r="Q75" s="1"/>
      <c r="R75" s="5">
        <f t="shared" si="32"/>
        <v>3.4846091821627401E-2</v>
      </c>
      <c r="S75" s="1"/>
      <c r="T75" s="1">
        <f>SUM(OSRRefT22_4x_0)</f>
        <v>2500</v>
      </c>
      <c r="U75" s="1"/>
      <c r="V75" s="5">
        <f t="shared" si="33"/>
        <v>6.0704217486214074E-3</v>
      </c>
      <c r="W75" s="1"/>
      <c r="X75" s="1">
        <f t="shared" si="34"/>
        <v>10404.81</v>
      </c>
      <c r="Y75" s="1"/>
      <c r="Z75" s="5">
        <f t="shared" si="35"/>
        <v>4.161924</v>
      </c>
    </row>
    <row r="76" spans="1:26" s="24" customFormat="1" hidden="1" outlineLevel="2" x14ac:dyDescent="0.25">
      <c r="A76" s="29"/>
      <c r="B76" s="11" t="str">
        <f>CONCATENATE("          ", "6382", " - ", "DISCOUNTS/MARK DOWNS")</f>
        <v xml:space="preserve">          6382 - DISCOUNTS/MARK DOWNS</v>
      </c>
      <c r="C76" s="11"/>
      <c r="D76" s="7">
        <v>12904.81</v>
      </c>
      <c r="E76" s="2"/>
      <c r="F76" s="6">
        <f t="shared" si="28"/>
        <v>3.4846091821627401E-2</v>
      </c>
      <c r="G76" s="2"/>
      <c r="H76" s="7">
        <v>2500</v>
      </c>
      <c r="I76" s="2"/>
      <c r="J76" s="6">
        <f t="shared" si="29"/>
        <v>6.0704217486214074E-3</v>
      </c>
      <c r="K76" s="2"/>
      <c r="L76" s="7">
        <f t="shared" si="30"/>
        <v>10404.81</v>
      </c>
      <c r="M76" s="2"/>
      <c r="N76" s="6">
        <f t="shared" si="31"/>
        <v>4.161924</v>
      </c>
      <c r="O76" s="11"/>
      <c r="P76" s="7">
        <v>12904.81</v>
      </c>
      <c r="Q76" s="2"/>
      <c r="R76" s="6">
        <f t="shared" si="32"/>
        <v>3.4846091821627401E-2</v>
      </c>
      <c r="S76" s="2"/>
      <c r="T76" s="7">
        <v>2500</v>
      </c>
      <c r="U76" s="2"/>
      <c r="V76" s="6">
        <f t="shared" si="33"/>
        <v>6.0704217486214074E-3</v>
      </c>
      <c r="W76" s="2"/>
      <c r="X76" s="7">
        <f t="shared" si="34"/>
        <v>10404.81</v>
      </c>
      <c r="Y76" s="2"/>
      <c r="Z76" s="6">
        <f t="shared" si="35"/>
        <v>4.161924</v>
      </c>
    </row>
    <row r="77" spans="1:26" s="27" customFormat="1" outlineLevel="1" collapsed="1" x14ac:dyDescent="0.25">
      <c r="A77" s="28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SUM(OSRRefD22_5x_0)</f>
        <v>0</v>
      </c>
      <c r="E77" s="1"/>
      <c r="F77" s="5">
        <f t="shared" si="28"/>
        <v>0</v>
      </c>
      <c r="G77" s="1"/>
      <c r="H77" s="1">
        <f>SUM(OSRRefH22_5x_0)</f>
        <v>40</v>
      </c>
      <c r="I77" s="1"/>
      <c r="J77" s="5">
        <f t="shared" si="29"/>
        <v>9.7126747977942514E-5</v>
      </c>
      <c r="K77" s="1"/>
      <c r="L77" s="1">
        <f t="shared" si="30"/>
        <v>-40</v>
      </c>
      <c r="M77" s="1"/>
      <c r="N77" s="5">
        <f t="shared" si="31"/>
        <v>-1</v>
      </c>
      <c r="O77" s="14"/>
      <c r="P77" s="1">
        <f>SUM(OSRRefP22_5x_0)</f>
        <v>0</v>
      </c>
      <c r="Q77" s="1"/>
      <c r="R77" s="5">
        <f t="shared" si="32"/>
        <v>0</v>
      </c>
      <c r="S77" s="1"/>
      <c r="T77" s="1">
        <f>SUM(OSRRefT22_5x_0)</f>
        <v>40</v>
      </c>
      <c r="U77" s="1"/>
      <c r="V77" s="5">
        <f t="shared" si="33"/>
        <v>9.7126747977942514E-5</v>
      </c>
      <c r="W77" s="1"/>
      <c r="X77" s="1">
        <f t="shared" si="34"/>
        <v>-40</v>
      </c>
      <c r="Y77" s="1"/>
      <c r="Z77" s="5">
        <f t="shared" si="35"/>
        <v>-1</v>
      </c>
    </row>
    <row r="78" spans="1:26" s="24" customFormat="1" hidden="1" outlineLevel="2" x14ac:dyDescent="0.25">
      <c r="A78" s="29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28"/>
        <v>0</v>
      </c>
      <c r="G78" s="2"/>
      <c r="H78" s="7">
        <v>40</v>
      </c>
      <c r="I78" s="2"/>
      <c r="J78" s="6">
        <f t="shared" si="29"/>
        <v>9.7126747977942514E-5</v>
      </c>
      <c r="K78" s="2"/>
      <c r="L78" s="7">
        <f t="shared" si="30"/>
        <v>-40</v>
      </c>
      <c r="M78" s="2"/>
      <c r="N78" s="6">
        <f t="shared" si="31"/>
        <v>-1</v>
      </c>
      <c r="O78" s="11"/>
      <c r="P78" s="7"/>
      <c r="Q78" s="2"/>
      <c r="R78" s="6">
        <f t="shared" si="32"/>
        <v>0</v>
      </c>
      <c r="S78" s="2"/>
      <c r="T78" s="7">
        <v>40</v>
      </c>
      <c r="U78" s="2"/>
      <c r="V78" s="6">
        <f t="shared" si="33"/>
        <v>9.7126747977942514E-5</v>
      </c>
      <c r="W78" s="2"/>
      <c r="X78" s="7">
        <f t="shared" si="34"/>
        <v>-40</v>
      </c>
      <c r="Y78" s="2"/>
      <c r="Z78" s="6">
        <f t="shared" si="35"/>
        <v>-1</v>
      </c>
    </row>
    <row r="79" spans="1:26" s="27" customFormat="1" outlineLevel="1" collapsed="1" x14ac:dyDescent="0.25">
      <c r="A79" s="28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SUM(OSRRefD22_6x_0)</f>
        <v>0</v>
      </c>
      <c r="E79" s="1"/>
      <c r="F79" s="5">
        <f t="shared" si="28"/>
        <v>0</v>
      </c>
      <c r="G79" s="1"/>
      <c r="H79" s="1">
        <f>SUM(OSRRefH22_6x_0)</f>
        <v>25</v>
      </c>
      <c r="I79" s="1"/>
      <c r="J79" s="5">
        <f t="shared" si="29"/>
        <v>6.070421748621407E-5</v>
      </c>
      <c r="K79" s="1"/>
      <c r="L79" s="1">
        <f t="shared" si="30"/>
        <v>-25</v>
      </c>
      <c r="M79" s="1"/>
      <c r="N79" s="5">
        <f t="shared" si="31"/>
        <v>-1</v>
      </c>
      <c r="O79" s="14"/>
      <c r="P79" s="1">
        <f>SUM(OSRRefP22_6x_0)</f>
        <v>0</v>
      </c>
      <c r="Q79" s="1"/>
      <c r="R79" s="5">
        <f t="shared" si="32"/>
        <v>0</v>
      </c>
      <c r="S79" s="1"/>
      <c r="T79" s="1">
        <f>SUM(OSRRefT22_6x_0)</f>
        <v>25</v>
      </c>
      <c r="U79" s="1"/>
      <c r="V79" s="5">
        <f t="shared" si="33"/>
        <v>6.070421748621407E-5</v>
      </c>
      <c r="W79" s="1"/>
      <c r="X79" s="1">
        <f t="shared" si="34"/>
        <v>-25</v>
      </c>
      <c r="Y79" s="1"/>
      <c r="Z79" s="5">
        <f t="shared" si="35"/>
        <v>-1</v>
      </c>
    </row>
    <row r="80" spans="1:26" s="24" customFormat="1" hidden="1" outlineLevel="2" x14ac:dyDescent="0.25">
      <c r="A80" s="29"/>
      <c r="B80" s="11" t="str">
        <f>CONCATENATE("          ", "6305", " - ", "FREIGHT OUT")</f>
        <v xml:space="preserve">          6305 - FREIGHT OUT</v>
      </c>
      <c r="C80" s="11"/>
      <c r="D80" s="7"/>
      <c r="E80" s="2"/>
      <c r="F80" s="6">
        <f t="shared" si="28"/>
        <v>0</v>
      </c>
      <c r="G80" s="2"/>
      <c r="H80" s="7">
        <v>25</v>
      </c>
      <c r="I80" s="2"/>
      <c r="J80" s="6">
        <f t="shared" si="29"/>
        <v>6.070421748621407E-5</v>
      </c>
      <c r="K80" s="2"/>
      <c r="L80" s="7">
        <f t="shared" si="30"/>
        <v>-25</v>
      </c>
      <c r="M80" s="2"/>
      <c r="N80" s="6">
        <f t="shared" si="31"/>
        <v>-1</v>
      </c>
      <c r="O80" s="11"/>
      <c r="P80" s="7"/>
      <c r="Q80" s="2"/>
      <c r="R80" s="6">
        <f t="shared" si="32"/>
        <v>0</v>
      </c>
      <c r="S80" s="2"/>
      <c r="T80" s="7">
        <v>25</v>
      </c>
      <c r="U80" s="2"/>
      <c r="V80" s="6">
        <f t="shared" si="33"/>
        <v>6.070421748621407E-5</v>
      </c>
      <c r="W80" s="2"/>
      <c r="X80" s="7">
        <f t="shared" si="34"/>
        <v>-25</v>
      </c>
      <c r="Y80" s="2"/>
      <c r="Z80" s="6">
        <f t="shared" si="35"/>
        <v>-1</v>
      </c>
    </row>
    <row r="81" spans="1:26" s="27" customFormat="1" outlineLevel="1" collapsed="1" x14ac:dyDescent="0.25">
      <c r="A81" s="28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SUM(OSRRefD22_7x_0)</f>
        <v>675.26</v>
      </c>
      <c r="E81" s="1"/>
      <c r="F81" s="5">
        <f t="shared" si="28"/>
        <v>1.8233644635970709E-3</v>
      </c>
      <c r="G81" s="1"/>
      <c r="H81" s="1">
        <f>SUM(OSRRefH22_7x_0)</f>
        <v>275</v>
      </c>
      <c r="I81" s="1"/>
      <c r="J81" s="5">
        <f t="shared" si="29"/>
        <v>6.6774639234835475E-4</v>
      </c>
      <c r="K81" s="1"/>
      <c r="L81" s="1">
        <f t="shared" si="30"/>
        <v>400.26</v>
      </c>
      <c r="M81" s="1"/>
      <c r="N81" s="5">
        <f t="shared" si="31"/>
        <v>1.4554909090909092</v>
      </c>
      <c r="O81" s="14"/>
      <c r="P81" s="1">
        <f>SUM(OSRRefP22_7x_0)</f>
        <v>675.26</v>
      </c>
      <c r="Q81" s="1"/>
      <c r="R81" s="5">
        <f t="shared" si="32"/>
        <v>1.8233644635970709E-3</v>
      </c>
      <c r="S81" s="1"/>
      <c r="T81" s="1">
        <f>SUM(OSRRefT22_7x_0)</f>
        <v>275</v>
      </c>
      <c r="U81" s="1"/>
      <c r="V81" s="5">
        <f t="shared" si="33"/>
        <v>6.6774639234835475E-4</v>
      </c>
      <c r="W81" s="1"/>
      <c r="X81" s="1">
        <f t="shared" si="34"/>
        <v>400.26</v>
      </c>
      <c r="Y81" s="1"/>
      <c r="Z81" s="5">
        <f t="shared" si="35"/>
        <v>1.4554909090909092</v>
      </c>
    </row>
    <row r="82" spans="1:26" s="24" customFormat="1" hidden="1" outlineLevel="2" x14ac:dyDescent="0.25">
      <c r="A82" s="29"/>
      <c r="B82" s="11" t="str">
        <f>CONCATENATE("          ", "6241", " - ", "OFFICE EXPENSE")</f>
        <v xml:space="preserve">          6241 - OFFICE EXPENSE</v>
      </c>
      <c r="C82" s="11"/>
      <c r="D82" s="7">
        <v>92.82</v>
      </c>
      <c r="E82" s="2"/>
      <c r="F82" s="6">
        <f t="shared" si="28"/>
        <v>2.5063633194781287E-4</v>
      </c>
      <c r="G82" s="2"/>
      <c r="H82" s="7">
        <v>275</v>
      </c>
      <c r="I82" s="2"/>
      <c r="J82" s="6">
        <f t="shared" si="29"/>
        <v>6.6774639234835475E-4</v>
      </c>
      <c r="K82" s="2"/>
      <c r="L82" s="7">
        <f t="shared" si="30"/>
        <v>-182.18</v>
      </c>
      <c r="M82" s="2"/>
      <c r="N82" s="6">
        <f t="shared" si="31"/>
        <v>-0.66247272727272732</v>
      </c>
      <c r="O82" s="11"/>
      <c r="P82" s="7">
        <v>92.82</v>
      </c>
      <c r="Q82" s="2"/>
      <c r="R82" s="6">
        <f t="shared" si="32"/>
        <v>2.5063633194781287E-4</v>
      </c>
      <c r="S82" s="2"/>
      <c r="T82" s="7">
        <v>275</v>
      </c>
      <c r="U82" s="2"/>
      <c r="V82" s="6">
        <f t="shared" si="33"/>
        <v>6.6774639234835475E-4</v>
      </c>
      <c r="W82" s="2"/>
      <c r="X82" s="7">
        <f t="shared" si="34"/>
        <v>-182.18</v>
      </c>
      <c r="Y82" s="2"/>
      <c r="Z82" s="6">
        <f t="shared" si="35"/>
        <v>-0.66247272727272732</v>
      </c>
    </row>
    <row r="83" spans="1:26" s="24" customFormat="1" hidden="1" outlineLevel="2" x14ac:dyDescent="0.25">
      <c r="A83" s="29"/>
      <c r="B83" s="11" t="str">
        <f>CONCATENATE("          ", "6247", " - ", "STORE SUPPLIES")</f>
        <v xml:space="preserve">          6247 - STORE SUPPLIES</v>
      </c>
      <c r="C83" s="11"/>
      <c r="D83" s="7">
        <v>582.44000000000005</v>
      </c>
      <c r="E83" s="2"/>
      <c r="F83" s="6">
        <f t="shared" si="28"/>
        <v>1.5727281316492584E-3</v>
      </c>
      <c r="G83" s="2"/>
      <c r="H83" s="7"/>
      <c r="I83" s="2"/>
      <c r="J83" s="6">
        <f t="shared" si="29"/>
        <v>0</v>
      </c>
      <c r="K83" s="2"/>
      <c r="L83" s="7">
        <f t="shared" si="30"/>
        <v>582.44000000000005</v>
      </c>
      <c r="M83" s="2"/>
      <c r="N83" s="6">
        <f t="shared" si="31"/>
        <v>0</v>
      </c>
      <c r="O83" s="11"/>
      <c r="P83" s="7">
        <v>582.44000000000005</v>
      </c>
      <c r="Q83" s="2"/>
      <c r="R83" s="6">
        <f t="shared" si="32"/>
        <v>1.5727281316492584E-3</v>
      </c>
      <c r="S83" s="2"/>
      <c r="T83" s="7"/>
      <c r="U83" s="2"/>
      <c r="V83" s="6">
        <f t="shared" si="33"/>
        <v>0</v>
      </c>
      <c r="W83" s="2"/>
      <c r="X83" s="7">
        <f t="shared" si="34"/>
        <v>582.44000000000005</v>
      </c>
      <c r="Y83" s="2"/>
      <c r="Z83" s="6">
        <f t="shared" si="35"/>
        <v>0</v>
      </c>
    </row>
    <row r="84" spans="1:26" s="27" customFormat="1" outlineLevel="1" collapsed="1" x14ac:dyDescent="0.25">
      <c r="A84" s="28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SUM(OSRRefD22_8x_0)</f>
        <v>177.05</v>
      </c>
      <c r="E84" s="1"/>
      <c r="F84" s="5">
        <f t="shared" ref="F84:F86" si="36">IF(D$12=0,0,D84/D$12)</f>
        <v>4.7807759719198741E-4</v>
      </c>
      <c r="G84" s="1"/>
      <c r="H84" s="1">
        <f>SUM(OSRRefH22_8x_0)</f>
        <v>280</v>
      </c>
      <c r="I84" s="1"/>
      <c r="J84" s="5">
        <f t="shared" ref="J84:J86" si="37">IF(H$12=0,0,H84/H$12)</f>
        <v>6.7988723584559761E-4</v>
      </c>
      <c r="K84" s="1"/>
      <c r="L84" s="1">
        <f t="shared" ref="L84:L86" si="38">+D84-H84</f>
        <v>-102.94999999999999</v>
      </c>
      <c r="M84" s="1"/>
      <c r="N84" s="5">
        <f t="shared" ref="N84:N86" si="39">IF(H84=0,0,L84/H84)</f>
        <v>-0.36767857142857141</v>
      </c>
      <c r="O84" s="14"/>
      <c r="P84" s="1">
        <f>SUM(OSRRefP22_8x_0)</f>
        <v>177.05</v>
      </c>
      <c r="Q84" s="1"/>
      <c r="R84" s="5">
        <f t="shared" ref="R84:R86" si="40">IF(P$12=0,0,P84/P$12)</f>
        <v>4.7807759719198741E-4</v>
      </c>
      <c r="S84" s="1"/>
      <c r="T84" s="1">
        <f>SUM(OSRRefT22_8x_0)</f>
        <v>280</v>
      </c>
      <c r="U84" s="1"/>
      <c r="V84" s="5">
        <f t="shared" ref="V84:V86" si="41">IF(T$12=0,0,T84/T$12)</f>
        <v>6.7988723584559761E-4</v>
      </c>
      <c r="W84" s="1"/>
      <c r="X84" s="1">
        <f t="shared" ref="X84:X86" si="42">+P84-T84</f>
        <v>-102.94999999999999</v>
      </c>
      <c r="Y84" s="1"/>
      <c r="Z84" s="5">
        <f t="shared" ref="Z84:Z86" si="43">IF(T84=0,0,X84/T84)</f>
        <v>-0.36767857142857141</v>
      </c>
    </row>
    <row r="85" spans="1:26" s="24" customFormat="1" hidden="1" outlineLevel="2" x14ac:dyDescent="0.25">
      <c r="A85" s="29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36"/>
        <v>0</v>
      </c>
      <c r="G85" s="2"/>
      <c r="H85" s="7">
        <v>280</v>
      </c>
      <c r="I85" s="2"/>
      <c r="J85" s="6">
        <f t="shared" si="37"/>
        <v>6.7988723584559761E-4</v>
      </c>
      <c r="K85" s="2"/>
      <c r="L85" s="7">
        <f t="shared" si="38"/>
        <v>-280</v>
      </c>
      <c r="M85" s="2"/>
      <c r="N85" s="6">
        <f t="shared" si="39"/>
        <v>-1</v>
      </c>
      <c r="O85" s="11"/>
      <c r="P85" s="7"/>
      <c r="Q85" s="2"/>
      <c r="R85" s="6">
        <f t="shared" si="40"/>
        <v>0</v>
      </c>
      <c r="S85" s="2"/>
      <c r="T85" s="7">
        <v>280</v>
      </c>
      <c r="U85" s="2"/>
      <c r="V85" s="6">
        <f t="shared" si="41"/>
        <v>6.7988723584559761E-4</v>
      </c>
      <c r="W85" s="2"/>
      <c r="X85" s="7">
        <f t="shared" si="42"/>
        <v>-280</v>
      </c>
      <c r="Y85" s="2"/>
      <c r="Z85" s="6">
        <f t="shared" si="43"/>
        <v>-1</v>
      </c>
    </row>
    <row r="86" spans="1:26" s="24" customFormat="1" hidden="1" outlineLevel="2" x14ac:dyDescent="0.25">
      <c r="A86" s="29"/>
      <c r="B86" s="11" t="str">
        <f>CONCATENATE("          ", "6309", " - ", "TELEPHONE")</f>
        <v xml:space="preserve">          6309 - TELEPHONE</v>
      </c>
      <c r="C86" s="11"/>
      <c r="D86" s="7">
        <v>177.05</v>
      </c>
      <c r="E86" s="2"/>
      <c r="F86" s="6">
        <f t="shared" si="36"/>
        <v>4.7807759719198741E-4</v>
      </c>
      <c r="G86" s="2"/>
      <c r="H86" s="7"/>
      <c r="I86" s="2"/>
      <c r="J86" s="6">
        <f t="shared" si="37"/>
        <v>0</v>
      </c>
      <c r="K86" s="2"/>
      <c r="L86" s="7">
        <f t="shared" si="38"/>
        <v>177.05</v>
      </c>
      <c r="M86" s="2"/>
      <c r="N86" s="6">
        <f t="shared" si="39"/>
        <v>0</v>
      </c>
      <c r="O86" s="11"/>
      <c r="P86" s="7">
        <v>177.05</v>
      </c>
      <c r="Q86" s="2"/>
      <c r="R86" s="6">
        <f t="shared" si="40"/>
        <v>4.7807759719198741E-4</v>
      </c>
      <c r="S86" s="2"/>
      <c r="T86" s="7"/>
      <c r="U86" s="2"/>
      <c r="V86" s="6">
        <f t="shared" si="41"/>
        <v>0</v>
      </c>
      <c r="W86" s="2"/>
      <c r="X86" s="7">
        <f t="shared" si="42"/>
        <v>177.05</v>
      </c>
      <c r="Y86" s="2"/>
      <c r="Z86" s="6">
        <f t="shared" si="43"/>
        <v>0</v>
      </c>
    </row>
    <row r="87" spans="1:26" s="27" customFormat="1" outlineLevel="1" collapsed="1" x14ac:dyDescent="0.25">
      <c r="A87" s="28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SUM(OSRRefD22_9x_0)</f>
        <v>0</v>
      </c>
      <c r="E87" s="1"/>
      <c r="F87" s="5">
        <f t="shared" ref="F87:F88" si="44">IF(D$12=0,0,D87/D$12)</f>
        <v>0</v>
      </c>
      <c r="G87" s="1"/>
      <c r="H87" s="1">
        <f>SUM(OSRRefH22_9x_0)</f>
        <v>375</v>
      </c>
      <c r="I87" s="1"/>
      <c r="J87" s="5">
        <f t="shared" ref="J87:J88" si="45">IF(H$12=0,0,H87/H$12)</f>
        <v>9.1056326229321111E-4</v>
      </c>
      <c r="K87" s="1"/>
      <c r="L87" s="1">
        <f t="shared" ref="L87:L88" si="46">+D87-H87</f>
        <v>-375</v>
      </c>
      <c r="M87" s="1"/>
      <c r="N87" s="5">
        <f t="shared" ref="N87:N88" si="47">IF(H87=0,0,L87/H87)</f>
        <v>-1</v>
      </c>
      <c r="O87" s="14"/>
      <c r="P87" s="1">
        <f>SUM(OSRRefP22_9x_0)</f>
        <v>0</v>
      </c>
      <c r="Q87" s="1"/>
      <c r="R87" s="5">
        <f t="shared" ref="R87:R88" si="48">IF(P$12=0,0,P87/P$12)</f>
        <v>0</v>
      </c>
      <c r="S87" s="1"/>
      <c r="T87" s="1">
        <f>SUM(OSRRefT22_9x_0)</f>
        <v>375</v>
      </c>
      <c r="U87" s="1"/>
      <c r="V87" s="5">
        <f t="shared" ref="V87:V88" si="49">IF(T$12=0,0,T87/T$12)</f>
        <v>9.1056326229321111E-4</v>
      </c>
      <c r="W87" s="1"/>
      <c r="X87" s="1">
        <f t="shared" ref="X87:X88" si="50">+P87-T87</f>
        <v>-375</v>
      </c>
      <c r="Y87" s="1"/>
      <c r="Z87" s="5">
        <f t="shared" ref="Z87:Z88" si="51">IF(T87=0,0,X87/T87)</f>
        <v>-1</v>
      </c>
    </row>
    <row r="88" spans="1:26" s="24" customFormat="1" hidden="1" outlineLevel="2" x14ac:dyDescent="0.25">
      <c r="A88" s="29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44"/>
        <v>0</v>
      </c>
      <c r="G88" s="2"/>
      <c r="H88" s="7">
        <v>375</v>
      </c>
      <c r="I88" s="2"/>
      <c r="J88" s="6">
        <f t="shared" si="45"/>
        <v>9.1056326229321111E-4</v>
      </c>
      <c r="K88" s="2"/>
      <c r="L88" s="7">
        <f t="shared" si="46"/>
        <v>-375</v>
      </c>
      <c r="M88" s="2"/>
      <c r="N88" s="6">
        <f t="shared" si="47"/>
        <v>-1</v>
      </c>
      <c r="O88" s="11"/>
      <c r="P88" s="7"/>
      <c r="Q88" s="2"/>
      <c r="R88" s="6">
        <f t="shared" si="48"/>
        <v>0</v>
      </c>
      <c r="S88" s="2"/>
      <c r="T88" s="7">
        <v>375</v>
      </c>
      <c r="U88" s="2"/>
      <c r="V88" s="6">
        <f t="shared" si="49"/>
        <v>9.1056326229321111E-4</v>
      </c>
      <c r="W88" s="2"/>
      <c r="X88" s="7">
        <f t="shared" si="50"/>
        <v>-375</v>
      </c>
      <c r="Y88" s="2"/>
      <c r="Z88" s="6">
        <f t="shared" si="51"/>
        <v>-1</v>
      </c>
    </row>
    <row r="89" spans="1:26" s="57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5" t="s">
        <v>0</v>
      </c>
      <c r="C90" s="10"/>
      <c r="D90" s="4">
        <f>SUM(OSRRefD25x_0)</f>
        <v>17.80000000000004</v>
      </c>
      <c r="E90" s="4"/>
      <c r="F90" s="12">
        <f t="shared" ref="F90:F93" si="52">IF(D$12=0,0,D90/D$12)</f>
        <v>4.8064282575641881E-5</v>
      </c>
      <c r="G90" s="4"/>
      <c r="H90" s="4">
        <f>SUM(OSRRefH25x_0)</f>
        <v>1350</v>
      </c>
      <c r="I90" s="4"/>
      <c r="J90" s="12">
        <f t="shared" ref="J90:J93" si="53">IF(H$12=0,0,H90/H$12)</f>
        <v>3.2780277442555597E-3</v>
      </c>
      <c r="K90" s="4"/>
      <c r="L90" s="4">
        <f t="shared" ref="L90:L93" si="54">+D90-H90</f>
        <v>-1332.2</v>
      </c>
      <c r="M90" s="4"/>
      <c r="N90" s="12">
        <f t="shared" ref="N90:N93" si="55">IF(H90=0,0,L90/H90)</f>
        <v>-0.98681481481481481</v>
      </c>
      <c r="O90" s="10"/>
      <c r="P90" s="4">
        <f>SUM(OSRRefP25x_0)</f>
        <v>17.80000000000004</v>
      </c>
      <c r="Q90" s="4"/>
      <c r="R90" s="12">
        <f t="shared" ref="R90:R93" si="56">IF(P$12=0,0,P90/P$12)</f>
        <v>4.8064282575641881E-5</v>
      </c>
      <c r="S90" s="4"/>
      <c r="T90" s="4">
        <f>SUM(OSRRefT25x_0)</f>
        <v>1350</v>
      </c>
      <c r="U90" s="4"/>
      <c r="V90" s="12">
        <f t="shared" ref="V90:V93" si="57">IF(T$12=0,0,T90/T$12)</f>
        <v>3.2780277442555597E-3</v>
      </c>
      <c r="W90" s="4"/>
      <c r="X90" s="4">
        <f t="shared" ref="X90:X93" si="58">+P90-T90</f>
        <v>-1332.2</v>
      </c>
      <c r="Y90" s="4"/>
      <c r="Z90" s="12">
        <f t="shared" ref="Z90:Z93" si="59">IF(T90=0,0,X90/T90)</f>
        <v>-0.98681481481481481</v>
      </c>
    </row>
    <row r="91" spans="1:26" s="24" customFormat="1" hidden="1" outlineLevel="1" x14ac:dyDescent="0.25">
      <c r="A91" s="51"/>
      <c r="B91" s="11" t="str">
        <f>CONCATENATE("          ", "4187", " - ", "NON-TAXABLE SALES-COMPUTER REP")</f>
        <v xml:space="preserve">          4187 - NON-TAXABLE SALES-COMPUTER REP</v>
      </c>
      <c r="C91" s="11"/>
      <c r="D91" s="2">
        <f>--781.89</f>
        <v>781.89</v>
      </c>
      <c r="E91" s="2"/>
      <c r="F91" s="22">
        <f t="shared" si="52"/>
        <v>2.1112911181499182E-3</v>
      </c>
      <c r="G91" s="2"/>
      <c r="H91" s="2"/>
      <c r="I91" s="2"/>
      <c r="J91" s="22">
        <f t="shared" si="53"/>
        <v>0</v>
      </c>
      <c r="K91" s="2"/>
      <c r="L91" s="2">
        <f t="shared" si="54"/>
        <v>781.89</v>
      </c>
      <c r="M91" s="2"/>
      <c r="N91" s="22">
        <f t="shared" si="55"/>
        <v>0</v>
      </c>
      <c r="O91" s="11"/>
      <c r="P91" s="2">
        <f>--781.89</f>
        <v>781.89</v>
      </c>
      <c r="Q91" s="2"/>
      <c r="R91" s="22">
        <f t="shared" si="56"/>
        <v>2.1112911181499182E-3</v>
      </c>
      <c r="S91" s="2"/>
      <c r="T91" s="2"/>
      <c r="U91" s="2"/>
      <c r="V91" s="22">
        <f t="shared" si="57"/>
        <v>0</v>
      </c>
      <c r="W91" s="2"/>
      <c r="X91" s="2">
        <f t="shared" si="58"/>
        <v>781.89</v>
      </c>
      <c r="Y91" s="2"/>
      <c r="Z91" s="22">
        <f t="shared" si="59"/>
        <v>0</v>
      </c>
    </row>
    <row r="92" spans="1:26" s="24" customFormat="1" hidden="1" outlineLevel="1" x14ac:dyDescent="0.25">
      <c r="A92" s="51"/>
      <c r="B92" s="11" t="str">
        <f>CONCATENATE("          ", "4387", " - ", "SALES RETURN NON TAXABLE-COMPU")</f>
        <v xml:space="preserve">          4387 - SALES RETURN NON TAXABLE-COMPU</v>
      </c>
      <c r="C92" s="11"/>
      <c r="D92" s="2">
        <f>-630.8</f>
        <v>-630.79999999999995</v>
      </c>
      <c r="E92" s="2"/>
      <c r="F92" s="22">
        <f t="shared" si="52"/>
        <v>-1.703311766781732E-3</v>
      </c>
      <c r="G92" s="2"/>
      <c r="H92" s="2"/>
      <c r="I92" s="2"/>
      <c r="J92" s="22">
        <f t="shared" si="53"/>
        <v>0</v>
      </c>
      <c r="K92" s="2"/>
      <c r="L92" s="2">
        <f t="shared" si="54"/>
        <v>-630.79999999999995</v>
      </c>
      <c r="M92" s="2"/>
      <c r="N92" s="22">
        <f t="shared" si="55"/>
        <v>0</v>
      </c>
      <c r="O92" s="11"/>
      <c r="P92" s="2">
        <f>-630.8</f>
        <v>-630.79999999999995</v>
      </c>
      <c r="Q92" s="2"/>
      <c r="R92" s="22">
        <f t="shared" si="56"/>
        <v>-1.703311766781732E-3</v>
      </c>
      <c r="S92" s="2"/>
      <c r="T92" s="2"/>
      <c r="U92" s="2"/>
      <c r="V92" s="22">
        <f t="shared" si="57"/>
        <v>0</v>
      </c>
      <c r="W92" s="2"/>
      <c r="X92" s="2">
        <f t="shared" si="58"/>
        <v>-630.79999999999995</v>
      </c>
      <c r="Y92" s="2"/>
      <c r="Z92" s="22">
        <f t="shared" si="59"/>
        <v>0</v>
      </c>
    </row>
    <row r="93" spans="1:26" s="24" customFormat="1" hidden="1" outlineLevel="1" x14ac:dyDescent="0.25">
      <c r="A93" s="51"/>
      <c r="B93" s="11" t="str">
        <f>CONCATENATE("          ", "9150", " - ", "MISC. INCOME")</f>
        <v xml:space="preserve">          9150 - MISC. INCOME</v>
      </c>
      <c r="C93" s="11"/>
      <c r="D93" s="2">
        <f>-133.29</f>
        <v>-133.29</v>
      </c>
      <c r="E93" s="2"/>
      <c r="F93" s="22">
        <f t="shared" si="52"/>
        <v>-3.5991506879254445E-4</v>
      </c>
      <c r="G93" s="2"/>
      <c r="H93" s="2">
        <v>1350</v>
      </c>
      <c r="I93" s="2"/>
      <c r="J93" s="22">
        <f t="shared" si="53"/>
        <v>3.2780277442555597E-3</v>
      </c>
      <c r="K93" s="2"/>
      <c r="L93" s="2">
        <f t="shared" si="54"/>
        <v>-1483.29</v>
      </c>
      <c r="M93" s="2"/>
      <c r="N93" s="22">
        <f t="shared" si="55"/>
        <v>-1.0987333333333333</v>
      </c>
      <c r="O93" s="11"/>
      <c r="P93" s="2">
        <f>-133.29</f>
        <v>-133.29</v>
      </c>
      <c r="Q93" s="2"/>
      <c r="R93" s="22">
        <f t="shared" si="56"/>
        <v>-3.5991506879254445E-4</v>
      </c>
      <c r="S93" s="2"/>
      <c r="T93" s="2">
        <v>1350</v>
      </c>
      <c r="U93" s="2"/>
      <c r="V93" s="22">
        <f t="shared" si="57"/>
        <v>3.2780277442555597E-3</v>
      </c>
      <c r="W93" s="2"/>
      <c r="X93" s="2">
        <f t="shared" si="58"/>
        <v>-1483.29</v>
      </c>
      <c r="Y93" s="2"/>
      <c r="Z93" s="22">
        <f t="shared" si="59"/>
        <v>-1.0987333333333333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6" t="s">
        <v>3</v>
      </c>
      <c r="C95" s="26"/>
      <c r="D95" s="21">
        <f>+D46-D48+D90</f>
        <v>3006.0500000000511</v>
      </c>
      <c r="E95" s="13"/>
      <c r="F95" s="19">
        <f>IF(D$12=0,0,D95/D$12)</f>
        <v>8.1170582380062032E-3</v>
      </c>
      <c r="G95" s="13"/>
      <c r="H95" s="21">
        <f>+H46-H48+H90</f>
        <v>75242.022963103838</v>
      </c>
      <c r="I95" s="13"/>
      <c r="J95" s="19">
        <f>IF(H$12=0,0,H95/H$12)</f>
        <v>0.18270032504219874</v>
      </c>
      <c r="K95" s="15"/>
      <c r="L95" s="21">
        <f>+D95-H95</f>
        <v>-72235.972963103792</v>
      </c>
      <c r="M95" s="15"/>
      <c r="N95" s="19">
        <f>IF(H95=0,0,L95/H95)</f>
        <v>-0.9600482565244941</v>
      </c>
      <c r="O95" s="25"/>
      <c r="P95" s="21">
        <f>+P46-P48+P90</f>
        <v>3006.0500000000511</v>
      </c>
      <c r="Q95" s="13"/>
      <c r="R95" s="19">
        <f>IF(P$12=0,0,P95/P$12)</f>
        <v>8.1170582380062032E-3</v>
      </c>
      <c r="S95" s="13"/>
      <c r="T95" s="21">
        <f>+T46-T48+T90</f>
        <v>75242.022963103838</v>
      </c>
      <c r="U95" s="13"/>
      <c r="V95" s="19">
        <f>IF(T$12=0,0,T95/T$12)</f>
        <v>0.18270032504219874</v>
      </c>
      <c r="W95" s="15"/>
      <c r="X95" s="21">
        <f>+P95-T95</f>
        <v>-72235.972963103792</v>
      </c>
      <c r="Y95" s="15"/>
      <c r="Z95" s="19">
        <f>IF(T95=0,0,X95/T95)</f>
        <v>-0.9600482565244941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>
        <v>77004.05</v>
      </c>
      <c r="E97" s="4"/>
      <c r="F97" s="12">
        <f>IF(D$12=0,0,D97/D$12)</f>
        <v>0.207929461722969</v>
      </c>
      <c r="G97" s="4"/>
      <c r="H97" s="4">
        <v>100366</v>
      </c>
      <c r="I97" s="4"/>
      <c r="J97" s="12">
        <f>IF(H$12=0,0,H97/H$12)</f>
        <v>0.24370557968885445</v>
      </c>
      <c r="K97" s="4"/>
      <c r="L97" s="4">
        <f>+D97-H97</f>
        <v>-23361.949999999997</v>
      </c>
      <c r="M97" s="4"/>
      <c r="N97" s="12">
        <f>IF(H97=0,0,L97/H97)</f>
        <v>-0.23276757069126991</v>
      </c>
      <c r="O97" s="10"/>
      <c r="P97" s="4">
        <v>77004.05</v>
      </c>
      <c r="Q97" s="4"/>
      <c r="R97" s="12">
        <f>IF(P$12=0,0,P97/P$12)</f>
        <v>0.207929461722969</v>
      </c>
      <c r="S97" s="4"/>
      <c r="T97" s="4">
        <v>100366</v>
      </c>
      <c r="U97" s="4"/>
      <c r="V97" s="12">
        <f>IF(T$12=0,0,T97/T$12)</f>
        <v>0.24370557968885445</v>
      </c>
      <c r="W97" s="4"/>
      <c r="X97" s="4">
        <f>+P97-T97</f>
        <v>-23361.949999999997</v>
      </c>
      <c r="Y97" s="4"/>
      <c r="Z97" s="12">
        <f>IF(T97=0,0,X97/T97)</f>
        <v>-0.23276757069126991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4</v>
      </c>
      <c r="C99" s="26"/>
      <c r="D99" s="32">
        <f>+D95-D97</f>
        <v>-73997.999999999956</v>
      </c>
      <c r="E99" s="13"/>
      <c r="F99" s="31">
        <f>IF(D$12=0,0,D99/D$12)</f>
        <v>-0.19981240348496279</v>
      </c>
      <c r="G99" s="13"/>
      <c r="H99" s="32">
        <f>+H95-H97</f>
        <v>-25123.977036896162</v>
      </c>
      <c r="I99" s="13"/>
      <c r="J99" s="31">
        <f>IF(H$12=0,0,H99/H$12)</f>
        <v>-6.100525464665571E-2</v>
      </c>
      <c r="K99" s="15"/>
      <c r="L99" s="32">
        <f>D99-H99</f>
        <v>-48874.022963103795</v>
      </c>
      <c r="M99" s="15"/>
      <c r="N99" s="31">
        <f>IF(H99=0,0,L99/H99)</f>
        <v>1.9453139481591302</v>
      </c>
      <c r="O99" s="25"/>
      <c r="P99" s="32">
        <f>+P95-P97</f>
        <v>-73997.999999999956</v>
      </c>
      <c r="Q99" s="13"/>
      <c r="R99" s="31">
        <f>IF(P$12=0,0,P99/P$12)</f>
        <v>-0.19981240348496279</v>
      </c>
      <c r="S99" s="13"/>
      <c r="T99" s="32">
        <f>+T95-T97</f>
        <v>-25123.977036896162</v>
      </c>
      <c r="U99" s="13"/>
      <c r="V99" s="31">
        <f>IF(T$12=0,0,T99/T$12)</f>
        <v>-6.100525464665571E-2</v>
      </c>
      <c r="W99" s="15"/>
      <c r="X99" s="32">
        <f>P99-T99</f>
        <v>-48874.022963103795</v>
      </c>
      <c r="Y99" s="15"/>
      <c r="Z99" s="31">
        <f>IF(T99=0,0,X99/T99)</f>
        <v>1.9453139481591302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5</v>
      </c>
      <c r="C102" s="26"/>
      <c r="D102" s="33">
        <f>SUM(D99:D101)</f>
        <v>-73997.999999999956</v>
      </c>
      <c r="E102" s="13"/>
      <c r="F102" s="34">
        <f>IF(D$12=0,0,D102/D$12)</f>
        <v>-0.19981240348496279</v>
      </c>
      <c r="G102" s="13"/>
      <c r="H102" s="33">
        <f>SUM(H99:H101)</f>
        <v>-25123.977036896162</v>
      </c>
      <c r="I102" s="13"/>
      <c r="J102" s="34">
        <f>IF(H$12=0,0,H102/H$12)</f>
        <v>-6.100525464665571E-2</v>
      </c>
      <c r="K102" s="15"/>
      <c r="L102" s="33">
        <f>+D102-H102</f>
        <v>-48874.022963103795</v>
      </c>
      <c r="M102" s="15"/>
      <c r="N102" s="34">
        <f>IF(H102=0,0,L102/H102)</f>
        <v>1.9453139481591302</v>
      </c>
      <c r="O102" s="25"/>
      <c r="P102" s="33">
        <f>SUM(P99:P101)</f>
        <v>-73997.999999999956</v>
      </c>
      <c r="Q102" s="13"/>
      <c r="R102" s="34">
        <f>IF(P$12=0,0,P102/P$12)</f>
        <v>-0.19981240348496279</v>
      </c>
      <c r="S102" s="13"/>
      <c r="T102" s="33">
        <f>SUM(T99:T101)</f>
        <v>-25123.977036896162</v>
      </c>
      <c r="U102" s="13"/>
      <c r="V102" s="34">
        <f>IF(T$12=0,0,T102/T$12)</f>
        <v>-6.100525464665571E-2</v>
      </c>
      <c r="W102" s="15"/>
      <c r="X102" s="33">
        <f>+P102-T102</f>
        <v>-48874.022963103795</v>
      </c>
      <c r="Y102" s="15"/>
      <c r="Z102" s="34">
        <f>IF(T102=0,0,X102/T102)</f>
        <v>1.9453139481591302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61">
        <v>43726.678374108793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6" t="s">
        <v>314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3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","317", " - ", "Computer Store")</f>
        <v>Department 317 - Computer 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370337.37</v>
      </c>
      <c r="E12" s="4"/>
      <c r="F12" s="12"/>
      <c r="G12" s="4"/>
      <c r="H12" s="4">
        <f>SUM(OSRRefH13x_0)</f>
        <v>411833</v>
      </c>
      <c r="I12" s="4"/>
      <c r="J12" s="12"/>
      <c r="K12" s="4"/>
      <c r="L12" s="4">
        <f t="shared" ref="L12:L32" si="0">+D12-H12</f>
        <v>-41495.630000000005</v>
      </c>
      <c r="M12" s="4"/>
      <c r="N12" s="12">
        <f t="shared" ref="N12:N32" si="1">IF(H12=0,0,L12/H12)</f>
        <v>-0.10075838992989879</v>
      </c>
      <c r="O12" s="10"/>
      <c r="P12" s="4">
        <f>SUM(OSRRefP13x_0)</f>
        <v>370337.37</v>
      </c>
      <c r="Q12" s="4"/>
      <c r="R12" s="12"/>
      <c r="S12" s="4"/>
      <c r="T12" s="4">
        <f>SUM(OSRRefT13x_0)</f>
        <v>411833</v>
      </c>
      <c r="U12" s="4"/>
      <c r="V12" s="12"/>
      <c r="W12" s="4"/>
      <c r="X12" s="4">
        <f t="shared" ref="X12:X32" si="2">+P12-T12</f>
        <v>-41495.630000000005</v>
      </c>
      <c r="Y12" s="4"/>
      <c r="Z12" s="12">
        <f t="shared" ref="Z12:Z32" si="3">IF(T12=0,0,X12/T12)</f>
        <v>-0.10075838992989879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362413</v>
      </c>
      <c r="I13" s="2"/>
      <c r="J13" s="22"/>
      <c r="K13" s="2"/>
      <c r="L13" s="2">
        <f t="shared" si="0"/>
        <v>-362413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362413</v>
      </c>
      <c r="U13" s="2"/>
      <c r="V13" s="22"/>
      <c r="W13" s="2"/>
      <c r="X13" s="2">
        <f t="shared" si="2"/>
        <v>-362413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--20944.59</f>
        <v>20944.59</v>
      </c>
      <c r="E14" s="2"/>
      <c r="F14" s="22"/>
      <c r="G14" s="2"/>
      <c r="H14" s="2"/>
      <c r="I14" s="2"/>
      <c r="J14" s="22"/>
      <c r="K14" s="2"/>
      <c r="L14" s="2">
        <f t="shared" si="0"/>
        <v>20944.59</v>
      </c>
      <c r="M14" s="2"/>
      <c r="N14" s="22">
        <f t="shared" si="1"/>
        <v>0</v>
      </c>
      <c r="O14" s="11"/>
      <c r="P14" s="2">
        <f>--20944.59</f>
        <v>20944.59</v>
      </c>
      <c r="Q14" s="2"/>
      <c r="R14" s="22"/>
      <c r="S14" s="2"/>
      <c r="T14" s="2"/>
      <c r="U14" s="2"/>
      <c r="V14" s="22"/>
      <c r="W14" s="2"/>
      <c r="X14" s="2">
        <f t="shared" si="2"/>
        <v>20944.59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--398769.74</f>
        <v>398769.74</v>
      </c>
      <c r="E15" s="2"/>
      <c r="F15" s="22"/>
      <c r="G15" s="2"/>
      <c r="H15" s="2"/>
      <c r="I15" s="2"/>
      <c r="J15" s="22"/>
      <c r="K15" s="2"/>
      <c r="L15" s="2">
        <f t="shared" si="0"/>
        <v>398769.74</v>
      </c>
      <c r="M15" s="2"/>
      <c r="N15" s="22">
        <f t="shared" si="1"/>
        <v>0</v>
      </c>
      <c r="O15" s="11"/>
      <c r="P15" s="2">
        <f>--398769.74</f>
        <v>398769.74</v>
      </c>
      <c r="Q15" s="2"/>
      <c r="R15" s="22"/>
      <c r="S15" s="2"/>
      <c r="T15" s="2"/>
      <c r="U15" s="2"/>
      <c r="V15" s="22"/>
      <c r="W15" s="2"/>
      <c r="X15" s="2">
        <f t="shared" si="2"/>
        <v>398769.74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--7906.1</f>
        <v>7906.1</v>
      </c>
      <c r="E16" s="2"/>
      <c r="F16" s="22"/>
      <c r="G16" s="2"/>
      <c r="H16" s="2"/>
      <c r="I16" s="2"/>
      <c r="J16" s="22"/>
      <c r="K16" s="2"/>
      <c r="L16" s="2">
        <f t="shared" si="0"/>
        <v>7906.1</v>
      </c>
      <c r="M16" s="2"/>
      <c r="N16" s="22">
        <f t="shared" si="1"/>
        <v>0</v>
      </c>
      <c r="O16" s="11"/>
      <c r="P16" s="2">
        <f>--7906.1</f>
        <v>7906.1</v>
      </c>
      <c r="Q16" s="2"/>
      <c r="R16" s="22"/>
      <c r="S16" s="2"/>
      <c r="T16" s="2"/>
      <c r="U16" s="2"/>
      <c r="V16" s="22"/>
      <c r="W16" s="2"/>
      <c r="X16" s="2">
        <f t="shared" si="2"/>
        <v>7906.1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--129</f>
        <v>129</v>
      </c>
      <c r="E17" s="2"/>
      <c r="F17" s="22"/>
      <c r="G17" s="2"/>
      <c r="H17" s="2"/>
      <c r="I17" s="2"/>
      <c r="J17" s="22"/>
      <c r="K17" s="2"/>
      <c r="L17" s="2">
        <f t="shared" si="0"/>
        <v>129</v>
      </c>
      <c r="M17" s="2"/>
      <c r="N17" s="22">
        <f t="shared" si="1"/>
        <v>0</v>
      </c>
      <c r="O17" s="11"/>
      <c r="P17" s="2">
        <f>--129</f>
        <v>129</v>
      </c>
      <c r="Q17" s="2"/>
      <c r="R17" s="22"/>
      <c r="S17" s="2"/>
      <c r="T17" s="2"/>
      <c r="U17" s="2"/>
      <c r="V17" s="22"/>
      <c r="W17" s="2"/>
      <c r="X17" s="2">
        <f t="shared" si="2"/>
        <v>129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"4085", " - ", "TAXABLE SALES-SOFTWARE")</f>
        <v xml:space="preserve">          4085 - TAXABLE SALES-SOFTWARE</v>
      </c>
      <c r="C18" s="11"/>
      <c r="D18" s="2">
        <f>--493.95</f>
        <v>493.95</v>
      </c>
      <c r="E18" s="2"/>
      <c r="F18" s="22"/>
      <c r="G18" s="2"/>
      <c r="H18" s="2"/>
      <c r="I18" s="2"/>
      <c r="J18" s="22"/>
      <c r="K18" s="2"/>
      <c r="L18" s="2">
        <f t="shared" si="0"/>
        <v>493.95</v>
      </c>
      <c r="M18" s="2"/>
      <c r="N18" s="22">
        <f t="shared" si="1"/>
        <v>0</v>
      </c>
      <c r="O18" s="11"/>
      <c r="P18" s="2">
        <f>--493.95</f>
        <v>493.95</v>
      </c>
      <c r="Q18" s="2"/>
      <c r="R18" s="22"/>
      <c r="S18" s="2"/>
      <c r="T18" s="2"/>
      <c r="U18" s="2"/>
      <c r="V18" s="22"/>
      <c r="W18" s="2"/>
      <c r="X18" s="2">
        <f t="shared" si="2"/>
        <v>493.95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--1980.33</f>
        <v>1980.33</v>
      </c>
      <c r="E19" s="2"/>
      <c r="F19" s="22"/>
      <c r="G19" s="2"/>
      <c r="H19" s="2"/>
      <c r="I19" s="2"/>
      <c r="J19" s="22"/>
      <c r="K19" s="2"/>
      <c r="L19" s="2">
        <f t="shared" si="0"/>
        <v>1980.33</v>
      </c>
      <c r="M19" s="2"/>
      <c r="N19" s="22">
        <f t="shared" si="1"/>
        <v>0</v>
      </c>
      <c r="O19" s="11"/>
      <c r="P19" s="2">
        <f>--1980.33</f>
        <v>1980.33</v>
      </c>
      <c r="Q19" s="2"/>
      <c r="R19" s="22"/>
      <c r="S19" s="2"/>
      <c r="T19" s="2"/>
      <c r="U19" s="2"/>
      <c r="V19" s="22"/>
      <c r="W19" s="2"/>
      <c r="X19" s="2">
        <f t="shared" si="2"/>
        <v>1980.33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"4088", " - ", "TAXABLE SALES-MUSIC")</f>
        <v xml:space="preserve">          4088 - TAXABLE SALES-MUSIC</v>
      </c>
      <c r="C20" s="11"/>
      <c r="D20" s="2">
        <f>--258.99</f>
        <v>258.99</v>
      </c>
      <c r="E20" s="2"/>
      <c r="F20" s="22"/>
      <c r="G20" s="2"/>
      <c r="H20" s="2"/>
      <c r="I20" s="2"/>
      <c r="J20" s="22"/>
      <c r="K20" s="2"/>
      <c r="L20" s="2">
        <f t="shared" si="0"/>
        <v>258.99</v>
      </c>
      <c r="M20" s="2"/>
      <c r="N20" s="22">
        <f t="shared" si="1"/>
        <v>0</v>
      </c>
      <c r="O20" s="11"/>
      <c r="P20" s="2">
        <f>--258.99</f>
        <v>258.99</v>
      </c>
      <c r="Q20" s="2"/>
      <c r="R20" s="22"/>
      <c r="S20" s="2"/>
      <c r="T20" s="2"/>
      <c r="U20" s="2"/>
      <c r="V20" s="22"/>
      <c r="W20" s="2"/>
      <c r="X20" s="2">
        <f t="shared" si="2"/>
        <v>258.99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22"/>
      <c r="G21" s="2"/>
      <c r="H21" s="2">
        <v>49420</v>
      </c>
      <c r="I21" s="2"/>
      <c r="J21" s="22"/>
      <c r="K21" s="2"/>
      <c r="L21" s="2">
        <f t="shared" si="0"/>
        <v>-49420</v>
      </c>
      <c r="M21" s="2"/>
      <c r="N21" s="22">
        <f t="shared" si="1"/>
        <v>-1</v>
      </c>
      <c r="O21" s="11"/>
      <c r="P21" s="2">
        <f>0</f>
        <v>0</v>
      </c>
      <c r="Q21" s="2"/>
      <c r="R21" s="22"/>
      <c r="S21" s="2"/>
      <c r="T21" s="2">
        <v>49420</v>
      </c>
      <c r="U21" s="2"/>
      <c r="V21" s="22"/>
      <c r="W21" s="2"/>
      <c r="X21" s="2">
        <f t="shared" si="2"/>
        <v>-49420</v>
      </c>
      <c r="Y21" s="2"/>
      <c r="Z21" s="22">
        <f t="shared" si="3"/>
        <v>-1</v>
      </c>
    </row>
    <row r="22" spans="1:26" s="24" customFormat="1" hidden="1" outlineLevel="1" x14ac:dyDescent="0.25">
      <c r="A22" s="51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--1302.61</f>
        <v>1302.6099999999999</v>
      </c>
      <c r="E22" s="2"/>
      <c r="F22" s="22"/>
      <c r="G22" s="2"/>
      <c r="H22" s="2"/>
      <c r="I22" s="2"/>
      <c r="J22" s="22"/>
      <c r="K22" s="2"/>
      <c r="L22" s="2">
        <f t="shared" si="0"/>
        <v>1302.6099999999999</v>
      </c>
      <c r="M22" s="2"/>
      <c r="N22" s="22">
        <f t="shared" si="1"/>
        <v>0</v>
      </c>
      <c r="O22" s="11"/>
      <c r="P22" s="2">
        <f>--1302.61</f>
        <v>1302.6099999999999</v>
      </c>
      <c r="Q22" s="2"/>
      <c r="R22" s="22"/>
      <c r="S22" s="2"/>
      <c r="T22" s="2"/>
      <c r="U22" s="2"/>
      <c r="V22" s="22"/>
      <c r="W22" s="2"/>
      <c r="X22" s="2">
        <f t="shared" si="2"/>
        <v>1302.6099999999999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--10618</f>
        <v>10618</v>
      </c>
      <c r="E23" s="2"/>
      <c r="F23" s="22"/>
      <c r="G23" s="2"/>
      <c r="H23" s="2"/>
      <c r="I23" s="2"/>
      <c r="J23" s="22"/>
      <c r="K23" s="2"/>
      <c r="L23" s="2">
        <f t="shared" si="0"/>
        <v>10618</v>
      </c>
      <c r="M23" s="2"/>
      <c r="N23" s="22">
        <f t="shared" si="1"/>
        <v>0</v>
      </c>
      <c r="O23" s="11"/>
      <c r="P23" s="2">
        <f>--10618</f>
        <v>10618</v>
      </c>
      <c r="Q23" s="2"/>
      <c r="R23" s="22"/>
      <c r="S23" s="2"/>
      <c r="T23" s="2"/>
      <c r="U23" s="2"/>
      <c r="V23" s="22"/>
      <c r="W23" s="2"/>
      <c r="X23" s="2">
        <f t="shared" si="2"/>
        <v>10618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--181.9</f>
        <v>181.9</v>
      </c>
      <c r="E24" s="2"/>
      <c r="F24" s="22"/>
      <c r="G24" s="2"/>
      <c r="H24" s="2"/>
      <c r="I24" s="2"/>
      <c r="J24" s="22"/>
      <c r="K24" s="2"/>
      <c r="L24" s="2">
        <f t="shared" si="0"/>
        <v>181.9</v>
      </c>
      <c r="M24" s="2"/>
      <c r="N24" s="22">
        <f t="shared" si="1"/>
        <v>0</v>
      </c>
      <c r="O24" s="11"/>
      <c r="P24" s="2">
        <f>--181.9</f>
        <v>181.9</v>
      </c>
      <c r="Q24" s="2"/>
      <c r="R24" s="22"/>
      <c r="S24" s="2"/>
      <c r="T24" s="2"/>
      <c r="U24" s="2"/>
      <c r="V24" s="22"/>
      <c r="W24" s="2"/>
      <c r="X24" s="2">
        <f t="shared" si="2"/>
        <v>181.9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"4185", " - ", "NON-TAXABLE SALES-SOFTWARE")</f>
        <v xml:space="preserve">          4185 - NON-TAXABLE SALES-SOFTWARE</v>
      </c>
      <c r="C25" s="11"/>
      <c r="D25" s="2">
        <f>--752</f>
        <v>752</v>
      </c>
      <c r="E25" s="2"/>
      <c r="F25" s="22"/>
      <c r="G25" s="2"/>
      <c r="H25" s="2"/>
      <c r="I25" s="2"/>
      <c r="J25" s="22"/>
      <c r="K25" s="2"/>
      <c r="L25" s="2">
        <f t="shared" si="0"/>
        <v>752</v>
      </c>
      <c r="M25" s="2"/>
      <c r="N25" s="22">
        <f t="shared" si="1"/>
        <v>0</v>
      </c>
      <c r="O25" s="11"/>
      <c r="P25" s="2">
        <f>--752</f>
        <v>752</v>
      </c>
      <c r="Q25" s="2"/>
      <c r="R25" s="22"/>
      <c r="S25" s="2"/>
      <c r="T25" s="2"/>
      <c r="U25" s="2"/>
      <c r="V25" s="22"/>
      <c r="W25" s="2"/>
      <c r="X25" s="2">
        <f t="shared" si="2"/>
        <v>752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--79.97</f>
        <v>79.97</v>
      </c>
      <c r="E26" s="2"/>
      <c r="F26" s="22"/>
      <c r="G26" s="2"/>
      <c r="H26" s="2"/>
      <c r="I26" s="2"/>
      <c r="J26" s="22"/>
      <c r="K26" s="2"/>
      <c r="L26" s="2">
        <f t="shared" si="0"/>
        <v>79.97</v>
      </c>
      <c r="M26" s="2"/>
      <c r="N26" s="22">
        <f t="shared" si="1"/>
        <v>0</v>
      </c>
      <c r="O26" s="11"/>
      <c r="P26" s="2">
        <f>--79.97</f>
        <v>79.97</v>
      </c>
      <c r="Q26" s="2"/>
      <c r="R26" s="22"/>
      <c r="S26" s="2"/>
      <c r="T26" s="2"/>
      <c r="U26" s="2"/>
      <c r="V26" s="22"/>
      <c r="W26" s="2"/>
      <c r="X26" s="2">
        <f t="shared" si="2"/>
        <v>79.97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"4188", " - ", "NON-TAXABLE SALES-MUSIC")</f>
        <v xml:space="preserve">          4188 - NON-TAXABLE SALES-MUSIC</v>
      </c>
      <c r="C27" s="11"/>
      <c r="D27" s="2">
        <f>--99.98</f>
        <v>99.98</v>
      </c>
      <c r="E27" s="2"/>
      <c r="F27" s="22"/>
      <c r="G27" s="2"/>
      <c r="H27" s="2"/>
      <c r="I27" s="2"/>
      <c r="J27" s="22"/>
      <c r="K27" s="2"/>
      <c r="L27" s="2">
        <f t="shared" si="0"/>
        <v>99.98</v>
      </c>
      <c r="M27" s="2"/>
      <c r="N27" s="22">
        <f t="shared" si="1"/>
        <v>0</v>
      </c>
      <c r="O27" s="11"/>
      <c r="P27" s="2">
        <f>--99.98</f>
        <v>99.98</v>
      </c>
      <c r="Q27" s="2"/>
      <c r="R27" s="22"/>
      <c r="S27" s="2"/>
      <c r="T27" s="2"/>
      <c r="U27" s="2"/>
      <c r="V27" s="22"/>
      <c r="W27" s="2"/>
      <c r="X27" s="2">
        <f t="shared" si="2"/>
        <v>99.98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>-1658.99</f>
        <v>-1658.99</v>
      </c>
      <c r="E28" s="2"/>
      <c r="F28" s="22"/>
      <c r="G28" s="2"/>
      <c r="H28" s="2"/>
      <c r="I28" s="2"/>
      <c r="J28" s="22"/>
      <c r="K28" s="2"/>
      <c r="L28" s="2">
        <f t="shared" si="0"/>
        <v>-1658.99</v>
      </c>
      <c r="M28" s="2"/>
      <c r="N28" s="22">
        <f t="shared" si="1"/>
        <v>0</v>
      </c>
      <c r="O28" s="11"/>
      <c r="P28" s="2">
        <f>-1658.99</f>
        <v>-1658.99</v>
      </c>
      <c r="Q28" s="2"/>
      <c r="R28" s="22"/>
      <c r="S28" s="2"/>
      <c r="T28" s="2"/>
      <c r="U28" s="2"/>
      <c r="V28" s="22"/>
      <c r="W28" s="2"/>
      <c r="X28" s="2">
        <f t="shared" si="2"/>
        <v>-1658.99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-70341.06</f>
        <v>-70341.06</v>
      </c>
      <c r="E29" s="2"/>
      <c r="F29" s="22"/>
      <c r="G29" s="2"/>
      <c r="H29" s="2"/>
      <c r="I29" s="2"/>
      <c r="J29" s="22"/>
      <c r="K29" s="2"/>
      <c r="L29" s="2">
        <f t="shared" si="0"/>
        <v>-70341.06</v>
      </c>
      <c r="M29" s="2"/>
      <c r="N29" s="22">
        <f t="shared" si="1"/>
        <v>0</v>
      </c>
      <c r="O29" s="11"/>
      <c r="P29" s="2">
        <f>-70341.06</f>
        <v>-70341.06</v>
      </c>
      <c r="Q29" s="2"/>
      <c r="R29" s="22"/>
      <c r="S29" s="2"/>
      <c r="T29" s="2"/>
      <c r="U29" s="2"/>
      <c r="V29" s="22"/>
      <c r="W29" s="2"/>
      <c r="X29" s="2">
        <f t="shared" si="2"/>
        <v>-70341.06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-226.8</f>
        <v>-226.8</v>
      </c>
      <c r="E30" s="2"/>
      <c r="F30" s="22"/>
      <c r="G30" s="2"/>
      <c r="H30" s="2"/>
      <c r="I30" s="2"/>
      <c r="J30" s="22"/>
      <c r="K30" s="2"/>
      <c r="L30" s="2">
        <f t="shared" si="0"/>
        <v>-226.8</v>
      </c>
      <c r="M30" s="2"/>
      <c r="N30" s="22">
        <f t="shared" si="1"/>
        <v>0</v>
      </c>
      <c r="O30" s="11"/>
      <c r="P30" s="2">
        <f>-226.8</f>
        <v>-226.8</v>
      </c>
      <c r="Q30" s="2"/>
      <c r="R30" s="22"/>
      <c r="S30" s="2"/>
      <c r="T30" s="2"/>
      <c r="U30" s="2"/>
      <c r="V30" s="22"/>
      <c r="W30" s="2"/>
      <c r="X30" s="2">
        <f t="shared" si="2"/>
        <v>-226.8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>-406.99</f>
        <v>-406.99</v>
      </c>
      <c r="E31" s="2"/>
      <c r="F31" s="22"/>
      <c r="G31" s="2"/>
      <c r="H31" s="2"/>
      <c r="I31" s="2"/>
      <c r="J31" s="22"/>
      <c r="K31" s="2"/>
      <c r="L31" s="2">
        <f t="shared" si="0"/>
        <v>-406.99</v>
      </c>
      <c r="M31" s="2"/>
      <c r="N31" s="22">
        <f t="shared" si="1"/>
        <v>0</v>
      </c>
      <c r="O31" s="11"/>
      <c r="P31" s="2">
        <f>-406.99</f>
        <v>-406.99</v>
      </c>
      <c r="Q31" s="2"/>
      <c r="R31" s="22"/>
      <c r="S31" s="2"/>
      <c r="T31" s="2"/>
      <c r="U31" s="2"/>
      <c r="V31" s="22"/>
      <c r="W31" s="2"/>
      <c r="X31" s="2">
        <f t="shared" si="2"/>
        <v>-406.99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-545.95</f>
        <v>-545.95000000000005</v>
      </c>
      <c r="E32" s="2"/>
      <c r="F32" s="22"/>
      <c r="G32" s="2"/>
      <c r="H32" s="2"/>
      <c r="I32" s="2"/>
      <c r="J32" s="22"/>
      <c r="K32" s="2"/>
      <c r="L32" s="2">
        <f t="shared" si="0"/>
        <v>-545.95000000000005</v>
      </c>
      <c r="M32" s="2"/>
      <c r="N32" s="22">
        <f t="shared" si="1"/>
        <v>0</v>
      </c>
      <c r="O32" s="11"/>
      <c r="P32" s="2">
        <f>-545.95</f>
        <v>-545.95000000000005</v>
      </c>
      <c r="Q32" s="2"/>
      <c r="R32" s="22"/>
      <c r="S32" s="2"/>
      <c r="T32" s="2"/>
      <c r="U32" s="2"/>
      <c r="V32" s="22"/>
      <c r="W32" s="2"/>
      <c r="X32" s="2">
        <f t="shared" si="2"/>
        <v>-545.95000000000005</v>
      </c>
      <c r="Y32" s="2"/>
      <c r="Z32" s="22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5" t="s">
        <v>8</v>
      </c>
      <c r="C34" s="10"/>
      <c r="D34" s="4">
        <f>SUM(OSRRefD16x_0)</f>
        <v>342320.18999999994</v>
      </c>
      <c r="E34" s="4"/>
      <c r="F34" s="12">
        <f t="shared" ref="F34:F44" si="4">IF(D$12=0,0,D34/D$12)</f>
        <v>0.9243468732307516</v>
      </c>
      <c r="G34" s="4"/>
      <c r="H34" s="4">
        <f>SUM(OSRRefH16x_0)</f>
        <v>321627</v>
      </c>
      <c r="I34" s="4"/>
      <c r="J34" s="12">
        <f t="shared" ref="J34:J44" si="5">IF(H$12=0,0,H34/H$12)</f>
        <v>0.78096461429754294</v>
      </c>
      <c r="K34" s="4"/>
      <c r="L34" s="4">
        <f t="shared" ref="L34:L44" si="6">+D34-H34</f>
        <v>20693.189999999944</v>
      </c>
      <c r="M34" s="4"/>
      <c r="N34" s="12">
        <f t="shared" ref="N34:N44" si="7">IF(H34=0,0,L34/H34)</f>
        <v>6.4339094665559621E-2</v>
      </c>
      <c r="O34" s="10"/>
      <c r="P34" s="4">
        <f>SUM(OSRRefP16x_0)</f>
        <v>342320.18999999994</v>
      </c>
      <c r="Q34" s="4"/>
      <c r="R34" s="12">
        <f t="shared" ref="R34:R44" si="8">IF(P$12=0,0,P34/P$12)</f>
        <v>0.9243468732307516</v>
      </c>
      <c r="S34" s="4"/>
      <c r="T34" s="4">
        <f>SUM(OSRRefT16x_0)</f>
        <v>321627</v>
      </c>
      <c r="U34" s="4"/>
      <c r="V34" s="12">
        <f t="shared" ref="V34:V44" si="9">IF(T$12=0,0,T34/T$12)</f>
        <v>0.78096461429754294</v>
      </c>
      <c r="W34" s="4"/>
      <c r="X34" s="4">
        <f t="shared" ref="X34:X44" si="10">+P34-T34</f>
        <v>20693.189999999944</v>
      </c>
      <c r="Y34" s="4"/>
      <c r="Z34" s="12">
        <f t="shared" ref="Z34:Z44" si="11">IF(T34=0,0,X34/T34)</f>
        <v>6.4339094665559621E-2</v>
      </c>
    </row>
    <row r="35" spans="1:26" s="24" customFormat="1" hidden="1" outlineLevel="1" x14ac:dyDescent="0.25">
      <c r="A35" s="51"/>
      <c r="B35" s="11" t="str">
        <f>CONCATENATE("          ", "5000", " - ", "PURCHASES @ COST")</f>
        <v xml:space="preserve">          5000 - PURCHASES @ COST</v>
      </c>
      <c r="C35" s="11"/>
      <c r="D35" s="2"/>
      <c r="E35" s="2"/>
      <c r="F35" s="22">
        <f t="shared" si="4"/>
        <v>0</v>
      </c>
      <c r="G35" s="2"/>
      <c r="H35" s="2">
        <v>321627</v>
      </c>
      <c r="I35" s="2"/>
      <c r="J35" s="22">
        <f t="shared" si="5"/>
        <v>0.78096461429754294</v>
      </c>
      <c r="K35" s="2"/>
      <c r="L35" s="2">
        <f t="shared" si="6"/>
        <v>-321627</v>
      </c>
      <c r="M35" s="2"/>
      <c r="N35" s="22">
        <f t="shared" si="7"/>
        <v>-1</v>
      </c>
      <c r="O35" s="11"/>
      <c r="P35" s="2"/>
      <c r="Q35" s="2"/>
      <c r="R35" s="22">
        <f t="shared" si="8"/>
        <v>0</v>
      </c>
      <c r="S35" s="2"/>
      <c r="T35" s="2">
        <v>321627</v>
      </c>
      <c r="U35" s="2"/>
      <c r="V35" s="22">
        <f t="shared" si="9"/>
        <v>0.78096461429754294</v>
      </c>
      <c r="W35" s="2"/>
      <c r="X35" s="2">
        <f t="shared" si="10"/>
        <v>-321627</v>
      </c>
      <c r="Y35" s="2"/>
      <c r="Z35" s="22">
        <f t="shared" si="11"/>
        <v>-1</v>
      </c>
    </row>
    <row r="36" spans="1:26" s="24" customFormat="1" hidden="1" outlineLevel="1" x14ac:dyDescent="0.25">
      <c r="A36" s="51"/>
      <c r="B36" s="11" t="str">
        <f>CONCATENATE("          ", "5081", " - ", "PURCHASES @ COST-ELECTRONICS")</f>
        <v xml:space="preserve">          5081 - PURCHASES @ COST-ELECTRONICS</v>
      </c>
      <c r="C36" s="11"/>
      <c r="D36" s="2">
        <v>66058.349999999991</v>
      </c>
      <c r="E36" s="2"/>
      <c r="F36" s="22">
        <f t="shared" si="4"/>
        <v>0.17837343825172164</v>
      </c>
      <c r="G36" s="2"/>
      <c r="H36" s="2"/>
      <c r="I36" s="2"/>
      <c r="J36" s="22">
        <f t="shared" si="5"/>
        <v>0</v>
      </c>
      <c r="K36" s="2"/>
      <c r="L36" s="2">
        <f t="shared" si="6"/>
        <v>66058.349999999991</v>
      </c>
      <c r="M36" s="2"/>
      <c r="N36" s="22">
        <f t="shared" si="7"/>
        <v>0</v>
      </c>
      <c r="O36" s="11"/>
      <c r="P36" s="2">
        <v>66058.349999999991</v>
      </c>
      <c r="Q36" s="2"/>
      <c r="R36" s="22">
        <f t="shared" si="8"/>
        <v>0.17837343825172164</v>
      </c>
      <c r="S36" s="2"/>
      <c r="T36" s="2"/>
      <c r="U36" s="2"/>
      <c r="V36" s="22">
        <f t="shared" si="9"/>
        <v>0</v>
      </c>
      <c r="W36" s="2"/>
      <c r="X36" s="2">
        <f t="shared" si="10"/>
        <v>66058.349999999991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"5082", " - ", "PURCHASES @ COST-COMPUTER HARD")</f>
        <v xml:space="preserve">          5082 - PURCHASES @ COST-COMPUTER HARD</v>
      </c>
      <c r="C37" s="11"/>
      <c r="D37" s="2">
        <v>356559.97</v>
      </c>
      <c r="E37" s="2"/>
      <c r="F37" s="22">
        <f t="shared" si="4"/>
        <v>0.96279770523833441</v>
      </c>
      <c r="G37" s="2"/>
      <c r="H37" s="2"/>
      <c r="I37" s="2"/>
      <c r="J37" s="22">
        <f t="shared" si="5"/>
        <v>0</v>
      </c>
      <c r="K37" s="2"/>
      <c r="L37" s="2">
        <f t="shared" si="6"/>
        <v>356559.97</v>
      </c>
      <c r="M37" s="2"/>
      <c r="N37" s="22">
        <f t="shared" si="7"/>
        <v>0</v>
      </c>
      <c r="O37" s="11"/>
      <c r="P37" s="2">
        <v>356559.97</v>
      </c>
      <c r="Q37" s="2"/>
      <c r="R37" s="22">
        <f t="shared" si="8"/>
        <v>0.96279770523833441</v>
      </c>
      <c r="S37" s="2"/>
      <c r="T37" s="2"/>
      <c r="U37" s="2"/>
      <c r="V37" s="22">
        <f t="shared" si="9"/>
        <v>0</v>
      </c>
      <c r="W37" s="2"/>
      <c r="X37" s="2">
        <f t="shared" si="10"/>
        <v>356559.97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"5083", " - ", "PURCHASES @ COST-COMPUTER EQUI")</f>
        <v xml:space="preserve">          5083 - PURCHASES @ COST-COMPUTER EQUI</v>
      </c>
      <c r="C38" s="11"/>
      <c r="D38" s="2">
        <v>7276.14</v>
      </c>
      <c r="E38" s="2"/>
      <c r="F38" s="22">
        <f t="shared" si="4"/>
        <v>1.9647328596625289E-2</v>
      </c>
      <c r="G38" s="2"/>
      <c r="H38" s="2"/>
      <c r="I38" s="2"/>
      <c r="J38" s="22">
        <f t="shared" si="5"/>
        <v>0</v>
      </c>
      <c r="K38" s="2"/>
      <c r="L38" s="2">
        <f t="shared" si="6"/>
        <v>7276.14</v>
      </c>
      <c r="M38" s="2"/>
      <c r="N38" s="22">
        <f t="shared" si="7"/>
        <v>0</v>
      </c>
      <c r="O38" s="11"/>
      <c r="P38" s="2">
        <v>7276.14</v>
      </c>
      <c r="Q38" s="2"/>
      <c r="R38" s="22">
        <f t="shared" si="8"/>
        <v>1.9647328596625289E-2</v>
      </c>
      <c r="S38" s="2"/>
      <c r="T38" s="2"/>
      <c r="U38" s="2"/>
      <c r="V38" s="22">
        <f t="shared" si="9"/>
        <v>0</v>
      </c>
      <c r="W38" s="2"/>
      <c r="X38" s="2">
        <f t="shared" si="10"/>
        <v>7276.14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"5086", " - ", "PURCHASES @ COST-COMPUTER SUPP")</f>
        <v xml:space="preserve">          5086 - PURCHASES @ COST-COMPUTER SUPP</v>
      </c>
      <c r="C39" s="11"/>
      <c r="D39" s="2">
        <v>3427.07</v>
      </c>
      <c r="E39" s="2"/>
      <c r="F39" s="22">
        <f t="shared" si="4"/>
        <v>9.2539135329497008E-3</v>
      </c>
      <c r="G39" s="2"/>
      <c r="H39" s="2"/>
      <c r="I39" s="2"/>
      <c r="J39" s="22">
        <f t="shared" si="5"/>
        <v>0</v>
      </c>
      <c r="K39" s="2"/>
      <c r="L39" s="2">
        <f t="shared" si="6"/>
        <v>3427.07</v>
      </c>
      <c r="M39" s="2"/>
      <c r="N39" s="22">
        <f t="shared" si="7"/>
        <v>0</v>
      </c>
      <c r="O39" s="11"/>
      <c r="P39" s="2">
        <v>3427.07</v>
      </c>
      <c r="Q39" s="2"/>
      <c r="R39" s="22">
        <f t="shared" si="8"/>
        <v>9.2539135329497008E-3</v>
      </c>
      <c r="S39" s="2"/>
      <c r="T39" s="2"/>
      <c r="U39" s="2"/>
      <c r="V39" s="22">
        <f t="shared" si="9"/>
        <v>0</v>
      </c>
      <c r="W39" s="2"/>
      <c r="X39" s="2">
        <f t="shared" si="10"/>
        <v>3427.07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"5088", " - ", "PURCHASES @ COST-MUSIC")</f>
        <v xml:space="preserve">          5088 - PURCHASES @ COST-MUSIC</v>
      </c>
      <c r="C40" s="11"/>
      <c r="D40" s="2">
        <v>82</v>
      </c>
      <c r="E40" s="2"/>
      <c r="F40" s="22">
        <f t="shared" si="4"/>
        <v>2.2141972871924862E-4</v>
      </c>
      <c r="G40" s="2"/>
      <c r="H40" s="2"/>
      <c r="I40" s="2"/>
      <c r="J40" s="22">
        <f t="shared" si="5"/>
        <v>0</v>
      </c>
      <c r="K40" s="2"/>
      <c r="L40" s="2">
        <f t="shared" si="6"/>
        <v>82</v>
      </c>
      <c r="M40" s="2"/>
      <c r="N40" s="22">
        <f t="shared" si="7"/>
        <v>0</v>
      </c>
      <c r="O40" s="11"/>
      <c r="P40" s="2">
        <v>82</v>
      </c>
      <c r="Q40" s="2"/>
      <c r="R40" s="22">
        <f t="shared" si="8"/>
        <v>2.2141972871924862E-4</v>
      </c>
      <c r="S40" s="2"/>
      <c r="T40" s="2"/>
      <c r="U40" s="2"/>
      <c r="V40" s="22">
        <f t="shared" si="9"/>
        <v>0</v>
      </c>
      <c r="W40" s="2"/>
      <c r="X40" s="2">
        <f t="shared" si="10"/>
        <v>82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"5200", " - ", "PURCHASES OFFSET")</f>
        <v xml:space="preserve">          5200 - PURCHASES OFFSET</v>
      </c>
      <c r="C41" s="11"/>
      <c r="D41" s="2">
        <v>-433440</v>
      </c>
      <c r="E41" s="2"/>
      <c r="F41" s="22">
        <f t="shared" si="4"/>
        <v>-1.1703922831228186</v>
      </c>
      <c r="G41" s="2"/>
      <c r="H41" s="2"/>
      <c r="I41" s="2"/>
      <c r="J41" s="22">
        <f t="shared" si="5"/>
        <v>0</v>
      </c>
      <c r="K41" s="2"/>
      <c r="L41" s="2">
        <f t="shared" si="6"/>
        <v>-433440</v>
      </c>
      <c r="M41" s="2"/>
      <c r="N41" s="22">
        <f t="shared" si="7"/>
        <v>0</v>
      </c>
      <c r="O41" s="11"/>
      <c r="P41" s="2">
        <v>-433440</v>
      </c>
      <c r="Q41" s="2"/>
      <c r="R41" s="22">
        <f t="shared" si="8"/>
        <v>-1.1703922831228186</v>
      </c>
      <c r="S41" s="2"/>
      <c r="T41" s="2"/>
      <c r="U41" s="2"/>
      <c r="V41" s="22">
        <f t="shared" si="9"/>
        <v>0</v>
      </c>
      <c r="W41" s="2"/>
      <c r="X41" s="2">
        <f t="shared" si="10"/>
        <v>-433440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"5300", " - ", "COG$ OFFSET")</f>
        <v xml:space="preserve">          5300 - COG$ OFFSET</v>
      </c>
      <c r="C42" s="11"/>
      <c r="D42" s="2">
        <v>342320</v>
      </c>
      <c r="E42" s="2"/>
      <c r="F42" s="22">
        <f t="shared" si="4"/>
        <v>0.92434636018503891</v>
      </c>
      <c r="G42" s="2"/>
      <c r="H42" s="2"/>
      <c r="I42" s="2"/>
      <c r="J42" s="22">
        <f t="shared" si="5"/>
        <v>0</v>
      </c>
      <c r="K42" s="2"/>
      <c r="L42" s="2">
        <f t="shared" si="6"/>
        <v>342320</v>
      </c>
      <c r="M42" s="2"/>
      <c r="N42" s="22">
        <f t="shared" si="7"/>
        <v>0</v>
      </c>
      <c r="O42" s="11"/>
      <c r="P42" s="2">
        <v>342320</v>
      </c>
      <c r="Q42" s="2"/>
      <c r="R42" s="22">
        <f t="shared" si="8"/>
        <v>0.92434636018503891</v>
      </c>
      <c r="S42" s="2"/>
      <c r="T42" s="2"/>
      <c r="U42" s="2"/>
      <c r="V42" s="22">
        <f t="shared" si="9"/>
        <v>0</v>
      </c>
      <c r="W42" s="2"/>
      <c r="X42" s="2">
        <f t="shared" si="10"/>
        <v>342320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"5583", " - ", "FREIGHT-IN-COMPUTER EQUIPMENT")</f>
        <v xml:space="preserve">          5583 - FREIGHT-IN-COMPUTER EQUIPMENT</v>
      </c>
      <c r="C43" s="11"/>
      <c r="D43" s="2">
        <v>6.99</v>
      </c>
      <c r="E43" s="2"/>
      <c r="F43" s="22">
        <f t="shared" si="4"/>
        <v>1.8874681753018875E-5</v>
      </c>
      <c r="G43" s="2"/>
      <c r="H43" s="2"/>
      <c r="I43" s="2"/>
      <c r="J43" s="22">
        <f t="shared" si="5"/>
        <v>0</v>
      </c>
      <c r="K43" s="2"/>
      <c r="L43" s="2">
        <f t="shared" si="6"/>
        <v>6.99</v>
      </c>
      <c r="M43" s="2"/>
      <c r="N43" s="22">
        <f t="shared" si="7"/>
        <v>0</v>
      </c>
      <c r="O43" s="11"/>
      <c r="P43" s="2">
        <v>6.99</v>
      </c>
      <c r="Q43" s="2"/>
      <c r="R43" s="22">
        <f t="shared" si="8"/>
        <v>1.8874681753018875E-5</v>
      </c>
      <c r="S43" s="2"/>
      <c r="T43" s="2"/>
      <c r="U43" s="2"/>
      <c r="V43" s="22">
        <f t="shared" si="9"/>
        <v>0</v>
      </c>
      <c r="W43" s="2"/>
      <c r="X43" s="2">
        <f t="shared" si="10"/>
        <v>6.99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"5586", " - ", "FREIGHT-IN-COMPUTER SUPPLIES")</f>
        <v xml:space="preserve">          5586 - FREIGHT-IN-COMPUTER SUPPLIES</v>
      </c>
      <c r="C44" s="11"/>
      <c r="D44" s="2">
        <v>29.67</v>
      </c>
      <c r="E44" s="2"/>
      <c r="F44" s="22">
        <f t="shared" si="4"/>
        <v>8.0116138428050086E-5</v>
      </c>
      <c r="G44" s="2"/>
      <c r="H44" s="2"/>
      <c r="I44" s="2"/>
      <c r="J44" s="22">
        <f t="shared" si="5"/>
        <v>0</v>
      </c>
      <c r="K44" s="2"/>
      <c r="L44" s="2">
        <f t="shared" si="6"/>
        <v>29.67</v>
      </c>
      <c r="M44" s="2"/>
      <c r="N44" s="22">
        <f t="shared" si="7"/>
        <v>0</v>
      </c>
      <c r="O44" s="11"/>
      <c r="P44" s="2">
        <v>29.67</v>
      </c>
      <c r="Q44" s="2"/>
      <c r="R44" s="22">
        <f t="shared" si="8"/>
        <v>8.0116138428050086E-5</v>
      </c>
      <c r="S44" s="2"/>
      <c r="T44" s="2"/>
      <c r="U44" s="2"/>
      <c r="V44" s="22">
        <f t="shared" si="9"/>
        <v>0</v>
      </c>
      <c r="W44" s="2"/>
      <c r="X44" s="2">
        <f t="shared" si="10"/>
        <v>29.67</v>
      </c>
      <c r="Y44" s="2"/>
      <c r="Z44" s="22">
        <f t="shared" si="11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6" t="s">
        <v>6</v>
      </c>
      <c r="C46" s="26"/>
      <c r="D46" s="21">
        <f>D12-D34</f>
        <v>28017.180000000051</v>
      </c>
      <c r="E46" s="13"/>
      <c r="F46" s="19">
        <f>IF(D$12=0,0,D46/D$12)</f>
        <v>7.5653126769248402E-2</v>
      </c>
      <c r="G46" s="13"/>
      <c r="H46" s="21">
        <f>H12-H34</f>
        <v>90206</v>
      </c>
      <c r="I46" s="13"/>
      <c r="J46" s="19">
        <f>IF(H$12=0,0,H46/H$12)</f>
        <v>0.21903538570245706</v>
      </c>
      <c r="K46" s="15"/>
      <c r="L46" s="21">
        <f>+D46-H46</f>
        <v>-62188.819999999949</v>
      </c>
      <c r="M46" s="15"/>
      <c r="N46" s="19">
        <f>IF(H46=0,0,L46/H46)</f>
        <v>-0.68940890849832548</v>
      </c>
      <c r="O46" s="25"/>
      <c r="P46" s="21">
        <f>P12-P34</f>
        <v>28017.180000000051</v>
      </c>
      <c r="Q46" s="13"/>
      <c r="R46" s="19">
        <f>IF(P$12=0,0,P46/P$12)</f>
        <v>7.5653126769248402E-2</v>
      </c>
      <c r="S46" s="13"/>
      <c r="T46" s="21">
        <f>T12-T34</f>
        <v>90206</v>
      </c>
      <c r="U46" s="13"/>
      <c r="V46" s="19">
        <f>IF(T$12=0,0,T46/T$12)</f>
        <v>0.21903538570245706</v>
      </c>
      <c r="W46" s="15"/>
      <c r="X46" s="21">
        <f>+P46-T46</f>
        <v>-62188.819999999949</v>
      </c>
      <c r="Y46" s="15"/>
      <c r="Z46" s="19">
        <f>IF(T46=0,0,X46/T46)</f>
        <v>-0.68940890849832548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5" t="s">
        <v>9</v>
      </c>
      <c r="C48" s="10"/>
      <c r="D48" s="20">
        <f>SUM(OSRRefD22x_0)</f>
        <v>25028.93</v>
      </c>
      <c r="E48" s="20"/>
      <c r="F48" s="30">
        <f t="shared" ref="F48:F59" si="12">IF(D$12=0,0,D48/D$12)</f>
        <v>6.7584132813817852E-2</v>
      </c>
      <c r="G48" s="20"/>
      <c r="H48" s="20">
        <f>SUM(OSRRefH22x_0)</f>
        <v>16313.977036896154</v>
      </c>
      <c r="I48" s="20"/>
      <c r="J48" s="30">
        <f t="shared" ref="J48:J59" si="13">IF(H$12=0,0,H48/H$12)</f>
        <v>3.9613088404513858E-2</v>
      </c>
      <c r="K48" s="4"/>
      <c r="L48" s="20">
        <f t="shared" ref="L48:L59" si="14">+D48-H48</f>
        <v>8714.9529631038458</v>
      </c>
      <c r="M48" s="4"/>
      <c r="N48" s="30">
        <f t="shared" ref="N48:N59" si="15">IF(H48=0,0,L48/H48)</f>
        <v>0.53420162008281979</v>
      </c>
      <c r="O48" s="10"/>
      <c r="P48" s="20">
        <f>SUM(OSRRefP22x_0)</f>
        <v>25028.93</v>
      </c>
      <c r="Q48" s="20"/>
      <c r="R48" s="30">
        <f t="shared" ref="R48:R59" si="16">IF(P$12=0,0,P48/P$12)</f>
        <v>6.7584132813817852E-2</v>
      </c>
      <c r="S48" s="20"/>
      <c r="T48" s="20">
        <f>SUM(OSRRefT22x_0)</f>
        <v>16313.977036896154</v>
      </c>
      <c r="U48" s="20"/>
      <c r="V48" s="30">
        <f t="shared" ref="V48:V59" si="17">IF(T$12=0,0,T48/T$12)</f>
        <v>3.9613088404513858E-2</v>
      </c>
      <c r="W48" s="4"/>
      <c r="X48" s="20">
        <f t="shared" ref="X48:X59" si="18">+P48-T48</f>
        <v>8714.9529631038458</v>
      </c>
      <c r="Y48" s="4"/>
      <c r="Z48" s="30">
        <f t="shared" ref="Z48:Z59" si="19">IF(T48=0,0,X48/T48)</f>
        <v>0.53420162008281979</v>
      </c>
    </row>
    <row r="49" spans="1:26" s="27" customFormat="1" outlineLevel="1" collapsed="1" x14ac:dyDescent="0.25">
      <c r="A49" s="28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2718.76</v>
      </c>
      <c r="E49" s="1"/>
      <c r="F49" s="5">
        <f t="shared" si="12"/>
        <v>7.3413061177163954E-3</v>
      </c>
      <c r="G49" s="1"/>
      <c r="H49" s="1">
        <f>SUM(OSRRefH22_0x_0)</f>
        <v>2938.2252984346151</v>
      </c>
      <c r="I49" s="1"/>
      <c r="J49" s="5">
        <f t="shared" si="13"/>
        <v>7.1345067015868447E-3</v>
      </c>
      <c r="K49" s="1"/>
      <c r="L49" s="1">
        <f t="shared" si="14"/>
        <v>-219.46529843461485</v>
      </c>
      <c r="M49" s="1"/>
      <c r="N49" s="5">
        <f t="shared" si="15"/>
        <v>-7.4693148463304826E-2</v>
      </c>
      <c r="O49" s="14"/>
      <c r="P49" s="1">
        <f>SUM(OSRRefP22_0x_0)</f>
        <v>2718.76</v>
      </c>
      <c r="Q49" s="1"/>
      <c r="R49" s="5">
        <f t="shared" si="16"/>
        <v>7.3413061177163954E-3</v>
      </c>
      <c r="S49" s="1"/>
      <c r="T49" s="1">
        <f>SUM(OSRRefT22_0x_0)</f>
        <v>2938.2252984346151</v>
      </c>
      <c r="U49" s="1"/>
      <c r="V49" s="5">
        <f t="shared" si="17"/>
        <v>7.1345067015868447E-3</v>
      </c>
      <c r="W49" s="1"/>
      <c r="X49" s="1">
        <f t="shared" si="18"/>
        <v>-219.46529843461485</v>
      </c>
      <c r="Y49" s="1"/>
      <c r="Z49" s="5">
        <f t="shared" si="19"/>
        <v>-7.4693148463304826E-2</v>
      </c>
    </row>
    <row r="50" spans="1:26" s="24" customFormat="1" hidden="1" outlineLevel="2" x14ac:dyDescent="0.25">
      <c r="A50" s="29"/>
      <c r="B50" s="11" t="str">
        <f>CONCATENATE("          ", "6111", " - ", "F.I.C.A.")</f>
        <v xml:space="preserve">          6111 - F.I.C.A.</v>
      </c>
      <c r="C50" s="11"/>
      <c r="D50" s="7">
        <v>497.85</v>
      </c>
      <c r="E50" s="2"/>
      <c r="F50" s="6">
        <f t="shared" si="12"/>
        <v>1.3443147797911942E-3</v>
      </c>
      <c r="G50" s="2"/>
      <c r="H50" s="7">
        <v>763.20605089615401</v>
      </c>
      <c r="I50" s="2"/>
      <c r="J50" s="6">
        <f t="shared" si="13"/>
        <v>1.8531930440157879E-3</v>
      </c>
      <c r="K50" s="2"/>
      <c r="L50" s="7">
        <f t="shared" si="14"/>
        <v>-265.35605089615399</v>
      </c>
      <c r="M50" s="2"/>
      <c r="N50" s="6">
        <f t="shared" si="15"/>
        <v>-0.34768598936627115</v>
      </c>
      <c r="O50" s="11"/>
      <c r="P50" s="7">
        <v>497.85</v>
      </c>
      <c r="Q50" s="2"/>
      <c r="R50" s="6">
        <f t="shared" si="16"/>
        <v>1.3443147797911942E-3</v>
      </c>
      <c r="S50" s="2"/>
      <c r="T50" s="7">
        <v>763.20605089615401</v>
      </c>
      <c r="U50" s="2"/>
      <c r="V50" s="6">
        <f t="shared" si="17"/>
        <v>1.8531930440157879E-3</v>
      </c>
      <c r="W50" s="2"/>
      <c r="X50" s="7">
        <f t="shared" si="18"/>
        <v>-265.35605089615399</v>
      </c>
      <c r="Y50" s="2"/>
      <c r="Z50" s="6">
        <f t="shared" si="19"/>
        <v>-0.34768598936627115</v>
      </c>
    </row>
    <row r="51" spans="1:26" s="24" customFormat="1" hidden="1" outlineLevel="2" x14ac:dyDescent="0.25">
      <c r="A51" s="29"/>
      <c r="B51" s="11" t="str">
        <f>CONCATENATE("          ", "6112", " - ", "COMPENSATION INSURANCE")</f>
        <v xml:space="preserve">          6112 - COMPENSATION INSURANCE</v>
      </c>
      <c r="C51" s="11"/>
      <c r="D51" s="7">
        <v>123.65</v>
      </c>
      <c r="E51" s="2"/>
      <c r="F51" s="6">
        <f t="shared" si="12"/>
        <v>3.3388474946506212E-4</v>
      </c>
      <c r="G51" s="2"/>
      <c r="H51" s="7">
        <v>189.480138076923</v>
      </c>
      <c r="I51" s="2"/>
      <c r="J51" s="6">
        <f t="shared" si="13"/>
        <v>4.6008974044557622E-4</v>
      </c>
      <c r="K51" s="2"/>
      <c r="L51" s="7">
        <f t="shared" si="14"/>
        <v>-65.830138076922992</v>
      </c>
      <c r="M51" s="2"/>
      <c r="N51" s="6">
        <f t="shared" si="15"/>
        <v>-0.34742500583463803</v>
      </c>
      <c r="O51" s="11"/>
      <c r="P51" s="7">
        <v>123.65</v>
      </c>
      <c r="Q51" s="2"/>
      <c r="R51" s="6">
        <f t="shared" si="16"/>
        <v>3.3388474946506212E-4</v>
      </c>
      <c r="S51" s="2"/>
      <c r="T51" s="7">
        <v>189.480138076923</v>
      </c>
      <c r="U51" s="2"/>
      <c r="V51" s="6">
        <f t="shared" si="17"/>
        <v>4.6008974044557622E-4</v>
      </c>
      <c r="W51" s="2"/>
      <c r="X51" s="7">
        <f t="shared" si="18"/>
        <v>-65.830138076922992</v>
      </c>
      <c r="Y51" s="2"/>
      <c r="Z51" s="6">
        <f t="shared" si="19"/>
        <v>-0.34742500583463803</v>
      </c>
    </row>
    <row r="52" spans="1:26" s="24" customFormat="1" hidden="1" outlineLevel="2" x14ac:dyDescent="0.25">
      <c r="A52" s="29"/>
      <c r="B52" s="11" t="str">
        <f>CONCATENATE("          ", "6113", " - ", "GROUP INSURANCE")</f>
        <v xml:space="preserve">          6113 - GROUP INSURANCE</v>
      </c>
      <c r="C52" s="11"/>
      <c r="D52" s="7">
        <v>964.88</v>
      </c>
      <c r="E52" s="2"/>
      <c r="F52" s="6">
        <f t="shared" si="12"/>
        <v>2.6054081444710805E-3</v>
      </c>
      <c r="G52" s="2"/>
      <c r="H52" s="7">
        <v>1186.2</v>
      </c>
      <c r="I52" s="2"/>
      <c r="J52" s="6">
        <f t="shared" si="13"/>
        <v>2.8802937112858856E-3</v>
      </c>
      <c r="K52" s="2"/>
      <c r="L52" s="7">
        <f t="shared" si="14"/>
        <v>-221.32000000000005</v>
      </c>
      <c r="M52" s="2"/>
      <c r="N52" s="6">
        <f t="shared" si="15"/>
        <v>-0.1865789917383241</v>
      </c>
      <c r="O52" s="11"/>
      <c r="P52" s="7">
        <v>964.88</v>
      </c>
      <c r="Q52" s="2"/>
      <c r="R52" s="6">
        <f t="shared" si="16"/>
        <v>2.6054081444710805E-3</v>
      </c>
      <c r="S52" s="2"/>
      <c r="T52" s="7">
        <v>1186.2</v>
      </c>
      <c r="U52" s="2"/>
      <c r="V52" s="6">
        <f t="shared" si="17"/>
        <v>2.8802937112858856E-3</v>
      </c>
      <c r="W52" s="2"/>
      <c r="X52" s="7">
        <f t="shared" si="18"/>
        <v>-221.32000000000005</v>
      </c>
      <c r="Y52" s="2"/>
      <c r="Z52" s="6">
        <f t="shared" si="19"/>
        <v>-0.1865789917383241</v>
      </c>
    </row>
    <row r="53" spans="1:26" s="24" customFormat="1" hidden="1" outlineLevel="2" x14ac:dyDescent="0.25">
      <c r="A53" s="29"/>
      <c r="B53" s="11" t="str">
        <f>CONCATENATE("          ", "6114", " - ", "STATE UNEMPLOYMENT INSURANCE")</f>
        <v xml:space="preserve">          6114 - STATE UNEMPLOYMENT INSURANCE</v>
      </c>
      <c r="C53" s="11"/>
      <c r="D53" s="7">
        <v>16.920000000000002</v>
      </c>
      <c r="E53" s="2"/>
      <c r="F53" s="6">
        <f t="shared" si="12"/>
        <v>4.5688070852801064E-5</v>
      </c>
      <c r="G53" s="2"/>
      <c r="H53" s="7">
        <v>25.928861000000001</v>
      </c>
      <c r="I53" s="2"/>
      <c r="J53" s="6">
        <f t="shared" si="13"/>
        <v>6.2959648692552573E-5</v>
      </c>
      <c r="K53" s="2"/>
      <c r="L53" s="7">
        <f t="shared" si="14"/>
        <v>-9.0088609999999996</v>
      </c>
      <c r="M53" s="2"/>
      <c r="N53" s="6">
        <f t="shared" si="15"/>
        <v>-0.34744530428853004</v>
      </c>
      <c r="O53" s="11"/>
      <c r="P53" s="7">
        <v>16.920000000000002</v>
      </c>
      <c r="Q53" s="2"/>
      <c r="R53" s="6">
        <f t="shared" si="16"/>
        <v>4.5688070852801064E-5</v>
      </c>
      <c r="S53" s="2"/>
      <c r="T53" s="7">
        <v>25.928861000000001</v>
      </c>
      <c r="U53" s="2"/>
      <c r="V53" s="6">
        <f t="shared" si="17"/>
        <v>6.2959648692552573E-5</v>
      </c>
      <c r="W53" s="2"/>
      <c r="X53" s="7">
        <f t="shared" si="18"/>
        <v>-9.0088609999999996</v>
      </c>
      <c r="Y53" s="2"/>
      <c r="Z53" s="6">
        <f t="shared" si="19"/>
        <v>-0.34744530428853004</v>
      </c>
    </row>
    <row r="54" spans="1:26" s="24" customFormat="1" hidden="1" outlineLevel="2" x14ac:dyDescent="0.25">
      <c r="A54" s="29"/>
      <c r="B54" s="11" t="str">
        <f>CONCATENATE("          ", "6115", " - ", "P.E.R.S.")</f>
        <v xml:space="preserve">          6115 - P.E.R.S.</v>
      </c>
      <c r="C54" s="11"/>
      <c r="D54" s="7">
        <v>183.4</v>
      </c>
      <c r="E54" s="2"/>
      <c r="F54" s="6">
        <f t="shared" si="12"/>
        <v>4.9522412496475854E-4</v>
      </c>
      <c r="G54" s="2"/>
      <c r="H54" s="7">
        <v>367.528640769231</v>
      </c>
      <c r="I54" s="2"/>
      <c r="J54" s="6">
        <f t="shared" si="13"/>
        <v>8.9242154166672169E-4</v>
      </c>
      <c r="K54" s="2"/>
      <c r="L54" s="7">
        <f t="shared" si="14"/>
        <v>-184.128640769231</v>
      </c>
      <c r="M54" s="2"/>
      <c r="N54" s="6">
        <f t="shared" si="15"/>
        <v>-0.50099127073158978</v>
      </c>
      <c r="O54" s="11"/>
      <c r="P54" s="7">
        <v>183.4</v>
      </c>
      <c r="Q54" s="2"/>
      <c r="R54" s="6">
        <f t="shared" si="16"/>
        <v>4.9522412496475854E-4</v>
      </c>
      <c r="S54" s="2"/>
      <c r="T54" s="7">
        <v>367.528640769231</v>
      </c>
      <c r="U54" s="2"/>
      <c r="V54" s="6">
        <f t="shared" si="17"/>
        <v>8.9242154166672169E-4</v>
      </c>
      <c r="W54" s="2"/>
      <c r="X54" s="7">
        <f t="shared" si="18"/>
        <v>-184.128640769231</v>
      </c>
      <c r="Y54" s="2"/>
      <c r="Z54" s="6">
        <f t="shared" si="19"/>
        <v>-0.50099127073158978</v>
      </c>
    </row>
    <row r="55" spans="1:26" s="24" customFormat="1" hidden="1" outlineLevel="2" x14ac:dyDescent="0.25">
      <c r="A55" s="29"/>
      <c r="B55" s="11" t="str">
        <f>CONCATENATE("          ", "6116", " - ", "EDUCATIONAL BENEFITS")</f>
        <v xml:space="preserve">          6116 - EDUCATIONAL BENEFITS</v>
      </c>
      <c r="C55" s="11"/>
      <c r="D55" s="7"/>
      <c r="E55" s="2"/>
      <c r="F55" s="6">
        <f t="shared" si="12"/>
        <v>0</v>
      </c>
      <c r="G55" s="2"/>
      <c r="H55" s="7">
        <v>0</v>
      </c>
      <c r="I55" s="2"/>
      <c r="J55" s="6">
        <f t="shared" si="13"/>
        <v>0</v>
      </c>
      <c r="K55" s="2"/>
      <c r="L55" s="7">
        <f t="shared" si="14"/>
        <v>0</v>
      </c>
      <c r="M55" s="2"/>
      <c r="N55" s="6">
        <f t="shared" si="15"/>
        <v>0</v>
      </c>
      <c r="O55" s="11"/>
      <c r="P55" s="7"/>
      <c r="Q55" s="2"/>
      <c r="R55" s="6">
        <f t="shared" si="16"/>
        <v>0</v>
      </c>
      <c r="S55" s="2"/>
      <c r="T55" s="7">
        <v>0</v>
      </c>
      <c r="U55" s="2"/>
      <c r="V55" s="6">
        <f t="shared" si="17"/>
        <v>0</v>
      </c>
      <c r="W55" s="2"/>
      <c r="X55" s="7">
        <f t="shared" si="18"/>
        <v>0</v>
      </c>
      <c r="Y55" s="2"/>
      <c r="Z55" s="6">
        <f t="shared" si="19"/>
        <v>0</v>
      </c>
    </row>
    <row r="56" spans="1:26" s="24" customFormat="1" hidden="1" outlineLevel="2" x14ac:dyDescent="0.25">
      <c r="A56" s="29"/>
      <c r="B56" s="11" t="str">
        <f>CONCATENATE("          ", "6117", " - ", "RETIREMENT STAFF HOURLY")</f>
        <v xml:space="preserve">          6117 - RETIREMENT STAFF HOURLY</v>
      </c>
      <c r="C56" s="11"/>
      <c r="D56" s="7">
        <v>140.12</v>
      </c>
      <c r="E56" s="2"/>
      <c r="F56" s="6">
        <f t="shared" si="12"/>
        <v>3.7835771205050142E-4</v>
      </c>
      <c r="G56" s="2"/>
      <c r="H56" s="7"/>
      <c r="I56" s="2"/>
      <c r="J56" s="6">
        <f t="shared" si="13"/>
        <v>0</v>
      </c>
      <c r="K56" s="2"/>
      <c r="L56" s="7">
        <f t="shared" si="14"/>
        <v>140.12</v>
      </c>
      <c r="M56" s="2"/>
      <c r="N56" s="6">
        <f t="shared" si="15"/>
        <v>0</v>
      </c>
      <c r="O56" s="11"/>
      <c r="P56" s="7">
        <v>140.12</v>
      </c>
      <c r="Q56" s="2"/>
      <c r="R56" s="6">
        <f t="shared" si="16"/>
        <v>3.7835771205050142E-4</v>
      </c>
      <c r="S56" s="2"/>
      <c r="T56" s="7"/>
      <c r="U56" s="2"/>
      <c r="V56" s="6">
        <f t="shared" si="17"/>
        <v>0</v>
      </c>
      <c r="W56" s="2"/>
      <c r="X56" s="7">
        <f t="shared" si="18"/>
        <v>140.12</v>
      </c>
      <c r="Y56" s="2"/>
      <c r="Z56" s="6">
        <f t="shared" si="19"/>
        <v>0</v>
      </c>
    </row>
    <row r="57" spans="1:26" s="24" customFormat="1" hidden="1" outlineLevel="2" x14ac:dyDescent="0.25">
      <c r="A57" s="29"/>
      <c r="B57" s="11" t="str">
        <f>CONCATENATE("          ", "6118", " - ", "VACATION")</f>
        <v xml:space="preserve">          6118 - VACATION</v>
      </c>
      <c r="C57" s="11"/>
      <c r="D57" s="7">
        <v>313.32</v>
      </c>
      <c r="E57" s="2"/>
      <c r="F57" s="6">
        <f t="shared" si="12"/>
        <v>8.4603938295506071E-4</v>
      </c>
      <c r="G57" s="2"/>
      <c r="H57" s="7">
        <v>213.679442307692</v>
      </c>
      <c r="I57" s="2"/>
      <c r="J57" s="6">
        <f t="shared" si="13"/>
        <v>5.1884973352716267E-4</v>
      </c>
      <c r="K57" s="2"/>
      <c r="L57" s="7">
        <f t="shared" si="14"/>
        <v>99.640557692307993</v>
      </c>
      <c r="M57" s="2"/>
      <c r="N57" s="6">
        <f t="shared" si="15"/>
        <v>0.46630858175316919</v>
      </c>
      <c r="O57" s="11"/>
      <c r="P57" s="7">
        <v>313.32</v>
      </c>
      <c r="Q57" s="2"/>
      <c r="R57" s="6">
        <f t="shared" si="16"/>
        <v>8.4603938295506071E-4</v>
      </c>
      <c r="S57" s="2"/>
      <c r="T57" s="7">
        <v>213.679442307692</v>
      </c>
      <c r="U57" s="2"/>
      <c r="V57" s="6">
        <f t="shared" si="17"/>
        <v>5.1884973352716267E-4</v>
      </c>
      <c r="W57" s="2"/>
      <c r="X57" s="7">
        <f t="shared" si="18"/>
        <v>99.640557692307993</v>
      </c>
      <c r="Y57" s="2"/>
      <c r="Z57" s="6">
        <f t="shared" si="19"/>
        <v>0.46630858175316919</v>
      </c>
    </row>
    <row r="58" spans="1:26" s="24" customFormat="1" hidden="1" outlineLevel="2" x14ac:dyDescent="0.25">
      <c r="A58" s="29"/>
      <c r="B58" s="11" t="str">
        <f>CONCATENATE("          ", "6119", " - ", "SICK LEAVE")</f>
        <v xml:space="preserve">          6119 - SICK LEAVE</v>
      </c>
      <c r="C58" s="11"/>
      <c r="D58" s="7">
        <v>328.62</v>
      </c>
      <c r="E58" s="2"/>
      <c r="F58" s="6">
        <f t="shared" si="12"/>
        <v>8.8735306404535952E-4</v>
      </c>
      <c r="G58" s="2"/>
      <c r="H58" s="7">
        <v>192.202165384615</v>
      </c>
      <c r="I58" s="2"/>
      <c r="J58" s="6">
        <f t="shared" si="13"/>
        <v>4.6669928195315819E-4</v>
      </c>
      <c r="K58" s="2"/>
      <c r="L58" s="7">
        <f t="shared" si="14"/>
        <v>136.417834615385</v>
      </c>
      <c r="M58" s="2"/>
      <c r="N58" s="6">
        <f t="shared" si="15"/>
        <v>0.70976221491781744</v>
      </c>
      <c r="O58" s="11"/>
      <c r="P58" s="7">
        <v>328.62</v>
      </c>
      <c r="Q58" s="2"/>
      <c r="R58" s="6">
        <f t="shared" si="16"/>
        <v>8.8735306404535952E-4</v>
      </c>
      <c r="S58" s="2"/>
      <c r="T58" s="7">
        <v>192.202165384615</v>
      </c>
      <c r="U58" s="2"/>
      <c r="V58" s="6">
        <f t="shared" si="17"/>
        <v>4.6669928195315819E-4</v>
      </c>
      <c r="W58" s="2"/>
      <c r="X58" s="7">
        <f t="shared" si="18"/>
        <v>136.417834615385</v>
      </c>
      <c r="Y58" s="2"/>
      <c r="Z58" s="6">
        <f t="shared" si="19"/>
        <v>0.70976221491781744</v>
      </c>
    </row>
    <row r="59" spans="1:26" s="24" customFormat="1" hidden="1" outlineLevel="2" x14ac:dyDescent="0.25">
      <c r="A59" s="29"/>
      <c r="B59" s="11" t="str">
        <f>CONCATENATE("          ", "6156", " - ", "EMPLOYEE MEALS")</f>
        <v xml:space="preserve">          6156 - EMPLOYEE MEALS</v>
      </c>
      <c r="C59" s="11"/>
      <c r="D59" s="7">
        <v>150</v>
      </c>
      <c r="E59" s="2"/>
      <c r="F59" s="6">
        <f t="shared" si="12"/>
        <v>4.0503608912057675E-4</v>
      </c>
      <c r="G59" s="2"/>
      <c r="H59" s="7"/>
      <c r="I59" s="2"/>
      <c r="J59" s="6">
        <f t="shared" si="13"/>
        <v>0</v>
      </c>
      <c r="K59" s="2"/>
      <c r="L59" s="7">
        <f t="shared" si="14"/>
        <v>150</v>
      </c>
      <c r="M59" s="2"/>
      <c r="N59" s="6">
        <f t="shared" si="15"/>
        <v>0</v>
      </c>
      <c r="O59" s="11"/>
      <c r="P59" s="7">
        <v>150</v>
      </c>
      <c r="Q59" s="2"/>
      <c r="R59" s="6">
        <f t="shared" si="16"/>
        <v>4.0503608912057675E-4</v>
      </c>
      <c r="S59" s="2"/>
      <c r="T59" s="7"/>
      <c r="U59" s="2"/>
      <c r="V59" s="6">
        <f t="shared" si="17"/>
        <v>0</v>
      </c>
      <c r="W59" s="2"/>
      <c r="X59" s="7">
        <f t="shared" si="18"/>
        <v>150</v>
      </c>
      <c r="Y59" s="2"/>
      <c r="Z59" s="6">
        <f t="shared" si="19"/>
        <v>0</v>
      </c>
    </row>
    <row r="60" spans="1:26" s="27" customFormat="1" outlineLevel="1" collapsed="1" x14ac:dyDescent="0.25">
      <c r="A60" s="28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7913.5400000000009</v>
      </c>
      <c r="E60" s="1"/>
      <c r="F60" s="5">
        <f t="shared" ref="F60:F70" si="20">IF(D$12=0,0,D60/D$12)</f>
        <v>2.1368461951328327E-2</v>
      </c>
      <c r="G60" s="1"/>
      <c r="H60" s="1">
        <f>SUM(OSRRefH22_1x_0)</f>
        <v>9630.7517384615403</v>
      </c>
      <c r="I60" s="1"/>
      <c r="J60" s="5">
        <f t="shared" ref="J60:J70" si="21">IF(H$12=0,0,H60/H$12)</f>
        <v>2.3385089923492145E-2</v>
      </c>
      <c r="K60" s="1"/>
      <c r="L60" s="1">
        <f t="shared" ref="L60:L70" si="22">+D60-H60</f>
        <v>-1717.2117384615394</v>
      </c>
      <c r="M60" s="1"/>
      <c r="N60" s="5">
        <f t="shared" ref="N60:N70" si="23">IF(H60=0,0,L60/H60)</f>
        <v>-0.17830505708122993</v>
      </c>
      <c r="O60" s="14"/>
      <c r="P60" s="1">
        <f>SUM(OSRRefP22_1x_0)</f>
        <v>7913.5400000000009</v>
      </c>
      <c r="Q60" s="1"/>
      <c r="R60" s="5">
        <f t="shared" ref="R60:R70" si="24">IF(P$12=0,0,P60/P$12)</f>
        <v>2.1368461951328327E-2</v>
      </c>
      <c r="S60" s="1"/>
      <c r="T60" s="1">
        <f>SUM(OSRRefT22_1x_0)</f>
        <v>9630.7517384615403</v>
      </c>
      <c r="U60" s="1"/>
      <c r="V60" s="5">
        <f t="shared" ref="V60:V70" si="25">IF(T$12=0,0,T60/T$12)</f>
        <v>2.3385089923492145E-2</v>
      </c>
      <c r="W60" s="1"/>
      <c r="X60" s="1">
        <f t="shared" ref="X60:X70" si="26">+P60-T60</f>
        <v>-1717.2117384615394</v>
      </c>
      <c r="Y60" s="1"/>
      <c r="Z60" s="5">
        <f t="shared" ref="Z60:Z70" si="27">IF(T60=0,0,X60/T60)</f>
        <v>-0.17830505708122993</v>
      </c>
    </row>
    <row r="61" spans="1:26" s="24" customFormat="1" hidden="1" outlineLevel="2" x14ac:dyDescent="0.25">
      <c r="A61" s="29"/>
      <c r="B61" s="11" t="str">
        <f>CONCATENATE("          ", "6001", " - ", "ADMINISTRATIVE SALARIES")</f>
        <v xml:space="preserve">          6001 - ADMINISTRATIVE SALARIES</v>
      </c>
      <c r="C61" s="11"/>
      <c r="D61" s="7"/>
      <c r="E61" s="2"/>
      <c r="F61" s="6">
        <f t="shared" si="20"/>
        <v>0</v>
      </c>
      <c r="G61" s="2"/>
      <c r="H61" s="7">
        <v>3931.7017384615406</v>
      </c>
      <c r="I61" s="2"/>
      <c r="J61" s="6">
        <f t="shared" si="21"/>
        <v>9.5468350968998129E-3</v>
      </c>
      <c r="K61" s="2"/>
      <c r="L61" s="7">
        <f t="shared" si="22"/>
        <v>-3931.7017384615406</v>
      </c>
      <c r="M61" s="2"/>
      <c r="N61" s="6">
        <f t="shared" si="23"/>
        <v>-1</v>
      </c>
      <c r="O61" s="11"/>
      <c r="P61" s="7"/>
      <c r="Q61" s="2"/>
      <c r="R61" s="6">
        <f t="shared" si="24"/>
        <v>0</v>
      </c>
      <c r="S61" s="2"/>
      <c r="T61" s="7">
        <v>3931.7017384615406</v>
      </c>
      <c r="U61" s="2"/>
      <c r="V61" s="6">
        <f t="shared" si="25"/>
        <v>9.5468350968998129E-3</v>
      </c>
      <c r="W61" s="2"/>
      <c r="X61" s="7">
        <f t="shared" si="26"/>
        <v>-3931.7017384615406</v>
      </c>
      <c r="Y61" s="2"/>
      <c r="Z61" s="6">
        <f t="shared" si="27"/>
        <v>-1</v>
      </c>
    </row>
    <row r="62" spans="1:26" s="24" customFormat="1" hidden="1" outlineLevel="2" x14ac:dyDescent="0.25">
      <c r="A62" s="29"/>
      <c r="B62" s="11" t="str">
        <f>CONCATENATE("          ", "6002", " - ", "STAFF SALARIES")</f>
        <v xml:space="preserve">          6002 - STAFF SALARIES</v>
      </c>
      <c r="C62" s="11"/>
      <c r="D62" s="7">
        <v>3151.4</v>
      </c>
      <c r="E62" s="2"/>
      <c r="F62" s="6">
        <f t="shared" si="20"/>
        <v>8.509538208363903E-3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3151.4</v>
      </c>
      <c r="M62" s="2"/>
      <c r="N62" s="6">
        <f t="shared" si="23"/>
        <v>0</v>
      </c>
      <c r="O62" s="11"/>
      <c r="P62" s="7">
        <v>3151.4</v>
      </c>
      <c r="Q62" s="2"/>
      <c r="R62" s="6">
        <f t="shared" si="24"/>
        <v>8.509538208363903E-3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3151.4</v>
      </c>
      <c r="Y62" s="2"/>
      <c r="Z62" s="6">
        <f t="shared" si="27"/>
        <v>0</v>
      </c>
    </row>
    <row r="63" spans="1:26" s="24" customFormat="1" hidden="1" outlineLevel="2" x14ac:dyDescent="0.25">
      <c r="A63" s="29"/>
      <c r="B63" s="11" t="str">
        <f>CONCATENATE("          ", "6003", " - ", "STAFF HOURLY-9 MONTH")</f>
        <v xml:space="preserve">          6003 - STAFF HOURLY-9 MONTH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4" customFormat="1" hidden="1" outlineLevel="2" x14ac:dyDescent="0.25">
      <c r="A64" s="29"/>
      <c r="B64" s="11" t="str">
        <f>CONCATENATE("          ", "6004", " - ", "STAFF HOURLY")</f>
        <v xml:space="preserve">          6004 - STAFF HOURLY</v>
      </c>
      <c r="C64" s="11"/>
      <c r="D64" s="7"/>
      <c r="E64" s="2"/>
      <c r="F64" s="6">
        <f t="shared" si="20"/>
        <v>0</v>
      </c>
      <c r="G64" s="2"/>
      <c r="H64" s="7">
        <v>1400.8</v>
      </c>
      <c r="I64" s="2"/>
      <c r="J64" s="6">
        <f t="shared" si="21"/>
        <v>3.4013787141875468E-3</v>
      </c>
      <c r="K64" s="2"/>
      <c r="L64" s="7">
        <f t="shared" si="22"/>
        <v>-1400.8</v>
      </c>
      <c r="M64" s="2"/>
      <c r="N64" s="6">
        <f t="shared" si="23"/>
        <v>-1</v>
      </c>
      <c r="O64" s="11"/>
      <c r="P64" s="7"/>
      <c r="Q64" s="2"/>
      <c r="R64" s="6">
        <f t="shared" si="24"/>
        <v>0</v>
      </c>
      <c r="S64" s="2"/>
      <c r="T64" s="7">
        <v>1400.8</v>
      </c>
      <c r="U64" s="2"/>
      <c r="V64" s="6">
        <f t="shared" si="25"/>
        <v>3.4013787141875468E-3</v>
      </c>
      <c r="W64" s="2"/>
      <c r="X64" s="7">
        <f t="shared" si="26"/>
        <v>-1400.8</v>
      </c>
      <c r="Y64" s="2"/>
      <c r="Z64" s="6">
        <f t="shared" si="27"/>
        <v>-1</v>
      </c>
    </row>
    <row r="65" spans="1:26" s="24" customFormat="1" hidden="1" outlineLevel="2" x14ac:dyDescent="0.25">
      <c r="A65" s="29"/>
      <c r="B65" s="11" t="str">
        <f>CONCATENATE("          ", "6005", " - ", "TEMPORARY WAGES-HOURLY")</f>
        <v xml:space="preserve">          6005 - TEMPORARY WAGES-HOURLY</v>
      </c>
      <c r="C65" s="11"/>
      <c r="D65" s="7">
        <v>2433.6999999999998</v>
      </c>
      <c r="E65" s="2"/>
      <c r="F65" s="6">
        <f t="shared" si="20"/>
        <v>6.5715755339516499E-3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2433.6999999999998</v>
      </c>
      <c r="M65" s="2"/>
      <c r="N65" s="6">
        <f t="shared" si="23"/>
        <v>0</v>
      </c>
      <c r="O65" s="11"/>
      <c r="P65" s="7">
        <v>2433.6999999999998</v>
      </c>
      <c r="Q65" s="2"/>
      <c r="R65" s="6">
        <f t="shared" si="24"/>
        <v>6.5715755339516499E-3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2433.6999999999998</v>
      </c>
      <c r="Y65" s="2"/>
      <c r="Z65" s="6">
        <f t="shared" si="27"/>
        <v>0</v>
      </c>
    </row>
    <row r="66" spans="1:26" s="24" customFormat="1" hidden="1" outlineLevel="2" x14ac:dyDescent="0.25">
      <c r="A66" s="29"/>
      <c r="B66" s="11" t="str">
        <f>CONCATENATE("          ", "6006", " - ", "TEMPORARY PART TIME")</f>
        <v xml:space="preserve">          6006 - TEMPORARY PART TIME</v>
      </c>
      <c r="C66" s="11"/>
      <c r="D66" s="7">
        <v>1448.44</v>
      </c>
      <c r="E66" s="2"/>
      <c r="F66" s="6">
        <f t="shared" si="20"/>
        <v>3.9111364861720548E-3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1448.44</v>
      </c>
      <c r="M66" s="2"/>
      <c r="N66" s="6">
        <f t="shared" si="23"/>
        <v>0</v>
      </c>
      <c r="O66" s="11"/>
      <c r="P66" s="7">
        <v>1448.44</v>
      </c>
      <c r="Q66" s="2"/>
      <c r="R66" s="6">
        <f t="shared" si="24"/>
        <v>3.9111364861720548E-3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1448.44</v>
      </c>
      <c r="Y66" s="2"/>
      <c r="Z66" s="6">
        <f t="shared" si="27"/>
        <v>0</v>
      </c>
    </row>
    <row r="67" spans="1:26" s="24" customFormat="1" hidden="1" outlineLevel="2" x14ac:dyDescent="0.25">
      <c r="A67" s="29"/>
      <c r="B67" s="11" t="str">
        <f>CONCATENATE("          ", "6007", " - ", "STUDENT HOURLY")</f>
        <v xml:space="preserve">          6007 - STUDENT HOURLY</v>
      </c>
      <c r="C67" s="11"/>
      <c r="D67" s="7">
        <v>880</v>
      </c>
      <c r="E67" s="2"/>
      <c r="F67" s="6">
        <f t="shared" si="20"/>
        <v>2.376211722840717E-3</v>
      </c>
      <c r="G67" s="2"/>
      <c r="H67" s="7">
        <v>4298.25</v>
      </c>
      <c r="I67" s="2"/>
      <c r="J67" s="6">
        <f t="shared" si="21"/>
        <v>1.0436876112404785E-2</v>
      </c>
      <c r="K67" s="2"/>
      <c r="L67" s="7">
        <f t="shared" si="22"/>
        <v>-3418.25</v>
      </c>
      <c r="M67" s="2"/>
      <c r="N67" s="6">
        <f t="shared" si="23"/>
        <v>-0.79526551503518872</v>
      </c>
      <c r="O67" s="11"/>
      <c r="P67" s="7">
        <v>880</v>
      </c>
      <c r="Q67" s="2"/>
      <c r="R67" s="6">
        <f t="shared" si="24"/>
        <v>2.376211722840717E-3</v>
      </c>
      <c r="S67" s="2"/>
      <c r="T67" s="7">
        <v>4298.25</v>
      </c>
      <c r="U67" s="2"/>
      <c r="V67" s="6">
        <f t="shared" si="25"/>
        <v>1.0436876112404785E-2</v>
      </c>
      <c r="W67" s="2"/>
      <c r="X67" s="7">
        <f t="shared" si="26"/>
        <v>-3418.25</v>
      </c>
      <c r="Y67" s="2"/>
      <c r="Z67" s="6">
        <f t="shared" si="27"/>
        <v>-0.79526551503518872</v>
      </c>
    </row>
    <row r="68" spans="1:26" s="24" customFormat="1" hidden="1" outlineLevel="2" x14ac:dyDescent="0.25">
      <c r="A68" s="29"/>
      <c r="B68" s="11" t="str">
        <f>CONCATENATE("          ", "6008", " - ", "STUDENT HOURLY-FICA EXEMPT")</f>
        <v xml:space="preserve">          6008 - STUDENT HOURLY-FICA EXEMPT</v>
      </c>
      <c r="C68" s="11"/>
      <c r="D68" s="7"/>
      <c r="E68" s="2"/>
      <c r="F68" s="6">
        <f t="shared" si="20"/>
        <v>0</v>
      </c>
      <c r="G68" s="2"/>
      <c r="H68" s="7">
        <v>0</v>
      </c>
      <c r="I68" s="2"/>
      <c r="J68" s="6">
        <f t="shared" si="21"/>
        <v>0</v>
      </c>
      <c r="K68" s="2"/>
      <c r="L68" s="7">
        <f t="shared" si="22"/>
        <v>0</v>
      </c>
      <c r="M68" s="2"/>
      <c r="N68" s="6">
        <f t="shared" si="23"/>
        <v>0</v>
      </c>
      <c r="O68" s="11"/>
      <c r="P68" s="7"/>
      <c r="Q68" s="2"/>
      <c r="R68" s="6">
        <f t="shared" si="24"/>
        <v>0</v>
      </c>
      <c r="S68" s="2"/>
      <c r="T68" s="7">
        <v>0</v>
      </c>
      <c r="U68" s="2"/>
      <c r="V68" s="6">
        <f t="shared" si="25"/>
        <v>0</v>
      </c>
      <c r="W68" s="2"/>
      <c r="X68" s="7">
        <f t="shared" si="26"/>
        <v>0</v>
      </c>
      <c r="Y68" s="2"/>
      <c r="Z68" s="6">
        <f t="shared" si="27"/>
        <v>0</v>
      </c>
    </row>
    <row r="69" spans="1:26" s="24" customFormat="1" hidden="1" outlineLevel="2" x14ac:dyDescent="0.25">
      <c r="A69" s="29"/>
      <c r="B69" s="11" t="str">
        <f>CONCATENATE("          ", "6009", " - ", "TEMPORARY-SEASONAL")</f>
        <v xml:space="preserve">          6009 - TEMPORARY-SEASONAL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25">
      <c r="A70" s="29"/>
      <c r="B70" s="11" t="str">
        <f>CONCATENATE("          ", "6010", " - ", "GRATUITY")</f>
        <v xml:space="preserve">          6010 - GRATUITY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7" customFormat="1" outlineLevel="1" collapsed="1" x14ac:dyDescent="0.25">
      <c r="A71" s="28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359.07</v>
      </c>
      <c r="E71" s="1"/>
      <c r="F71" s="5">
        <f t="shared" ref="F71:F83" si="28">IF(D$12=0,0,D71/D$12)</f>
        <v>9.6957539013683655E-4</v>
      </c>
      <c r="G71" s="1"/>
      <c r="H71" s="1">
        <f>SUM(OSRRefH22_2x_0)</f>
        <v>250</v>
      </c>
      <c r="I71" s="1"/>
      <c r="J71" s="5">
        <f t="shared" ref="J71:J83" si="29">IF(H$12=0,0,H71/H$12)</f>
        <v>6.0704217486214074E-4</v>
      </c>
      <c r="K71" s="1"/>
      <c r="L71" s="1">
        <f t="shared" ref="L71:L83" si="30">+D71-H71</f>
        <v>109.07</v>
      </c>
      <c r="M71" s="1"/>
      <c r="N71" s="5">
        <f t="shared" ref="N71:N83" si="31">IF(H71=0,0,L71/H71)</f>
        <v>0.43627999999999995</v>
      </c>
      <c r="O71" s="14"/>
      <c r="P71" s="1">
        <f>SUM(OSRRefP22_2x_0)</f>
        <v>359.07</v>
      </c>
      <c r="Q71" s="1"/>
      <c r="R71" s="5">
        <f t="shared" ref="R71:R83" si="32">IF(P$12=0,0,P71/P$12)</f>
        <v>9.6957539013683655E-4</v>
      </c>
      <c r="S71" s="1"/>
      <c r="T71" s="1">
        <f>SUM(OSRRefT22_2x_0)</f>
        <v>250</v>
      </c>
      <c r="U71" s="1"/>
      <c r="V71" s="5">
        <f t="shared" ref="V71:V83" si="33">IF(T$12=0,0,T71/T$12)</f>
        <v>6.0704217486214074E-4</v>
      </c>
      <c r="W71" s="1"/>
      <c r="X71" s="1">
        <f t="shared" ref="X71:X83" si="34">+P71-T71</f>
        <v>109.07</v>
      </c>
      <c r="Y71" s="1"/>
      <c r="Z71" s="5">
        <f t="shared" ref="Z71:Z83" si="35">IF(T71=0,0,X71/T71)</f>
        <v>0.43627999999999995</v>
      </c>
    </row>
    <row r="72" spans="1:26" s="24" customFormat="1" hidden="1" outlineLevel="2" x14ac:dyDescent="0.25">
      <c r="A72" s="29"/>
      <c r="B72" s="11" t="str">
        <f>CONCATENATE("          ", "6362", " - ", "ADVERTISING EXPENSE")</f>
        <v xml:space="preserve">          6362 - ADVERTISING EXPENSE</v>
      </c>
      <c r="C72" s="11"/>
      <c r="D72" s="7">
        <v>359.07</v>
      </c>
      <c r="E72" s="2"/>
      <c r="F72" s="6">
        <f t="shared" si="28"/>
        <v>9.6957539013683655E-4</v>
      </c>
      <c r="G72" s="2"/>
      <c r="H72" s="7">
        <v>250</v>
      </c>
      <c r="I72" s="2"/>
      <c r="J72" s="6">
        <f t="shared" si="29"/>
        <v>6.0704217486214074E-4</v>
      </c>
      <c r="K72" s="2"/>
      <c r="L72" s="7">
        <f t="shared" si="30"/>
        <v>109.07</v>
      </c>
      <c r="M72" s="2"/>
      <c r="N72" s="6">
        <f t="shared" si="31"/>
        <v>0.43627999999999995</v>
      </c>
      <c r="O72" s="11"/>
      <c r="P72" s="7">
        <v>359.07</v>
      </c>
      <c r="Q72" s="2"/>
      <c r="R72" s="6">
        <f t="shared" si="32"/>
        <v>9.6957539013683655E-4</v>
      </c>
      <c r="S72" s="2"/>
      <c r="T72" s="7">
        <v>250</v>
      </c>
      <c r="U72" s="2"/>
      <c r="V72" s="6">
        <f t="shared" si="33"/>
        <v>6.0704217486214074E-4</v>
      </c>
      <c r="W72" s="2"/>
      <c r="X72" s="7">
        <f t="shared" si="34"/>
        <v>109.07</v>
      </c>
      <c r="Y72" s="2"/>
      <c r="Z72" s="6">
        <f t="shared" si="35"/>
        <v>0.43627999999999995</v>
      </c>
    </row>
    <row r="73" spans="1:26" s="27" customFormat="1" outlineLevel="1" collapsed="1" x14ac:dyDescent="0.25">
      <c r="A73" s="28"/>
      <c r="B73" s="14" t="str">
        <f>CONCATENATE("     ","Depreciation                                      ")</f>
        <v xml:space="preserve">     Depreciation                                      </v>
      </c>
      <c r="C73" s="14"/>
      <c r="D73" s="1">
        <f>SUM(OSRRefD22_3x_0)</f>
        <v>280.44</v>
      </c>
      <c r="E73" s="1"/>
      <c r="F73" s="5">
        <f t="shared" si="28"/>
        <v>7.5725547221983027E-4</v>
      </c>
      <c r="G73" s="1"/>
      <c r="H73" s="1">
        <f>SUM(OSRRefH22_3x_0)</f>
        <v>0</v>
      </c>
      <c r="I73" s="1"/>
      <c r="J73" s="5">
        <f t="shared" si="29"/>
        <v>0</v>
      </c>
      <c r="K73" s="1"/>
      <c r="L73" s="1">
        <f t="shared" si="30"/>
        <v>280.44</v>
      </c>
      <c r="M73" s="1"/>
      <c r="N73" s="5">
        <f t="shared" si="31"/>
        <v>0</v>
      </c>
      <c r="O73" s="14"/>
      <c r="P73" s="1">
        <f>SUM(OSRRefP22_3x_0)</f>
        <v>280.44</v>
      </c>
      <c r="Q73" s="1"/>
      <c r="R73" s="5">
        <f t="shared" si="32"/>
        <v>7.5725547221983027E-4</v>
      </c>
      <c r="S73" s="1"/>
      <c r="T73" s="1">
        <f>SUM(OSRRefT22_3x_0)</f>
        <v>0</v>
      </c>
      <c r="U73" s="1"/>
      <c r="V73" s="5">
        <f t="shared" si="33"/>
        <v>0</v>
      </c>
      <c r="W73" s="1"/>
      <c r="X73" s="1">
        <f t="shared" si="34"/>
        <v>280.44</v>
      </c>
      <c r="Y73" s="1"/>
      <c r="Z73" s="5">
        <f t="shared" si="35"/>
        <v>0</v>
      </c>
    </row>
    <row r="74" spans="1:26" s="24" customFormat="1" hidden="1" outlineLevel="2" x14ac:dyDescent="0.25">
      <c r="A74" s="29"/>
      <c r="B74" s="11" t="str">
        <f>CONCATENATE("          ", "6322", " - ", "EQUIPMENT DEPRECIATION EXPENSE")</f>
        <v xml:space="preserve">          6322 - EQUIPMENT DEPRECIATION EXPENSE</v>
      </c>
      <c r="C74" s="11"/>
      <c r="D74" s="7">
        <v>280.44</v>
      </c>
      <c r="E74" s="2"/>
      <c r="F74" s="6">
        <f t="shared" si="28"/>
        <v>7.5725547221983027E-4</v>
      </c>
      <c r="G74" s="2"/>
      <c r="H74" s="7"/>
      <c r="I74" s="2"/>
      <c r="J74" s="6">
        <f t="shared" si="29"/>
        <v>0</v>
      </c>
      <c r="K74" s="2"/>
      <c r="L74" s="7">
        <f t="shared" si="30"/>
        <v>280.44</v>
      </c>
      <c r="M74" s="2"/>
      <c r="N74" s="6">
        <f t="shared" si="31"/>
        <v>0</v>
      </c>
      <c r="O74" s="11"/>
      <c r="P74" s="7">
        <v>280.44</v>
      </c>
      <c r="Q74" s="2"/>
      <c r="R74" s="6">
        <f t="shared" si="32"/>
        <v>7.5725547221983027E-4</v>
      </c>
      <c r="S74" s="2"/>
      <c r="T74" s="7"/>
      <c r="U74" s="2"/>
      <c r="V74" s="6">
        <f t="shared" si="33"/>
        <v>0</v>
      </c>
      <c r="W74" s="2"/>
      <c r="X74" s="7">
        <f t="shared" si="34"/>
        <v>280.44</v>
      </c>
      <c r="Y74" s="2"/>
      <c r="Z74" s="6">
        <f t="shared" si="35"/>
        <v>0</v>
      </c>
    </row>
    <row r="75" spans="1:26" s="27" customFormat="1" outlineLevel="1" collapsed="1" x14ac:dyDescent="0.25">
      <c r="A75" s="28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SUM(OSRRefD22_4x_0)</f>
        <v>12904.81</v>
      </c>
      <c r="E75" s="1"/>
      <c r="F75" s="5">
        <f t="shared" si="28"/>
        <v>3.4846091821627401E-2</v>
      </c>
      <c r="G75" s="1"/>
      <c r="H75" s="1">
        <f>SUM(OSRRefH22_4x_0)</f>
        <v>2500</v>
      </c>
      <c r="I75" s="1"/>
      <c r="J75" s="5">
        <f t="shared" si="29"/>
        <v>6.0704217486214074E-3</v>
      </c>
      <c r="K75" s="1"/>
      <c r="L75" s="1">
        <f t="shared" si="30"/>
        <v>10404.81</v>
      </c>
      <c r="M75" s="1"/>
      <c r="N75" s="5">
        <f t="shared" si="31"/>
        <v>4.161924</v>
      </c>
      <c r="O75" s="14"/>
      <c r="P75" s="1">
        <f>SUM(OSRRefP22_4x_0)</f>
        <v>12904.81</v>
      </c>
      <c r="Q75" s="1"/>
      <c r="R75" s="5">
        <f t="shared" si="32"/>
        <v>3.4846091821627401E-2</v>
      </c>
      <c r="S75" s="1"/>
      <c r="T75" s="1">
        <f>SUM(OSRRefT22_4x_0)</f>
        <v>2500</v>
      </c>
      <c r="U75" s="1"/>
      <c r="V75" s="5">
        <f t="shared" si="33"/>
        <v>6.0704217486214074E-3</v>
      </c>
      <c r="W75" s="1"/>
      <c r="X75" s="1">
        <f t="shared" si="34"/>
        <v>10404.81</v>
      </c>
      <c r="Y75" s="1"/>
      <c r="Z75" s="5">
        <f t="shared" si="35"/>
        <v>4.161924</v>
      </c>
    </row>
    <row r="76" spans="1:26" s="24" customFormat="1" hidden="1" outlineLevel="2" x14ac:dyDescent="0.25">
      <c r="A76" s="29"/>
      <c r="B76" s="11" t="str">
        <f>CONCATENATE("          ", "6382", " - ", "DISCOUNTS/MARK DOWNS")</f>
        <v xml:space="preserve">          6382 - DISCOUNTS/MARK DOWNS</v>
      </c>
      <c r="C76" s="11"/>
      <c r="D76" s="7">
        <v>12904.81</v>
      </c>
      <c r="E76" s="2"/>
      <c r="F76" s="6">
        <f t="shared" si="28"/>
        <v>3.4846091821627401E-2</v>
      </c>
      <c r="G76" s="2"/>
      <c r="H76" s="7">
        <v>2500</v>
      </c>
      <c r="I76" s="2"/>
      <c r="J76" s="6">
        <f t="shared" si="29"/>
        <v>6.0704217486214074E-3</v>
      </c>
      <c r="K76" s="2"/>
      <c r="L76" s="7">
        <f t="shared" si="30"/>
        <v>10404.81</v>
      </c>
      <c r="M76" s="2"/>
      <c r="N76" s="6">
        <f t="shared" si="31"/>
        <v>4.161924</v>
      </c>
      <c r="O76" s="11"/>
      <c r="P76" s="7">
        <v>12904.81</v>
      </c>
      <c r="Q76" s="2"/>
      <c r="R76" s="6">
        <f t="shared" si="32"/>
        <v>3.4846091821627401E-2</v>
      </c>
      <c r="S76" s="2"/>
      <c r="T76" s="7">
        <v>2500</v>
      </c>
      <c r="U76" s="2"/>
      <c r="V76" s="6">
        <f t="shared" si="33"/>
        <v>6.0704217486214074E-3</v>
      </c>
      <c r="W76" s="2"/>
      <c r="X76" s="7">
        <f t="shared" si="34"/>
        <v>10404.81</v>
      </c>
      <c r="Y76" s="2"/>
      <c r="Z76" s="6">
        <f t="shared" si="35"/>
        <v>4.161924</v>
      </c>
    </row>
    <row r="77" spans="1:26" s="27" customFormat="1" outlineLevel="1" collapsed="1" x14ac:dyDescent="0.25">
      <c r="A77" s="28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SUM(OSRRefD22_5x_0)</f>
        <v>0</v>
      </c>
      <c r="E77" s="1"/>
      <c r="F77" s="5">
        <f t="shared" si="28"/>
        <v>0</v>
      </c>
      <c r="G77" s="1"/>
      <c r="H77" s="1">
        <f>SUM(OSRRefH22_5x_0)</f>
        <v>40</v>
      </c>
      <c r="I77" s="1"/>
      <c r="J77" s="5">
        <f t="shared" si="29"/>
        <v>9.7126747977942514E-5</v>
      </c>
      <c r="K77" s="1"/>
      <c r="L77" s="1">
        <f t="shared" si="30"/>
        <v>-40</v>
      </c>
      <c r="M77" s="1"/>
      <c r="N77" s="5">
        <f t="shared" si="31"/>
        <v>-1</v>
      </c>
      <c r="O77" s="14"/>
      <c r="P77" s="1">
        <f>SUM(OSRRefP22_5x_0)</f>
        <v>0</v>
      </c>
      <c r="Q77" s="1"/>
      <c r="R77" s="5">
        <f t="shared" si="32"/>
        <v>0</v>
      </c>
      <c r="S77" s="1"/>
      <c r="T77" s="1">
        <f>SUM(OSRRefT22_5x_0)</f>
        <v>40</v>
      </c>
      <c r="U77" s="1"/>
      <c r="V77" s="5">
        <f t="shared" si="33"/>
        <v>9.7126747977942514E-5</v>
      </c>
      <c r="W77" s="1"/>
      <c r="X77" s="1">
        <f t="shared" si="34"/>
        <v>-40</v>
      </c>
      <c r="Y77" s="1"/>
      <c r="Z77" s="5">
        <f t="shared" si="35"/>
        <v>-1</v>
      </c>
    </row>
    <row r="78" spans="1:26" s="24" customFormat="1" hidden="1" outlineLevel="2" x14ac:dyDescent="0.25">
      <c r="A78" s="29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28"/>
        <v>0</v>
      </c>
      <c r="G78" s="2"/>
      <c r="H78" s="7">
        <v>40</v>
      </c>
      <c r="I78" s="2"/>
      <c r="J78" s="6">
        <f t="shared" si="29"/>
        <v>9.7126747977942514E-5</v>
      </c>
      <c r="K78" s="2"/>
      <c r="L78" s="7">
        <f t="shared" si="30"/>
        <v>-40</v>
      </c>
      <c r="M78" s="2"/>
      <c r="N78" s="6">
        <f t="shared" si="31"/>
        <v>-1</v>
      </c>
      <c r="O78" s="11"/>
      <c r="P78" s="7"/>
      <c r="Q78" s="2"/>
      <c r="R78" s="6">
        <f t="shared" si="32"/>
        <v>0</v>
      </c>
      <c r="S78" s="2"/>
      <c r="T78" s="7">
        <v>40</v>
      </c>
      <c r="U78" s="2"/>
      <c r="V78" s="6">
        <f t="shared" si="33"/>
        <v>9.7126747977942514E-5</v>
      </c>
      <c r="W78" s="2"/>
      <c r="X78" s="7">
        <f t="shared" si="34"/>
        <v>-40</v>
      </c>
      <c r="Y78" s="2"/>
      <c r="Z78" s="6">
        <f t="shared" si="35"/>
        <v>-1</v>
      </c>
    </row>
    <row r="79" spans="1:26" s="27" customFormat="1" outlineLevel="1" collapsed="1" x14ac:dyDescent="0.25">
      <c r="A79" s="28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SUM(OSRRefD22_6x_0)</f>
        <v>0</v>
      </c>
      <c r="E79" s="1"/>
      <c r="F79" s="5">
        <f t="shared" si="28"/>
        <v>0</v>
      </c>
      <c r="G79" s="1"/>
      <c r="H79" s="1">
        <f>SUM(OSRRefH22_6x_0)</f>
        <v>25</v>
      </c>
      <c r="I79" s="1"/>
      <c r="J79" s="5">
        <f t="shared" si="29"/>
        <v>6.070421748621407E-5</v>
      </c>
      <c r="K79" s="1"/>
      <c r="L79" s="1">
        <f t="shared" si="30"/>
        <v>-25</v>
      </c>
      <c r="M79" s="1"/>
      <c r="N79" s="5">
        <f t="shared" si="31"/>
        <v>-1</v>
      </c>
      <c r="O79" s="14"/>
      <c r="P79" s="1">
        <f>SUM(OSRRefP22_6x_0)</f>
        <v>0</v>
      </c>
      <c r="Q79" s="1"/>
      <c r="R79" s="5">
        <f t="shared" si="32"/>
        <v>0</v>
      </c>
      <c r="S79" s="1"/>
      <c r="T79" s="1">
        <f>SUM(OSRRefT22_6x_0)</f>
        <v>25</v>
      </c>
      <c r="U79" s="1"/>
      <c r="V79" s="5">
        <f t="shared" si="33"/>
        <v>6.070421748621407E-5</v>
      </c>
      <c r="W79" s="1"/>
      <c r="X79" s="1">
        <f t="shared" si="34"/>
        <v>-25</v>
      </c>
      <c r="Y79" s="1"/>
      <c r="Z79" s="5">
        <f t="shared" si="35"/>
        <v>-1</v>
      </c>
    </row>
    <row r="80" spans="1:26" s="24" customFormat="1" hidden="1" outlineLevel="2" x14ac:dyDescent="0.25">
      <c r="A80" s="29"/>
      <c r="B80" s="11" t="str">
        <f>CONCATENATE("          ", "6305", " - ", "FREIGHT OUT")</f>
        <v xml:space="preserve">          6305 - FREIGHT OUT</v>
      </c>
      <c r="C80" s="11"/>
      <c r="D80" s="7"/>
      <c r="E80" s="2"/>
      <c r="F80" s="6">
        <f t="shared" si="28"/>
        <v>0</v>
      </c>
      <c r="G80" s="2"/>
      <c r="H80" s="7">
        <v>25</v>
      </c>
      <c r="I80" s="2"/>
      <c r="J80" s="6">
        <f t="shared" si="29"/>
        <v>6.070421748621407E-5</v>
      </c>
      <c r="K80" s="2"/>
      <c r="L80" s="7">
        <f t="shared" si="30"/>
        <v>-25</v>
      </c>
      <c r="M80" s="2"/>
      <c r="N80" s="6">
        <f t="shared" si="31"/>
        <v>-1</v>
      </c>
      <c r="O80" s="11"/>
      <c r="P80" s="7"/>
      <c r="Q80" s="2"/>
      <c r="R80" s="6">
        <f t="shared" si="32"/>
        <v>0</v>
      </c>
      <c r="S80" s="2"/>
      <c r="T80" s="7">
        <v>25</v>
      </c>
      <c r="U80" s="2"/>
      <c r="V80" s="6">
        <f t="shared" si="33"/>
        <v>6.070421748621407E-5</v>
      </c>
      <c r="W80" s="2"/>
      <c r="X80" s="7">
        <f t="shared" si="34"/>
        <v>-25</v>
      </c>
      <c r="Y80" s="2"/>
      <c r="Z80" s="6">
        <f t="shared" si="35"/>
        <v>-1</v>
      </c>
    </row>
    <row r="81" spans="1:26" s="27" customFormat="1" outlineLevel="1" collapsed="1" x14ac:dyDescent="0.25">
      <c r="A81" s="28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SUM(OSRRefD22_7x_0)</f>
        <v>675.26</v>
      </c>
      <c r="E81" s="1"/>
      <c r="F81" s="5">
        <f t="shared" si="28"/>
        <v>1.8233644635970709E-3</v>
      </c>
      <c r="G81" s="1"/>
      <c r="H81" s="1">
        <f>SUM(OSRRefH22_7x_0)</f>
        <v>275</v>
      </c>
      <c r="I81" s="1"/>
      <c r="J81" s="5">
        <f t="shared" si="29"/>
        <v>6.6774639234835475E-4</v>
      </c>
      <c r="K81" s="1"/>
      <c r="L81" s="1">
        <f t="shared" si="30"/>
        <v>400.26</v>
      </c>
      <c r="M81" s="1"/>
      <c r="N81" s="5">
        <f t="shared" si="31"/>
        <v>1.4554909090909092</v>
      </c>
      <c r="O81" s="14"/>
      <c r="P81" s="1">
        <f>SUM(OSRRefP22_7x_0)</f>
        <v>675.26</v>
      </c>
      <c r="Q81" s="1"/>
      <c r="R81" s="5">
        <f t="shared" si="32"/>
        <v>1.8233644635970709E-3</v>
      </c>
      <c r="S81" s="1"/>
      <c r="T81" s="1">
        <f>SUM(OSRRefT22_7x_0)</f>
        <v>275</v>
      </c>
      <c r="U81" s="1"/>
      <c r="V81" s="5">
        <f t="shared" si="33"/>
        <v>6.6774639234835475E-4</v>
      </c>
      <c r="W81" s="1"/>
      <c r="X81" s="1">
        <f t="shared" si="34"/>
        <v>400.26</v>
      </c>
      <c r="Y81" s="1"/>
      <c r="Z81" s="5">
        <f t="shared" si="35"/>
        <v>1.4554909090909092</v>
      </c>
    </row>
    <row r="82" spans="1:26" s="24" customFormat="1" hidden="1" outlineLevel="2" x14ac:dyDescent="0.25">
      <c r="A82" s="29"/>
      <c r="B82" s="11" t="str">
        <f>CONCATENATE("          ", "6241", " - ", "OFFICE EXPENSE")</f>
        <v xml:space="preserve">          6241 - OFFICE EXPENSE</v>
      </c>
      <c r="C82" s="11"/>
      <c r="D82" s="7">
        <v>92.82</v>
      </c>
      <c r="E82" s="2"/>
      <c r="F82" s="6">
        <f t="shared" si="28"/>
        <v>2.5063633194781287E-4</v>
      </c>
      <c r="G82" s="2"/>
      <c r="H82" s="7">
        <v>275</v>
      </c>
      <c r="I82" s="2"/>
      <c r="J82" s="6">
        <f t="shared" si="29"/>
        <v>6.6774639234835475E-4</v>
      </c>
      <c r="K82" s="2"/>
      <c r="L82" s="7">
        <f t="shared" si="30"/>
        <v>-182.18</v>
      </c>
      <c r="M82" s="2"/>
      <c r="N82" s="6">
        <f t="shared" si="31"/>
        <v>-0.66247272727272732</v>
      </c>
      <c r="O82" s="11"/>
      <c r="P82" s="7">
        <v>92.82</v>
      </c>
      <c r="Q82" s="2"/>
      <c r="R82" s="6">
        <f t="shared" si="32"/>
        <v>2.5063633194781287E-4</v>
      </c>
      <c r="S82" s="2"/>
      <c r="T82" s="7">
        <v>275</v>
      </c>
      <c r="U82" s="2"/>
      <c r="V82" s="6">
        <f t="shared" si="33"/>
        <v>6.6774639234835475E-4</v>
      </c>
      <c r="W82" s="2"/>
      <c r="X82" s="7">
        <f t="shared" si="34"/>
        <v>-182.18</v>
      </c>
      <c r="Y82" s="2"/>
      <c r="Z82" s="6">
        <f t="shared" si="35"/>
        <v>-0.66247272727272732</v>
      </c>
    </row>
    <row r="83" spans="1:26" s="24" customFormat="1" hidden="1" outlineLevel="2" x14ac:dyDescent="0.25">
      <c r="A83" s="29"/>
      <c r="B83" s="11" t="str">
        <f>CONCATENATE("          ", "6247", " - ", "STORE SUPPLIES")</f>
        <v xml:space="preserve">          6247 - STORE SUPPLIES</v>
      </c>
      <c r="C83" s="11"/>
      <c r="D83" s="7">
        <v>582.44000000000005</v>
      </c>
      <c r="E83" s="2"/>
      <c r="F83" s="6">
        <f t="shared" si="28"/>
        <v>1.5727281316492584E-3</v>
      </c>
      <c r="G83" s="2"/>
      <c r="H83" s="7"/>
      <c r="I83" s="2"/>
      <c r="J83" s="6">
        <f t="shared" si="29"/>
        <v>0</v>
      </c>
      <c r="K83" s="2"/>
      <c r="L83" s="7">
        <f t="shared" si="30"/>
        <v>582.44000000000005</v>
      </c>
      <c r="M83" s="2"/>
      <c r="N83" s="6">
        <f t="shared" si="31"/>
        <v>0</v>
      </c>
      <c r="O83" s="11"/>
      <c r="P83" s="7">
        <v>582.44000000000005</v>
      </c>
      <c r="Q83" s="2"/>
      <c r="R83" s="6">
        <f t="shared" si="32"/>
        <v>1.5727281316492584E-3</v>
      </c>
      <c r="S83" s="2"/>
      <c r="T83" s="7"/>
      <c r="U83" s="2"/>
      <c r="V83" s="6">
        <f t="shared" si="33"/>
        <v>0</v>
      </c>
      <c r="W83" s="2"/>
      <c r="X83" s="7">
        <f t="shared" si="34"/>
        <v>582.44000000000005</v>
      </c>
      <c r="Y83" s="2"/>
      <c r="Z83" s="6">
        <f t="shared" si="35"/>
        <v>0</v>
      </c>
    </row>
    <row r="84" spans="1:26" s="27" customFormat="1" outlineLevel="1" collapsed="1" x14ac:dyDescent="0.25">
      <c r="A84" s="28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SUM(OSRRefD22_8x_0)</f>
        <v>177.05</v>
      </c>
      <c r="E84" s="1"/>
      <c r="F84" s="5">
        <f t="shared" ref="F84:F86" si="36">IF(D$12=0,0,D84/D$12)</f>
        <v>4.7807759719198741E-4</v>
      </c>
      <c r="G84" s="1"/>
      <c r="H84" s="1">
        <f>SUM(OSRRefH22_8x_0)</f>
        <v>280</v>
      </c>
      <c r="I84" s="1"/>
      <c r="J84" s="5">
        <f t="shared" ref="J84:J86" si="37">IF(H$12=0,0,H84/H$12)</f>
        <v>6.7988723584559761E-4</v>
      </c>
      <c r="K84" s="1"/>
      <c r="L84" s="1">
        <f t="shared" ref="L84:L86" si="38">+D84-H84</f>
        <v>-102.94999999999999</v>
      </c>
      <c r="M84" s="1"/>
      <c r="N84" s="5">
        <f t="shared" ref="N84:N86" si="39">IF(H84=0,0,L84/H84)</f>
        <v>-0.36767857142857141</v>
      </c>
      <c r="O84" s="14"/>
      <c r="P84" s="1">
        <f>SUM(OSRRefP22_8x_0)</f>
        <v>177.05</v>
      </c>
      <c r="Q84" s="1"/>
      <c r="R84" s="5">
        <f t="shared" ref="R84:R86" si="40">IF(P$12=0,0,P84/P$12)</f>
        <v>4.7807759719198741E-4</v>
      </c>
      <c r="S84" s="1"/>
      <c r="T84" s="1">
        <f>SUM(OSRRefT22_8x_0)</f>
        <v>280</v>
      </c>
      <c r="U84" s="1"/>
      <c r="V84" s="5">
        <f t="shared" ref="V84:V86" si="41">IF(T$12=0,0,T84/T$12)</f>
        <v>6.7988723584559761E-4</v>
      </c>
      <c r="W84" s="1"/>
      <c r="X84" s="1">
        <f t="shared" ref="X84:X86" si="42">+P84-T84</f>
        <v>-102.94999999999999</v>
      </c>
      <c r="Y84" s="1"/>
      <c r="Z84" s="5">
        <f t="shared" ref="Z84:Z86" si="43">IF(T84=0,0,X84/T84)</f>
        <v>-0.36767857142857141</v>
      </c>
    </row>
    <row r="85" spans="1:26" s="24" customFormat="1" hidden="1" outlineLevel="2" x14ac:dyDescent="0.25">
      <c r="A85" s="29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36"/>
        <v>0</v>
      </c>
      <c r="G85" s="2"/>
      <c r="H85" s="7">
        <v>280</v>
      </c>
      <c r="I85" s="2"/>
      <c r="J85" s="6">
        <f t="shared" si="37"/>
        <v>6.7988723584559761E-4</v>
      </c>
      <c r="K85" s="2"/>
      <c r="L85" s="7">
        <f t="shared" si="38"/>
        <v>-280</v>
      </c>
      <c r="M85" s="2"/>
      <c r="N85" s="6">
        <f t="shared" si="39"/>
        <v>-1</v>
      </c>
      <c r="O85" s="11"/>
      <c r="P85" s="7"/>
      <c r="Q85" s="2"/>
      <c r="R85" s="6">
        <f t="shared" si="40"/>
        <v>0</v>
      </c>
      <c r="S85" s="2"/>
      <c r="T85" s="7">
        <v>280</v>
      </c>
      <c r="U85" s="2"/>
      <c r="V85" s="6">
        <f t="shared" si="41"/>
        <v>6.7988723584559761E-4</v>
      </c>
      <c r="W85" s="2"/>
      <c r="X85" s="7">
        <f t="shared" si="42"/>
        <v>-280</v>
      </c>
      <c r="Y85" s="2"/>
      <c r="Z85" s="6">
        <f t="shared" si="43"/>
        <v>-1</v>
      </c>
    </row>
    <row r="86" spans="1:26" s="24" customFormat="1" hidden="1" outlineLevel="2" x14ac:dyDescent="0.25">
      <c r="A86" s="29"/>
      <c r="B86" s="11" t="str">
        <f>CONCATENATE("          ", "6309", " - ", "TELEPHONE")</f>
        <v xml:space="preserve">          6309 - TELEPHONE</v>
      </c>
      <c r="C86" s="11"/>
      <c r="D86" s="7">
        <v>177.05</v>
      </c>
      <c r="E86" s="2"/>
      <c r="F86" s="6">
        <f t="shared" si="36"/>
        <v>4.7807759719198741E-4</v>
      </c>
      <c r="G86" s="2"/>
      <c r="H86" s="7"/>
      <c r="I86" s="2"/>
      <c r="J86" s="6">
        <f t="shared" si="37"/>
        <v>0</v>
      </c>
      <c r="K86" s="2"/>
      <c r="L86" s="7">
        <f t="shared" si="38"/>
        <v>177.05</v>
      </c>
      <c r="M86" s="2"/>
      <c r="N86" s="6">
        <f t="shared" si="39"/>
        <v>0</v>
      </c>
      <c r="O86" s="11"/>
      <c r="P86" s="7">
        <v>177.05</v>
      </c>
      <c r="Q86" s="2"/>
      <c r="R86" s="6">
        <f t="shared" si="40"/>
        <v>4.7807759719198741E-4</v>
      </c>
      <c r="S86" s="2"/>
      <c r="T86" s="7"/>
      <c r="U86" s="2"/>
      <c r="V86" s="6">
        <f t="shared" si="41"/>
        <v>0</v>
      </c>
      <c r="W86" s="2"/>
      <c r="X86" s="7">
        <f t="shared" si="42"/>
        <v>177.05</v>
      </c>
      <c r="Y86" s="2"/>
      <c r="Z86" s="6">
        <f t="shared" si="43"/>
        <v>0</v>
      </c>
    </row>
    <row r="87" spans="1:26" s="27" customFormat="1" outlineLevel="1" collapsed="1" x14ac:dyDescent="0.25">
      <c r="A87" s="28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SUM(OSRRefD22_9x_0)</f>
        <v>0</v>
      </c>
      <c r="E87" s="1"/>
      <c r="F87" s="5">
        <f t="shared" ref="F87:F88" si="44">IF(D$12=0,0,D87/D$12)</f>
        <v>0</v>
      </c>
      <c r="G87" s="1"/>
      <c r="H87" s="1">
        <f>SUM(OSRRefH22_9x_0)</f>
        <v>375</v>
      </c>
      <c r="I87" s="1"/>
      <c r="J87" s="5">
        <f t="shared" ref="J87:J88" si="45">IF(H$12=0,0,H87/H$12)</f>
        <v>9.1056326229321111E-4</v>
      </c>
      <c r="K87" s="1"/>
      <c r="L87" s="1">
        <f t="shared" ref="L87:L88" si="46">+D87-H87</f>
        <v>-375</v>
      </c>
      <c r="M87" s="1"/>
      <c r="N87" s="5">
        <f t="shared" ref="N87:N88" si="47">IF(H87=0,0,L87/H87)</f>
        <v>-1</v>
      </c>
      <c r="O87" s="14"/>
      <c r="P87" s="1">
        <f>SUM(OSRRefP22_9x_0)</f>
        <v>0</v>
      </c>
      <c r="Q87" s="1"/>
      <c r="R87" s="5">
        <f t="shared" ref="R87:R88" si="48">IF(P$12=0,0,P87/P$12)</f>
        <v>0</v>
      </c>
      <c r="S87" s="1"/>
      <c r="T87" s="1">
        <f>SUM(OSRRefT22_9x_0)</f>
        <v>375</v>
      </c>
      <c r="U87" s="1"/>
      <c r="V87" s="5">
        <f t="shared" ref="V87:V88" si="49">IF(T$12=0,0,T87/T$12)</f>
        <v>9.1056326229321111E-4</v>
      </c>
      <c r="W87" s="1"/>
      <c r="X87" s="1">
        <f t="shared" ref="X87:X88" si="50">+P87-T87</f>
        <v>-375</v>
      </c>
      <c r="Y87" s="1"/>
      <c r="Z87" s="5">
        <f t="shared" ref="Z87:Z88" si="51">IF(T87=0,0,X87/T87)</f>
        <v>-1</v>
      </c>
    </row>
    <row r="88" spans="1:26" s="24" customFormat="1" hidden="1" outlineLevel="2" x14ac:dyDescent="0.25">
      <c r="A88" s="29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44"/>
        <v>0</v>
      </c>
      <c r="G88" s="2"/>
      <c r="H88" s="7">
        <v>375</v>
      </c>
      <c r="I88" s="2"/>
      <c r="J88" s="6">
        <f t="shared" si="45"/>
        <v>9.1056326229321111E-4</v>
      </c>
      <c r="K88" s="2"/>
      <c r="L88" s="7">
        <f t="shared" si="46"/>
        <v>-375</v>
      </c>
      <c r="M88" s="2"/>
      <c r="N88" s="6">
        <f t="shared" si="47"/>
        <v>-1</v>
      </c>
      <c r="O88" s="11"/>
      <c r="P88" s="7"/>
      <c r="Q88" s="2"/>
      <c r="R88" s="6">
        <f t="shared" si="48"/>
        <v>0</v>
      </c>
      <c r="S88" s="2"/>
      <c r="T88" s="7">
        <v>375</v>
      </c>
      <c r="U88" s="2"/>
      <c r="V88" s="6">
        <f t="shared" si="49"/>
        <v>9.1056326229321111E-4</v>
      </c>
      <c r="W88" s="2"/>
      <c r="X88" s="7">
        <f t="shared" si="50"/>
        <v>-375</v>
      </c>
      <c r="Y88" s="2"/>
      <c r="Z88" s="6">
        <f t="shared" si="51"/>
        <v>-1</v>
      </c>
    </row>
    <row r="89" spans="1:26" s="57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5" t="s">
        <v>0</v>
      </c>
      <c r="C90" s="10"/>
      <c r="D90" s="4">
        <f>SUM(OSRRefD25x_0)</f>
        <v>17.80000000000004</v>
      </c>
      <c r="E90" s="4"/>
      <c r="F90" s="12">
        <f t="shared" ref="F90:F93" si="52">IF(D$12=0,0,D90/D$12)</f>
        <v>4.8064282575641881E-5</v>
      </c>
      <c r="G90" s="4"/>
      <c r="H90" s="4">
        <f>SUM(OSRRefH25x_0)</f>
        <v>1350</v>
      </c>
      <c r="I90" s="4"/>
      <c r="J90" s="12">
        <f t="shared" ref="J90:J93" si="53">IF(H$12=0,0,H90/H$12)</f>
        <v>3.2780277442555597E-3</v>
      </c>
      <c r="K90" s="4"/>
      <c r="L90" s="4">
        <f t="shared" ref="L90:L93" si="54">+D90-H90</f>
        <v>-1332.2</v>
      </c>
      <c r="M90" s="4"/>
      <c r="N90" s="12">
        <f t="shared" ref="N90:N93" si="55">IF(H90=0,0,L90/H90)</f>
        <v>-0.98681481481481481</v>
      </c>
      <c r="O90" s="10"/>
      <c r="P90" s="4">
        <f>SUM(OSRRefP25x_0)</f>
        <v>17.80000000000004</v>
      </c>
      <c r="Q90" s="4"/>
      <c r="R90" s="12">
        <f t="shared" ref="R90:R93" si="56">IF(P$12=0,0,P90/P$12)</f>
        <v>4.8064282575641881E-5</v>
      </c>
      <c r="S90" s="4"/>
      <c r="T90" s="4">
        <f>SUM(OSRRefT25x_0)</f>
        <v>1350</v>
      </c>
      <c r="U90" s="4"/>
      <c r="V90" s="12">
        <f t="shared" ref="V90:V93" si="57">IF(T$12=0,0,T90/T$12)</f>
        <v>3.2780277442555597E-3</v>
      </c>
      <c r="W90" s="4"/>
      <c r="X90" s="4">
        <f t="shared" ref="X90:X93" si="58">+P90-T90</f>
        <v>-1332.2</v>
      </c>
      <c r="Y90" s="4"/>
      <c r="Z90" s="12">
        <f t="shared" ref="Z90:Z93" si="59">IF(T90=0,0,X90/T90)</f>
        <v>-0.98681481481481481</v>
      </c>
    </row>
    <row r="91" spans="1:26" s="24" customFormat="1" hidden="1" outlineLevel="1" x14ac:dyDescent="0.25">
      <c r="A91" s="51"/>
      <c r="B91" s="11" t="str">
        <f>CONCATENATE("          ", "4187", " - ", "NON-TAXABLE SALES-COMPUTER REP")</f>
        <v xml:space="preserve">          4187 - NON-TAXABLE SALES-COMPUTER REP</v>
      </c>
      <c r="C91" s="11"/>
      <c r="D91" s="2">
        <f>--781.89</f>
        <v>781.89</v>
      </c>
      <c r="E91" s="2"/>
      <c r="F91" s="22">
        <f t="shared" si="52"/>
        <v>2.1112911181499182E-3</v>
      </c>
      <c r="G91" s="2"/>
      <c r="H91" s="2"/>
      <c r="I91" s="2"/>
      <c r="J91" s="22">
        <f t="shared" si="53"/>
        <v>0</v>
      </c>
      <c r="K91" s="2"/>
      <c r="L91" s="2">
        <f t="shared" si="54"/>
        <v>781.89</v>
      </c>
      <c r="M91" s="2"/>
      <c r="N91" s="22">
        <f t="shared" si="55"/>
        <v>0</v>
      </c>
      <c r="O91" s="11"/>
      <c r="P91" s="2">
        <f>--781.89</f>
        <v>781.89</v>
      </c>
      <c r="Q91" s="2"/>
      <c r="R91" s="22">
        <f t="shared" si="56"/>
        <v>2.1112911181499182E-3</v>
      </c>
      <c r="S91" s="2"/>
      <c r="T91" s="2"/>
      <c r="U91" s="2"/>
      <c r="V91" s="22">
        <f t="shared" si="57"/>
        <v>0</v>
      </c>
      <c r="W91" s="2"/>
      <c r="X91" s="2">
        <f t="shared" si="58"/>
        <v>781.89</v>
      </c>
      <c r="Y91" s="2"/>
      <c r="Z91" s="22">
        <f t="shared" si="59"/>
        <v>0</v>
      </c>
    </row>
    <row r="92" spans="1:26" s="24" customFormat="1" hidden="1" outlineLevel="1" x14ac:dyDescent="0.25">
      <c r="A92" s="51"/>
      <c r="B92" s="11" t="str">
        <f>CONCATENATE("          ", "4387", " - ", "SALES RETURN NON TAXABLE-COMPU")</f>
        <v xml:space="preserve">          4387 - SALES RETURN NON TAXABLE-COMPU</v>
      </c>
      <c r="C92" s="11"/>
      <c r="D92" s="2">
        <f>-630.8</f>
        <v>-630.79999999999995</v>
      </c>
      <c r="E92" s="2"/>
      <c r="F92" s="22">
        <f t="shared" si="52"/>
        <v>-1.703311766781732E-3</v>
      </c>
      <c r="G92" s="2"/>
      <c r="H92" s="2"/>
      <c r="I92" s="2"/>
      <c r="J92" s="22">
        <f t="shared" si="53"/>
        <v>0</v>
      </c>
      <c r="K92" s="2"/>
      <c r="L92" s="2">
        <f t="shared" si="54"/>
        <v>-630.79999999999995</v>
      </c>
      <c r="M92" s="2"/>
      <c r="N92" s="22">
        <f t="shared" si="55"/>
        <v>0</v>
      </c>
      <c r="O92" s="11"/>
      <c r="P92" s="2">
        <f>-630.8</f>
        <v>-630.79999999999995</v>
      </c>
      <c r="Q92" s="2"/>
      <c r="R92" s="22">
        <f t="shared" si="56"/>
        <v>-1.703311766781732E-3</v>
      </c>
      <c r="S92" s="2"/>
      <c r="T92" s="2"/>
      <c r="U92" s="2"/>
      <c r="V92" s="22">
        <f t="shared" si="57"/>
        <v>0</v>
      </c>
      <c r="W92" s="2"/>
      <c r="X92" s="2">
        <f t="shared" si="58"/>
        <v>-630.79999999999995</v>
      </c>
      <c r="Y92" s="2"/>
      <c r="Z92" s="22">
        <f t="shared" si="59"/>
        <v>0</v>
      </c>
    </row>
    <row r="93" spans="1:26" s="24" customFormat="1" hidden="1" outlineLevel="1" x14ac:dyDescent="0.25">
      <c r="A93" s="51"/>
      <c r="B93" s="11" t="str">
        <f>CONCATENATE("          ", "9150", " - ", "MISC. INCOME")</f>
        <v xml:space="preserve">          9150 - MISC. INCOME</v>
      </c>
      <c r="C93" s="11"/>
      <c r="D93" s="2">
        <f>-133.29</f>
        <v>-133.29</v>
      </c>
      <c r="E93" s="2"/>
      <c r="F93" s="22">
        <f t="shared" si="52"/>
        <v>-3.5991506879254445E-4</v>
      </c>
      <c r="G93" s="2"/>
      <c r="H93" s="2">
        <v>1350</v>
      </c>
      <c r="I93" s="2"/>
      <c r="J93" s="22">
        <f t="shared" si="53"/>
        <v>3.2780277442555597E-3</v>
      </c>
      <c r="K93" s="2"/>
      <c r="L93" s="2">
        <f t="shared" si="54"/>
        <v>-1483.29</v>
      </c>
      <c r="M93" s="2"/>
      <c r="N93" s="22">
        <f t="shared" si="55"/>
        <v>-1.0987333333333333</v>
      </c>
      <c r="O93" s="11"/>
      <c r="P93" s="2">
        <f>-133.29</f>
        <v>-133.29</v>
      </c>
      <c r="Q93" s="2"/>
      <c r="R93" s="22">
        <f t="shared" si="56"/>
        <v>-3.5991506879254445E-4</v>
      </c>
      <c r="S93" s="2"/>
      <c r="T93" s="2">
        <v>1350</v>
      </c>
      <c r="U93" s="2"/>
      <c r="V93" s="22">
        <f t="shared" si="57"/>
        <v>3.2780277442555597E-3</v>
      </c>
      <c r="W93" s="2"/>
      <c r="X93" s="2">
        <f t="shared" si="58"/>
        <v>-1483.29</v>
      </c>
      <c r="Y93" s="2"/>
      <c r="Z93" s="22">
        <f t="shared" si="59"/>
        <v>-1.0987333333333333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6" t="s">
        <v>3</v>
      </c>
      <c r="C95" s="26"/>
      <c r="D95" s="21">
        <f>+D46-D48+D90</f>
        <v>3006.0500000000511</v>
      </c>
      <c r="E95" s="13"/>
      <c r="F95" s="19">
        <f>IF(D$12=0,0,D95/D$12)</f>
        <v>8.1170582380062032E-3</v>
      </c>
      <c r="G95" s="13"/>
      <c r="H95" s="21">
        <f>+H46-H48+H90</f>
        <v>75242.022963103838</v>
      </c>
      <c r="I95" s="13"/>
      <c r="J95" s="19">
        <f>IF(H$12=0,0,H95/H$12)</f>
        <v>0.18270032504219874</v>
      </c>
      <c r="K95" s="15"/>
      <c r="L95" s="21">
        <f>+D95-H95</f>
        <v>-72235.972963103792</v>
      </c>
      <c r="M95" s="15"/>
      <c r="N95" s="19">
        <f>IF(H95=0,0,L95/H95)</f>
        <v>-0.9600482565244941</v>
      </c>
      <c r="O95" s="25"/>
      <c r="P95" s="21">
        <f>+P46-P48+P90</f>
        <v>3006.0500000000511</v>
      </c>
      <c r="Q95" s="13"/>
      <c r="R95" s="19">
        <f>IF(P$12=0,0,P95/P$12)</f>
        <v>8.1170582380062032E-3</v>
      </c>
      <c r="S95" s="13"/>
      <c r="T95" s="21">
        <f>+T46-T48+T90</f>
        <v>75242.022963103838</v>
      </c>
      <c r="U95" s="13"/>
      <c r="V95" s="19">
        <f>IF(T$12=0,0,T95/T$12)</f>
        <v>0.18270032504219874</v>
      </c>
      <c r="W95" s="15"/>
      <c r="X95" s="21">
        <f>+P95-T95</f>
        <v>-72235.972963103792</v>
      </c>
      <c r="Y95" s="15"/>
      <c r="Z95" s="19">
        <f>IF(T95=0,0,X95/T95)</f>
        <v>-0.9600482565244941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>
        <v>77004.05</v>
      </c>
      <c r="E97" s="4"/>
      <c r="F97" s="12">
        <f>IF(D$12=0,0,D97/D$12)</f>
        <v>0.207929461722969</v>
      </c>
      <c r="G97" s="4"/>
      <c r="H97" s="4">
        <v>100366</v>
      </c>
      <c r="I97" s="4"/>
      <c r="J97" s="12">
        <f>IF(H$12=0,0,H97/H$12)</f>
        <v>0.24370557968885445</v>
      </c>
      <c r="K97" s="4"/>
      <c r="L97" s="4">
        <f>+D97-H97</f>
        <v>-23361.949999999997</v>
      </c>
      <c r="M97" s="4"/>
      <c r="N97" s="12">
        <f>IF(H97=0,0,L97/H97)</f>
        <v>-0.23276757069126991</v>
      </c>
      <c r="O97" s="10"/>
      <c r="P97" s="4">
        <v>77004.05</v>
      </c>
      <c r="Q97" s="4"/>
      <c r="R97" s="12">
        <f>IF(P$12=0,0,P97/P$12)</f>
        <v>0.207929461722969</v>
      </c>
      <c r="S97" s="4"/>
      <c r="T97" s="4">
        <v>100366</v>
      </c>
      <c r="U97" s="4"/>
      <c r="V97" s="12">
        <f>IF(T$12=0,0,T97/T$12)</f>
        <v>0.24370557968885445</v>
      </c>
      <c r="W97" s="4"/>
      <c r="X97" s="4">
        <f>+P97-T97</f>
        <v>-23361.949999999997</v>
      </c>
      <c r="Y97" s="4"/>
      <c r="Z97" s="12">
        <f>IF(T97=0,0,X97/T97)</f>
        <v>-0.23276757069126991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4</v>
      </c>
      <c r="C99" s="26"/>
      <c r="D99" s="32">
        <f>+D95-D97</f>
        <v>-73997.999999999956</v>
      </c>
      <c r="E99" s="13"/>
      <c r="F99" s="31">
        <f>IF(D$12=0,0,D99/D$12)</f>
        <v>-0.19981240348496279</v>
      </c>
      <c r="G99" s="13"/>
      <c r="H99" s="32">
        <f>+H95-H97</f>
        <v>-25123.977036896162</v>
      </c>
      <c r="I99" s="13"/>
      <c r="J99" s="31">
        <f>IF(H$12=0,0,H99/H$12)</f>
        <v>-6.100525464665571E-2</v>
      </c>
      <c r="K99" s="15"/>
      <c r="L99" s="32">
        <f>D99-H99</f>
        <v>-48874.022963103795</v>
      </c>
      <c r="M99" s="15"/>
      <c r="N99" s="31">
        <f>IF(H99=0,0,L99/H99)</f>
        <v>1.9453139481591302</v>
      </c>
      <c r="O99" s="25"/>
      <c r="P99" s="32">
        <f>+P95-P97</f>
        <v>-73997.999999999956</v>
      </c>
      <c r="Q99" s="13"/>
      <c r="R99" s="31">
        <f>IF(P$12=0,0,P99/P$12)</f>
        <v>-0.19981240348496279</v>
      </c>
      <c r="S99" s="13"/>
      <c r="T99" s="32">
        <f>+T95-T97</f>
        <v>-25123.977036896162</v>
      </c>
      <c r="U99" s="13"/>
      <c r="V99" s="31">
        <f>IF(T$12=0,0,T99/T$12)</f>
        <v>-6.100525464665571E-2</v>
      </c>
      <c r="W99" s="15"/>
      <c r="X99" s="32">
        <f>P99-T99</f>
        <v>-48874.022963103795</v>
      </c>
      <c r="Y99" s="15"/>
      <c r="Z99" s="31">
        <f>IF(T99=0,0,X99/T99)</f>
        <v>1.9453139481591302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5</v>
      </c>
      <c r="C102" s="26"/>
      <c r="D102" s="33">
        <f>SUM(D99:D101)</f>
        <v>-73997.999999999956</v>
      </c>
      <c r="E102" s="13"/>
      <c r="F102" s="34">
        <f>IF(D$12=0,0,D102/D$12)</f>
        <v>-0.19981240348496279</v>
      </c>
      <c r="G102" s="13"/>
      <c r="H102" s="33">
        <f>SUM(H99:H101)</f>
        <v>-25123.977036896162</v>
      </c>
      <c r="I102" s="13"/>
      <c r="J102" s="34">
        <f>IF(H$12=0,0,H102/H$12)</f>
        <v>-6.100525464665571E-2</v>
      </c>
      <c r="K102" s="15"/>
      <c r="L102" s="33">
        <f>+D102-H102</f>
        <v>-48874.022963103795</v>
      </c>
      <c r="M102" s="15"/>
      <c r="N102" s="34">
        <f>IF(H102=0,0,L102/H102)</f>
        <v>1.9453139481591302</v>
      </c>
      <c r="O102" s="25"/>
      <c r="P102" s="33">
        <f>SUM(P99:P101)</f>
        <v>-73997.999999999956</v>
      </c>
      <c r="Q102" s="13"/>
      <c r="R102" s="34">
        <f>IF(P$12=0,0,P102/P$12)</f>
        <v>-0.19981240348496279</v>
      </c>
      <c r="S102" s="13"/>
      <c r="T102" s="33">
        <f>SUM(T99:T101)</f>
        <v>-25123.977036896162</v>
      </c>
      <c r="U102" s="13"/>
      <c r="V102" s="34">
        <f>IF(T$12=0,0,T102/T$12)</f>
        <v>-6.100525464665571E-2</v>
      </c>
      <c r="W102" s="15"/>
      <c r="X102" s="33">
        <f>+P102-T102</f>
        <v>-48874.022963103795</v>
      </c>
      <c r="Y102" s="15"/>
      <c r="Z102" s="34">
        <f>IF(T102=0,0,X102/T102)</f>
        <v>1.9453139481591302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61">
        <v>43726.678750347222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6" t="s">
        <v>314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3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58824.94</v>
      </c>
      <c r="E12" s="4"/>
      <c r="F12" s="12"/>
      <c r="G12" s="4"/>
      <c r="H12" s="4">
        <f>SUM(OSRRefH13x_0)</f>
        <v>59834.2</v>
      </c>
      <c r="I12" s="4"/>
      <c r="J12" s="12"/>
      <c r="K12" s="4"/>
      <c r="L12" s="4">
        <f t="shared" ref="L12:L22" si="0">+D12-H12</f>
        <v>-1009.2599999999948</v>
      </c>
      <c r="M12" s="4"/>
      <c r="N12" s="12">
        <f t="shared" ref="N12:N22" si="1">IF(H12=0,0,L12/H12)</f>
        <v>-1.6867610831263639E-2</v>
      </c>
      <c r="O12" s="10"/>
      <c r="P12" s="4">
        <f>SUM(OSRRefP13x_0)</f>
        <v>58824.94</v>
      </c>
      <c r="Q12" s="4"/>
      <c r="R12" s="12"/>
      <c r="S12" s="4"/>
      <c r="T12" s="4">
        <f>SUM(OSRRefT13x_0)</f>
        <v>59834.2</v>
      </c>
      <c r="U12" s="4"/>
      <c r="V12" s="12"/>
      <c r="W12" s="4"/>
      <c r="X12" s="4">
        <f t="shared" ref="X12:X22" si="2">+P12-T12</f>
        <v>-1009.2599999999948</v>
      </c>
      <c r="Y12" s="4"/>
      <c r="Z12" s="12">
        <f t="shared" ref="Z12:Z22" si="3">IF(T12=0,0,X12/T12)</f>
        <v>-1.6867610831263639E-2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14188.2</v>
      </c>
      <c r="I13" s="2"/>
      <c r="J13" s="22"/>
      <c r="K13" s="2"/>
      <c r="L13" s="2">
        <f t="shared" si="0"/>
        <v>-14188.2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14188.2</v>
      </c>
      <c r="U13" s="2"/>
      <c r="V13" s="22"/>
      <c r="W13" s="2"/>
      <c r="X13" s="2">
        <f t="shared" si="2"/>
        <v>-14188.2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>--6880.26</f>
        <v>6880.26</v>
      </c>
      <c r="E14" s="2"/>
      <c r="F14" s="22"/>
      <c r="G14" s="2"/>
      <c r="H14" s="2"/>
      <c r="I14" s="2"/>
      <c r="J14" s="22"/>
      <c r="K14" s="2"/>
      <c r="L14" s="2">
        <f t="shared" si="0"/>
        <v>6880.26</v>
      </c>
      <c r="M14" s="2"/>
      <c r="N14" s="22">
        <f t="shared" si="1"/>
        <v>0</v>
      </c>
      <c r="O14" s="11"/>
      <c r="P14" s="2">
        <f>--6880.26</f>
        <v>6880.26</v>
      </c>
      <c r="Q14" s="2"/>
      <c r="R14" s="22"/>
      <c r="S14" s="2"/>
      <c r="T14" s="2"/>
      <c r="U14" s="2"/>
      <c r="V14" s="22"/>
      <c r="W14" s="2"/>
      <c r="X14" s="2">
        <f t="shared" si="2"/>
        <v>6880.26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"4034", " - ", "TAXABLE SALES-SODA")</f>
        <v xml:space="preserve">          4034 - TAXABLE SALES-SODA</v>
      </c>
      <c r="C15" s="11"/>
      <c r="D15" s="2">
        <f>--288.75</f>
        <v>288.75</v>
      </c>
      <c r="E15" s="2"/>
      <c r="F15" s="22"/>
      <c r="G15" s="2"/>
      <c r="H15" s="2"/>
      <c r="I15" s="2"/>
      <c r="J15" s="22"/>
      <c r="K15" s="2"/>
      <c r="L15" s="2">
        <f t="shared" si="0"/>
        <v>288.75</v>
      </c>
      <c r="M15" s="2"/>
      <c r="N15" s="22">
        <f t="shared" si="1"/>
        <v>0</v>
      </c>
      <c r="O15" s="11"/>
      <c r="P15" s="2">
        <f>--288.75</f>
        <v>288.75</v>
      </c>
      <c r="Q15" s="2"/>
      <c r="R15" s="22"/>
      <c r="S15" s="2"/>
      <c r="T15" s="2"/>
      <c r="U15" s="2"/>
      <c r="V15" s="22"/>
      <c r="W15" s="2"/>
      <c r="X15" s="2">
        <f t="shared" si="2"/>
        <v>288.75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"4051", " - ", "TAXABLE SALES-FOOD")</f>
        <v xml:space="preserve">          4051 - TAXABLE SALES-FOOD</v>
      </c>
      <c r="C16" s="11"/>
      <c r="D16" s="2">
        <f>--3727.67</f>
        <v>3727.67</v>
      </c>
      <c r="E16" s="2"/>
      <c r="F16" s="22"/>
      <c r="G16" s="2"/>
      <c r="H16" s="2"/>
      <c r="I16" s="2"/>
      <c r="J16" s="22"/>
      <c r="K16" s="2"/>
      <c r="L16" s="2">
        <f t="shared" si="0"/>
        <v>3727.67</v>
      </c>
      <c r="M16" s="2"/>
      <c r="N16" s="22">
        <f t="shared" si="1"/>
        <v>0</v>
      </c>
      <c r="O16" s="11"/>
      <c r="P16" s="2">
        <f>--3727.67</f>
        <v>3727.67</v>
      </c>
      <c r="Q16" s="2"/>
      <c r="R16" s="22"/>
      <c r="S16" s="2"/>
      <c r="T16" s="2"/>
      <c r="U16" s="2"/>
      <c r="V16" s="22"/>
      <c r="W16" s="2"/>
      <c r="X16" s="2">
        <f t="shared" si="2"/>
        <v>3727.67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22"/>
      <c r="G17" s="2"/>
      <c r="H17" s="2">
        <v>45646</v>
      </c>
      <c r="I17" s="2"/>
      <c r="J17" s="22"/>
      <c r="K17" s="2"/>
      <c r="L17" s="2">
        <f t="shared" si="0"/>
        <v>-45646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45646</v>
      </c>
      <c r="U17" s="2"/>
      <c r="V17" s="22"/>
      <c r="W17" s="2"/>
      <c r="X17" s="2">
        <f t="shared" si="2"/>
        <v>-45646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"4132", " - ", "NON-TAXABLE SALES-JUICE")</f>
        <v xml:space="preserve">          4132 - NON-TAXABLE SALES-JUICE</v>
      </c>
      <c r="C18" s="11"/>
      <c r="D18" s="2">
        <f>--32087.63</f>
        <v>32087.63</v>
      </c>
      <c r="E18" s="2"/>
      <c r="F18" s="22"/>
      <c r="G18" s="2"/>
      <c r="H18" s="2"/>
      <c r="I18" s="2"/>
      <c r="J18" s="22"/>
      <c r="K18" s="2"/>
      <c r="L18" s="2">
        <f t="shared" si="0"/>
        <v>32087.63</v>
      </c>
      <c r="M18" s="2"/>
      <c r="N18" s="22">
        <f t="shared" si="1"/>
        <v>0</v>
      </c>
      <c r="O18" s="11"/>
      <c r="P18" s="2">
        <f>--32087.63</f>
        <v>32087.63</v>
      </c>
      <c r="Q18" s="2"/>
      <c r="R18" s="22"/>
      <c r="S18" s="2"/>
      <c r="T18" s="2"/>
      <c r="U18" s="2"/>
      <c r="V18" s="22"/>
      <c r="W18" s="2"/>
      <c r="X18" s="2">
        <f t="shared" si="2"/>
        <v>32087.63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"4134", " - ", "NON-TAXABLE SALES-SODA")</f>
        <v xml:space="preserve">          4134 - NON-TAXABLE SALES-SODA</v>
      </c>
      <c r="C19" s="11"/>
      <c r="D19" s="2">
        <f>-3.39</f>
        <v>-3.39</v>
      </c>
      <c r="E19" s="2"/>
      <c r="F19" s="22"/>
      <c r="G19" s="2"/>
      <c r="H19" s="2"/>
      <c r="I19" s="2"/>
      <c r="J19" s="22"/>
      <c r="K19" s="2"/>
      <c r="L19" s="2">
        <f t="shared" si="0"/>
        <v>-3.39</v>
      </c>
      <c r="M19" s="2"/>
      <c r="N19" s="22">
        <f t="shared" si="1"/>
        <v>0</v>
      </c>
      <c r="O19" s="11"/>
      <c r="P19" s="2">
        <f>-3.39</f>
        <v>-3.39</v>
      </c>
      <c r="Q19" s="2"/>
      <c r="R19" s="22"/>
      <c r="S19" s="2"/>
      <c r="T19" s="2"/>
      <c r="U19" s="2"/>
      <c r="V19" s="22"/>
      <c r="W19" s="2"/>
      <c r="X19" s="2">
        <f t="shared" si="2"/>
        <v>-3.39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"4137", " - ", "NON-TAXABLE SALES-WATER")</f>
        <v xml:space="preserve">          4137 - NON-TAXABLE SALES-WATER</v>
      </c>
      <c r="C20" s="11"/>
      <c r="D20" s="2">
        <f>--210.5</f>
        <v>210.5</v>
      </c>
      <c r="E20" s="2"/>
      <c r="F20" s="22"/>
      <c r="G20" s="2"/>
      <c r="H20" s="2"/>
      <c r="I20" s="2"/>
      <c r="J20" s="22"/>
      <c r="K20" s="2"/>
      <c r="L20" s="2">
        <f t="shared" si="0"/>
        <v>210.5</v>
      </c>
      <c r="M20" s="2"/>
      <c r="N20" s="22">
        <f t="shared" si="1"/>
        <v>0</v>
      </c>
      <c r="O20" s="11"/>
      <c r="P20" s="2">
        <f>--210.5</f>
        <v>210.5</v>
      </c>
      <c r="Q20" s="2"/>
      <c r="R20" s="22"/>
      <c r="S20" s="2"/>
      <c r="T20" s="2"/>
      <c r="U20" s="2"/>
      <c r="V20" s="22"/>
      <c r="W20" s="2"/>
      <c r="X20" s="2">
        <f t="shared" si="2"/>
        <v>210.5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"4151", " - ", "NON-TAXABLE SALES-FOOD")</f>
        <v xml:space="preserve">          4151 - NON-TAXABLE SALES-FOOD</v>
      </c>
      <c r="C21" s="11"/>
      <c r="D21" s="2">
        <f>--15396.52</f>
        <v>15396.52</v>
      </c>
      <c r="E21" s="2"/>
      <c r="F21" s="22"/>
      <c r="G21" s="2"/>
      <c r="H21" s="2"/>
      <c r="I21" s="2"/>
      <c r="J21" s="22"/>
      <c r="K21" s="2"/>
      <c r="L21" s="2">
        <f t="shared" si="0"/>
        <v>15396.52</v>
      </c>
      <c r="M21" s="2"/>
      <c r="N21" s="22">
        <f t="shared" si="1"/>
        <v>0</v>
      </c>
      <c r="O21" s="11"/>
      <c r="P21" s="2">
        <f>--15396.52</f>
        <v>15396.52</v>
      </c>
      <c r="Q21" s="2"/>
      <c r="R21" s="22"/>
      <c r="S21" s="2"/>
      <c r="T21" s="2"/>
      <c r="U21" s="2"/>
      <c r="V21" s="22"/>
      <c r="W21" s="2"/>
      <c r="X21" s="2">
        <f t="shared" si="2"/>
        <v>15396.52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"4153", " - ", "NON-TAXABLE SALES-FOOD")</f>
        <v xml:space="preserve">          4153 - NON-TAXABLE SALES-FOOD</v>
      </c>
      <c r="C22" s="11"/>
      <c r="D22" s="2">
        <f>--237</f>
        <v>237</v>
      </c>
      <c r="E22" s="2"/>
      <c r="F22" s="22"/>
      <c r="G22" s="2"/>
      <c r="H22" s="2"/>
      <c r="I22" s="2"/>
      <c r="J22" s="22"/>
      <c r="K22" s="2"/>
      <c r="L22" s="2">
        <f t="shared" si="0"/>
        <v>237</v>
      </c>
      <c r="M22" s="2"/>
      <c r="N22" s="22">
        <f t="shared" si="1"/>
        <v>0</v>
      </c>
      <c r="O22" s="11"/>
      <c r="P22" s="2">
        <f>--237</f>
        <v>237</v>
      </c>
      <c r="Q22" s="2"/>
      <c r="R22" s="22"/>
      <c r="S22" s="2"/>
      <c r="T22" s="2"/>
      <c r="U22" s="2"/>
      <c r="V22" s="22"/>
      <c r="W22" s="2"/>
      <c r="X22" s="2">
        <f t="shared" si="2"/>
        <v>237</v>
      </c>
      <c r="Y22" s="2"/>
      <c r="Z22" s="22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5" t="s">
        <v>8</v>
      </c>
      <c r="C24" s="10"/>
      <c r="D24" s="4">
        <f>SUM(OSRRefD16x_0)</f>
        <v>25266.32</v>
      </c>
      <c r="E24" s="4"/>
      <c r="F24" s="12">
        <f t="shared" ref="F24:F27" si="4">IF(D$12=0,0,D24/D$12)</f>
        <v>0.42951714017897846</v>
      </c>
      <c r="G24" s="4"/>
      <c r="H24" s="4">
        <f>SUM(OSRRefH16x_0)</f>
        <v>28788</v>
      </c>
      <c r="I24" s="4"/>
      <c r="J24" s="12">
        <f t="shared" ref="J24:J27" si="5">IF(H$12=0,0,H24/H$12)</f>
        <v>0.48112952124370345</v>
      </c>
      <c r="K24" s="4"/>
      <c r="L24" s="4">
        <f t="shared" ref="L24:L27" si="6">+D24-H24</f>
        <v>-3521.6800000000003</v>
      </c>
      <c r="M24" s="4"/>
      <c r="N24" s="12">
        <f t="shared" ref="N24:N27" si="7">IF(H24=0,0,L24/H24)</f>
        <v>-0.12233152702514938</v>
      </c>
      <c r="O24" s="10"/>
      <c r="P24" s="4">
        <f>SUM(OSRRefP16x_0)</f>
        <v>25266.32</v>
      </c>
      <c r="Q24" s="4"/>
      <c r="R24" s="12">
        <f t="shared" ref="R24:R27" si="8">IF(P$12=0,0,P24/P$12)</f>
        <v>0.42951714017897846</v>
      </c>
      <c r="S24" s="4"/>
      <c r="T24" s="4">
        <f>SUM(OSRRefT16x_0)</f>
        <v>28788</v>
      </c>
      <c r="U24" s="4"/>
      <c r="V24" s="12">
        <f t="shared" ref="V24:V27" si="9">IF(T$12=0,0,T24/T$12)</f>
        <v>0.48112952124370345</v>
      </c>
      <c r="W24" s="4"/>
      <c r="X24" s="4">
        <f t="shared" ref="X24:X27" si="10">+P24-T24</f>
        <v>-3521.6800000000003</v>
      </c>
      <c r="Y24" s="4"/>
      <c r="Z24" s="12">
        <f t="shared" ref="Z24:Z27" si="11">IF(T24=0,0,X24/T24)</f>
        <v>-0.12233152702514938</v>
      </c>
    </row>
    <row r="25" spans="1:26" s="24" customFormat="1" hidden="1" outlineLevel="1" x14ac:dyDescent="0.25">
      <c r="A25" s="51"/>
      <c r="B25" s="11" t="str">
        <f>CONCATENATE("          ", "5000", " - ", "PURCHASES @ COST")</f>
        <v xml:space="preserve">          5000 - PURCHASES @ COST</v>
      </c>
      <c r="C25" s="11"/>
      <c r="D25" s="2"/>
      <c r="E25" s="2"/>
      <c r="F25" s="22">
        <f t="shared" si="4"/>
        <v>0</v>
      </c>
      <c r="G25" s="2"/>
      <c r="H25" s="2">
        <v>28788</v>
      </c>
      <c r="I25" s="2"/>
      <c r="J25" s="22">
        <f t="shared" si="5"/>
        <v>0.48112952124370345</v>
      </c>
      <c r="K25" s="2"/>
      <c r="L25" s="2">
        <f t="shared" si="6"/>
        <v>-28788</v>
      </c>
      <c r="M25" s="2"/>
      <c r="N25" s="22">
        <f t="shared" si="7"/>
        <v>-1</v>
      </c>
      <c r="O25" s="11"/>
      <c r="P25" s="2"/>
      <c r="Q25" s="2"/>
      <c r="R25" s="22">
        <f t="shared" si="8"/>
        <v>0</v>
      </c>
      <c r="S25" s="2"/>
      <c r="T25" s="2">
        <v>28788</v>
      </c>
      <c r="U25" s="2"/>
      <c r="V25" s="22">
        <f t="shared" si="9"/>
        <v>0.48112952124370345</v>
      </c>
      <c r="W25" s="2"/>
      <c r="X25" s="2">
        <f t="shared" si="10"/>
        <v>-28788</v>
      </c>
      <c r="Y25" s="2"/>
      <c r="Z25" s="22">
        <f t="shared" si="11"/>
        <v>-1</v>
      </c>
    </row>
    <row r="26" spans="1:26" s="24" customFormat="1" hidden="1" outlineLevel="1" x14ac:dyDescent="0.25">
      <c r="A26" s="51"/>
      <c r="B26" s="11" t="str">
        <f>CONCATENATE("          ", "5053", " - ", "PURCHASES @ COST-FOOD")</f>
        <v xml:space="preserve">          5053 - PURCHASES @ COST-FOOD</v>
      </c>
      <c r="C26" s="11"/>
      <c r="D26" s="2">
        <v>41557.07</v>
      </c>
      <c r="E26" s="2"/>
      <c r="F26" s="22">
        <f t="shared" si="4"/>
        <v>0.70645324925108288</v>
      </c>
      <c r="G26" s="2"/>
      <c r="H26" s="2"/>
      <c r="I26" s="2"/>
      <c r="J26" s="22">
        <f t="shared" si="5"/>
        <v>0</v>
      </c>
      <c r="K26" s="2"/>
      <c r="L26" s="2">
        <f t="shared" si="6"/>
        <v>41557.07</v>
      </c>
      <c r="M26" s="2"/>
      <c r="N26" s="22">
        <f t="shared" si="7"/>
        <v>0</v>
      </c>
      <c r="O26" s="11"/>
      <c r="P26" s="2">
        <v>41557.07</v>
      </c>
      <c r="Q26" s="2"/>
      <c r="R26" s="22">
        <f t="shared" si="8"/>
        <v>0.70645324925108288</v>
      </c>
      <c r="S26" s="2"/>
      <c r="T26" s="2"/>
      <c r="U26" s="2"/>
      <c r="V26" s="22">
        <f t="shared" si="9"/>
        <v>0</v>
      </c>
      <c r="W26" s="2"/>
      <c r="X26" s="2">
        <f t="shared" si="10"/>
        <v>41557.07</v>
      </c>
      <c r="Y26" s="2"/>
      <c r="Z26" s="22">
        <f t="shared" si="11"/>
        <v>0</v>
      </c>
    </row>
    <row r="27" spans="1:26" s="24" customFormat="1" hidden="1" outlineLevel="1" x14ac:dyDescent="0.25">
      <c r="A27" s="51"/>
      <c r="B27" s="11" t="str">
        <f>CONCATENATE("          ", "5059", " - ", "PURCHASES @ COST-FOOD")</f>
        <v xml:space="preserve">          5059 - PURCHASES @ COST-FOOD</v>
      </c>
      <c r="C27" s="11"/>
      <c r="D27" s="2">
        <v>-16290.750000000002</v>
      </c>
      <c r="E27" s="2"/>
      <c r="F27" s="22">
        <f t="shared" si="4"/>
        <v>-0.27693610907210447</v>
      </c>
      <c r="G27" s="2"/>
      <c r="H27" s="2"/>
      <c r="I27" s="2"/>
      <c r="J27" s="22">
        <f t="shared" si="5"/>
        <v>0</v>
      </c>
      <c r="K27" s="2"/>
      <c r="L27" s="2">
        <f t="shared" si="6"/>
        <v>-16290.750000000002</v>
      </c>
      <c r="M27" s="2"/>
      <c r="N27" s="22">
        <f t="shared" si="7"/>
        <v>0</v>
      </c>
      <c r="O27" s="11"/>
      <c r="P27" s="2">
        <v>-16290.750000000002</v>
      </c>
      <c r="Q27" s="2"/>
      <c r="R27" s="22">
        <f t="shared" si="8"/>
        <v>-0.27693610907210447</v>
      </c>
      <c r="S27" s="2"/>
      <c r="T27" s="2"/>
      <c r="U27" s="2"/>
      <c r="V27" s="22">
        <f t="shared" si="9"/>
        <v>0</v>
      </c>
      <c r="W27" s="2"/>
      <c r="X27" s="2">
        <f t="shared" si="10"/>
        <v>-16290.750000000002</v>
      </c>
      <c r="Y27" s="2"/>
      <c r="Z27" s="22">
        <f t="shared" si="11"/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6" t="s">
        <v>6</v>
      </c>
      <c r="C29" s="26"/>
      <c r="D29" s="21">
        <f>D12-D24</f>
        <v>33558.620000000003</v>
      </c>
      <c r="E29" s="13"/>
      <c r="F29" s="19">
        <f>IF(D$12=0,0,D29/D$12)</f>
        <v>0.57048285982102154</v>
      </c>
      <c r="G29" s="13"/>
      <c r="H29" s="21">
        <f>H12-H24</f>
        <v>31046.199999999997</v>
      </c>
      <c r="I29" s="13"/>
      <c r="J29" s="19">
        <f>IF(H$12=0,0,H29/H$12)</f>
        <v>0.51887047875629655</v>
      </c>
      <c r="K29" s="15"/>
      <c r="L29" s="21">
        <f>+D29-H29</f>
        <v>2512.4200000000055</v>
      </c>
      <c r="M29" s="15"/>
      <c r="N29" s="19">
        <f>IF(H29=0,0,L29/H29)</f>
        <v>8.09252017960332E-2</v>
      </c>
      <c r="O29" s="25"/>
      <c r="P29" s="21">
        <f>P12-P24</f>
        <v>33558.620000000003</v>
      </c>
      <c r="Q29" s="13"/>
      <c r="R29" s="19">
        <f>IF(P$12=0,0,P29/P$12)</f>
        <v>0.57048285982102154</v>
      </c>
      <c r="S29" s="13"/>
      <c r="T29" s="21">
        <f>T12-T24</f>
        <v>31046.199999999997</v>
      </c>
      <c r="U29" s="13"/>
      <c r="V29" s="19">
        <f>IF(T$12=0,0,T29/T$12)</f>
        <v>0.51887047875629655</v>
      </c>
      <c r="W29" s="15"/>
      <c r="X29" s="21">
        <f>+P29-T29</f>
        <v>2512.4200000000055</v>
      </c>
      <c r="Y29" s="15"/>
      <c r="Z29" s="19">
        <f>IF(T29=0,0,X29/T29)</f>
        <v>8.09252017960332E-2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5" t="s">
        <v>9</v>
      </c>
      <c r="C31" s="10"/>
      <c r="D31" s="20">
        <f>SUM(OSRRefD22x_0)</f>
        <v>84723.679999999978</v>
      </c>
      <c r="E31" s="20"/>
      <c r="F31" s="30">
        <f t="shared" ref="F31:F41" si="12">IF(D$12=0,0,D31/D$12)</f>
        <v>1.440268022372823</v>
      </c>
      <c r="G31" s="20"/>
      <c r="H31" s="20">
        <f>SUM(OSRRefH22x_0)</f>
        <v>74630.270291423076</v>
      </c>
      <c r="I31" s="20"/>
      <c r="J31" s="30">
        <f t="shared" ref="J31:J41" si="13">IF(H$12=0,0,H31/H$12)</f>
        <v>1.2472845010282261</v>
      </c>
      <c r="K31" s="4"/>
      <c r="L31" s="20">
        <f t="shared" ref="L31:L41" si="14">+D31-H31</f>
        <v>10093.409708576903</v>
      </c>
      <c r="M31" s="4"/>
      <c r="N31" s="30">
        <f t="shared" ref="N31:N41" si="15">IF(H31=0,0,L31/H31)</f>
        <v>0.1352455199366589</v>
      </c>
      <c r="O31" s="10"/>
      <c r="P31" s="20">
        <f>SUM(OSRRefP22x_0)</f>
        <v>84723.679999999978</v>
      </c>
      <c r="Q31" s="20"/>
      <c r="R31" s="30">
        <f t="shared" ref="R31:R41" si="16">IF(P$12=0,0,P31/P$12)</f>
        <v>1.440268022372823</v>
      </c>
      <c r="S31" s="20"/>
      <c r="T31" s="20">
        <f>SUM(OSRRefT22x_0)</f>
        <v>74630.270291423076</v>
      </c>
      <c r="U31" s="20"/>
      <c r="V31" s="30">
        <f t="shared" ref="V31:V41" si="17">IF(T$12=0,0,T31/T$12)</f>
        <v>1.2472845010282261</v>
      </c>
      <c r="W31" s="4"/>
      <c r="X31" s="20">
        <f t="shared" ref="X31:X41" si="18">+P31-T31</f>
        <v>10093.409708576903</v>
      </c>
      <c r="Y31" s="4"/>
      <c r="Z31" s="30">
        <f t="shared" ref="Z31:Z41" si="19">IF(T31=0,0,X31/T31)</f>
        <v>0.1352455199366589</v>
      </c>
    </row>
    <row r="32" spans="1:26" s="27" customFormat="1" outlineLevel="1" collapsed="1" x14ac:dyDescent="0.25">
      <c r="A32" s="28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SUM(OSRRefD22_0x_0)</f>
        <v>14450.750000000002</v>
      </c>
      <c r="E32" s="1"/>
      <c r="F32" s="5">
        <f t="shared" si="12"/>
        <v>0.24565685914851765</v>
      </c>
      <c r="G32" s="1"/>
      <c r="H32" s="1">
        <f>SUM(OSRRefH22_0x_0)</f>
        <v>13338.042214500003</v>
      </c>
      <c r="I32" s="1"/>
      <c r="J32" s="5">
        <f t="shared" si="13"/>
        <v>0.22291669671358527</v>
      </c>
      <c r="K32" s="1"/>
      <c r="L32" s="1">
        <f t="shared" si="14"/>
        <v>1112.7077854999989</v>
      </c>
      <c r="M32" s="1"/>
      <c r="N32" s="5">
        <f t="shared" si="15"/>
        <v>8.3423621518483135E-2</v>
      </c>
      <c r="O32" s="14"/>
      <c r="P32" s="1">
        <f>SUM(OSRRefP22_0x_0)</f>
        <v>14450.750000000002</v>
      </c>
      <c r="Q32" s="1"/>
      <c r="R32" s="5">
        <f t="shared" si="16"/>
        <v>0.24565685914851765</v>
      </c>
      <c r="S32" s="1"/>
      <c r="T32" s="1">
        <f>SUM(OSRRefT22_0x_0)</f>
        <v>13338.042214500003</v>
      </c>
      <c r="U32" s="1"/>
      <c r="V32" s="5">
        <f t="shared" si="17"/>
        <v>0.22291669671358527</v>
      </c>
      <c r="W32" s="1"/>
      <c r="X32" s="1">
        <f t="shared" si="18"/>
        <v>1112.7077854999989</v>
      </c>
      <c r="Y32" s="1"/>
      <c r="Z32" s="5">
        <f t="shared" si="19"/>
        <v>8.3423621518483135E-2</v>
      </c>
    </row>
    <row r="33" spans="1:26" s="24" customFormat="1" hidden="1" outlineLevel="2" x14ac:dyDescent="0.25">
      <c r="A33" s="29"/>
      <c r="B33" s="11" t="str">
        <f>CONCATENATE("          ", "6111", " - ", "F.I.C.A.")</f>
        <v xml:space="preserve">          6111 - F.I.C.A.</v>
      </c>
      <c r="C33" s="11"/>
      <c r="D33" s="7">
        <v>2207.41</v>
      </c>
      <c r="E33" s="2"/>
      <c r="F33" s="6">
        <f t="shared" si="12"/>
        <v>3.7525070148817827E-2</v>
      </c>
      <c r="G33" s="2"/>
      <c r="H33" s="7">
        <v>2782.2272514230772</v>
      </c>
      <c r="I33" s="2"/>
      <c r="J33" s="6">
        <f t="shared" si="13"/>
        <v>4.6498946278601155E-2</v>
      </c>
      <c r="K33" s="2"/>
      <c r="L33" s="7">
        <f t="shared" si="14"/>
        <v>-574.81725142307732</v>
      </c>
      <c r="M33" s="2"/>
      <c r="N33" s="6">
        <f t="shared" si="15"/>
        <v>-0.20660327122058952</v>
      </c>
      <c r="O33" s="11"/>
      <c r="P33" s="7">
        <v>2207.41</v>
      </c>
      <c r="Q33" s="2"/>
      <c r="R33" s="6">
        <f t="shared" si="16"/>
        <v>3.7525070148817827E-2</v>
      </c>
      <c r="S33" s="2"/>
      <c r="T33" s="7">
        <v>2782.2272514230772</v>
      </c>
      <c r="U33" s="2"/>
      <c r="V33" s="6">
        <f t="shared" si="17"/>
        <v>4.6498946278601155E-2</v>
      </c>
      <c r="W33" s="2"/>
      <c r="X33" s="7">
        <f t="shared" si="18"/>
        <v>-574.81725142307732</v>
      </c>
      <c r="Y33" s="2"/>
      <c r="Z33" s="6">
        <f t="shared" si="19"/>
        <v>-0.20660327122058952</v>
      </c>
    </row>
    <row r="34" spans="1:26" s="24" customFormat="1" hidden="1" outlineLevel="2" x14ac:dyDescent="0.25">
      <c r="A34" s="29"/>
      <c r="B34" s="11" t="str">
        <f>CONCATENATE("          ", "6112", " - ", "COMPENSATION INSURANCE")</f>
        <v xml:space="preserve">          6112 - COMPENSATION INSURANCE</v>
      </c>
      <c r="C34" s="11"/>
      <c r="D34" s="7">
        <v>697.59</v>
      </c>
      <c r="E34" s="2"/>
      <c r="F34" s="6">
        <f t="shared" si="12"/>
        <v>1.1858745627279859E-2</v>
      </c>
      <c r="G34" s="2"/>
      <c r="H34" s="7">
        <v>690.73981153846182</v>
      </c>
      <c r="I34" s="2"/>
      <c r="J34" s="6">
        <f t="shared" si="13"/>
        <v>1.1544230749946717E-2</v>
      </c>
      <c r="K34" s="2"/>
      <c r="L34" s="7">
        <f t="shared" si="14"/>
        <v>6.8501884615382096</v>
      </c>
      <c r="M34" s="2"/>
      <c r="N34" s="6">
        <f t="shared" si="15"/>
        <v>9.9171762610309258E-3</v>
      </c>
      <c r="O34" s="11"/>
      <c r="P34" s="7">
        <v>697.59</v>
      </c>
      <c r="Q34" s="2"/>
      <c r="R34" s="6">
        <f t="shared" si="16"/>
        <v>1.1858745627279859E-2</v>
      </c>
      <c r="S34" s="2"/>
      <c r="T34" s="7">
        <v>690.73981153846182</v>
      </c>
      <c r="U34" s="2"/>
      <c r="V34" s="6">
        <f t="shared" si="17"/>
        <v>1.1544230749946717E-2</v>
      </c>
      <c r="W34" s="2"/>
      <c r="X34" s="7">
        <f t="shared" si="18"/>
        <v>6.8501884615382096</v>
      </c>
      <c r="Y34" s="2"/>
      <c r="Z34" s="6">
        <f t="shared" si="19"/>
        <v>9.9171762610309258E-3</v>
      </c>
    </row>
    <row r="35" spans="1:26" s="24" customFormat="1" hidden="1" outlineLevel="2" x14ac:dyDescent="0.25">
      <c r="A35" s="29"/>
      <c r="B35" s="11" t="str">
        <f>CONCATENATE("          ", "6113", " - ", "GROUP INSURANCE")</f>
        <v xml:space="preserve">          6113 - GROUP INSURANCE</v>
      </c>
      <c r="C35" s="11"/>
      <c r="D35" s="7">
        <v>6845.82</v>
      </c>
      <c r="E35" s="2"/>
      <c r="F35" s="6">
        <f t="shared" si="12"/>
        <v>0.11637614929993978</v>
      </c>
      <c r="G35" s="2"/>
      <c r="H35" s="7">
        <v>5998</v>
      </c>
      <c r="I35" s="2"/>
      <c r="J35" s="6">
        <f t="shared" si="13"/>
        <v>0.10024367335069242</v>
      </c>
      <c r="K35" s="2"/>
      <c r="L35" s="7">
        <f t="shared" si="14"/>
        <v>847.81999999999971</v>
      </c>
      <c r="M35" s="2"/>
      <c r="N35" s="6">
        <f t="shared" si="15"/>
        <v>0.14135045015004996</v>
      </c>
      <c r="O35" s="11"/>
      <c r="P35" s="7">
        <v>6845.82</v>
      </c>
      <c r="Q35" s="2"/>
      <c r="R35" s="6">
        <f t="shared" si="16"/>
        <v>0.11637614929993978</v>
      </c>
      <c r="S35" s="2"/>
      <c r="T35" s="7">
        <v>5998</v>
      </c>
      <c r="U35" s="2"/>
      <c r="V35" s="6">
        <f t="shared" si="17"/>
        <v>0.10024367335069242</v>
      </c>
      <c r="W35" s="2"/>
      <c r="X35" s="7">
        <f t="shared" si="18"/>
        <v>847.81999999999971</v>
      </c>
      <c r="Y35" s="2"/>
      <c r="Z35" s="6">
        <f t="shared" si="19"/>
        <v>0.14135045015004996</v>
      </c>
    </row>
    <row r="36" spans="1:26" s="24" customFormat="1" hidden="1" outlineLevel="2" x14ac:dyDescent="0.25">
      <c r="A36" s="29"/>
      <c r="B36" s="11" t="str">
        <f>CONCATENATE("          ", "6114", " - ", "STATE UNEMPLOYMENT INSURANCE")</f>
        <v xml:space="preserve">          6114 - STATE UNEMPLOYMENT INSURANCE</v>
      </c>
      <c r="C36" s="11"/>
      <c r="D36" s="7">
        <v>78.430000000000007</v>
      </c>
      <c r="E36" s="2"/>
      <c r="F36" s="6">
        <f t="shared" si="12"/>
        <v>1.3332780279928888E-3</v>
      </c>
      <c r="G36" s="2"/>
      <c r="H36" s="7">
        <v>94.522289999999998</v>
      </c>
      <c r="I36" s="2"/>
      <c r="J36" s="6">
        <f t="shared" si="13"/>
        <v>1.5797368394663922E-3</v>
      </c>
      <c r="K36" s="2"/>
      <c r="L36" s="7">
        <f t="shared" si="14"/>
        <v>-16.092289999999991</v>
      </c>
      <c r="M36" s="2"/>
      <c r="N36" s="6">
        <f t="shared" si="15"/>
        <v>-0.17024862601191731</v>
      </c>
      <c r="O36" s="11"/>
      <c r="P36" s="7">
        <v>78.430000000000007</v>
      </c>
      <c r="Q36" s="2"/>
      <c r="R36" s="6">
        <f t="shared" si="16"/>
        <v>1.3332780279928888E-3</v>
      </c>
      <c r="S36" s="2"/>
      <c r="T36" s="7">
        <v>94.522289999999998</v>
      </c>
      <c r="U36" s="2"/>
      <c r="V36" s="6">
        <f t="shared" si="17"/>
        <v>1.5797368394663922E-3</v>
      </c>
      <c r="W36" s="2"/>
      <c r="X36" s="7">
        <f t="shared" si="18"/>
        <v>-16.092289999999991</v>
      </c>
      <c r="Y36" s="2"/>
      <c r="Z36" s="6">
        <f t="shared" si="19"/>
        <v>-0.17024862601191731</v>
      </c>
    </row>
    <row r="37" spans="1:26" s="24" customFormat="1" hidden="1" outlineLevel="2" x14ac:dyDescent="0.25">
      <c r="A37" s="29"/>
      <c r="B37" s="11" t="str">
        <f>CONCATENATE("          ", "6115", " - ", "P.E.R.S.")</f>
        <v xml:space="preserve">          6115 - P.E.R.S.</v>
      </c>
      <c r="C37" s="11"/>
      <c r="D37" s="7">
        <v>1497.9</v>
      </c>
      <c r="E37" s="2"/>
      <c r="F37" s="6">
        <f t="shared" si="12"/>
        <v>2.5463689380728651E-2</v>
      </c>
      <c r="G37" s="2"/>
      <c r="H37" s="7">
        <v>1873.9165153846161</v>
      </c>
      <c r="I37" s="2"/>
      <c r="J37" s="6">
        <f t="shared" si="13"/>
        <v>3.1318485337559723E-2</v>
      </c>
      <c r="K37" s="2"/>
      <c r="L37" s="7">
        <f t="shared" si="14"/>
        <v>-376.01651538461601</v>
      </c>
      <c r="M37" s="2"/>
      <c r="N37" s="6">
        <f t="shared" si="15"/>
        <v>-0.20065809351567601</v>
      </c>
      <c r="O37" s="11"/>
      <c r="P37" s="7">
        <v>1497.9</v>
      </c>
      <c r="Q37" s="2"/>
      <c r="R37" s="6">
        <f t="shared" si="16"/>
        <v>2.5463689380728651E-2</v>
      </c>
      <c r="S37" s="2"/>
      <c r="T37" s="7">
        <v>1873.9165153846161</v>
      </c>
      <c r="U37" s="2"/>
      <c r="V37" s="6">
        <f t="shared" si="17"/>
        <v>3.1318485337559723E-2</v>
      </c>
      <c r="W37" s="2"/>
      <c r="X37" s="7">
        <f t="shared" si="18"/>
        <v>-376.01651538461601</v>
      </c>
      <c r="Y37" s="2"/>
      <c r="Z37" s="6">
        <f t="shared" si="19"/>
        <v>-0.20065809351567601</v>
      </c>
    </row>
    <row r="38" spans="1:26" s="24" customFormat="1" hidden="1" outlineLevel="2" x14ac:dyDescent="0.25">
      <c r="A38" s="29"/>
      <c r="B38" s="11" t="str">
        <f>CONCATENATE("          ", "6116", " - ", "EDUCATIONAL BENEFITS")</f>
        <v xml:space="preserve">          6116 - EDUCATIONAL BENEFITS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9"/>
      <c r="B39" s="11" t="str">
        <f>CONCATENATE("          ", "6118", " - ", "VACATION")</f>
        <v xml:space="preserve">          6118 - VACATION</v>
      </c>
      <c r="C39" s="11"/>
      <c r="D39" s="7">
        <v>1365.87</v>
      </c>
      <c r="E39" s="2"/>
      <c r="F39" s="6">
        <f t="shared" si="12"/>
        <v>2.3219233202787796E-2</v>
      </c>
      <c r="G39" s="2"/>
      <c r="H39" s="7">
        <v>785.78911538461557</v>
      </c>
      <c r="I39" s="2"/>
      <c r="J39" s="6">
        <f t="shared" si="13"/>
        <v>1.3132775492688389E-2</v>
      </c>
      <c r="K39" s="2"/>
      <c r="L39" s="7">
        <f t="shared" si="14"/>
        <v>580.08088461538432</v>
      </c>
      <c r="M39" s="2"/>
      <c r="N39" s="6">
        <f t="shared" si="15"/>
        <v>0.7382144563448878</v>
      </c>
      <c r="O39" s="11"/>
      <c r="P39" s="7">
        <v>1365.87</v>
      </c>
      <c r="Q39" s="2"/>
      <c r="R39" s="6">
        <f t="shared" si="16"/>
        <v>2.3219233202787796E-2</v>
      </c>
      <c r="S39" s="2"/>
      <c r="T39" s="7">
        <v>785.78911538461557</v>
      </c>
      <c r="U39" s="2"/>
      <c r="V39" s="6">
        <f t="shared" si="17"/>
        <v>1.3132775492688389E-2</v>
      </c>
      <c r="W39" s="2"/>
      <c r="X39" s="7">
        <f t="shared" si="18"/>
        <v>580.08088461538432</v>
      </c>
      <c r="Y39" s="2"/>
      <c r="Z39" s="6">
        <f t="shared" si="19"/>
        <v>0.7382144563448878</v>
      </c>
    </row>
    <row r="40" spans="1:26" s="24" customFormat="1" hidden="1" outlineLevel="2" x14ac:dyDescent="0.25">
      <c r="A40" s="29"/>
      <c r="B40" s="11" t="str">
        <f>CONCATENATE("          ", "6119", " - ", "SICK LEAVE")</f>
        <v xml:space="preserve">          6119 - SICK LEAVE</v>
      </c>
      <c r="C40" s="11"/>
      <c r="D40" s="7">
        <v>1192.54</v>
      </c>
      <c r="E40" s="2"/>
      <c r="F40" s="6">
        <f t="shared" si="12"/>
        <v>2.0272693860801216E-2</v>
      </c>
      <c r="G40" s="2"/>
      <c r="H40" s="7">
        <v>987.84723076923103</v>
      </c>
      <c r="I40" s="2"/>
      <c r="J40" s="6">
        <f t="shared" si="13"/>
        <v>1.6509742434414283E-2</v>
      </c>
      <c r="K40" s="2"/>
      <c r="L40" s="7">
        <f t="shared" si="14"/>
        <v>204.69276923076893</v>
      </c>
      <c r="M40" s="2"/>
      <c r="N40" s="6">
        <f t="shared" si="15"/>
        <v>0.20721095616310614</v>
      </c>
      <c r="O40" s="11"/>
      <c r="P40" s="7">
        <v>1192.54</v>
      </c>
      <c r="Q40" s="2"/>
      <c r="R40" s="6">
        <f t="shared" si="16"/>
        <v>2.0272693860801216E-2</v>
      </c>
      <c r="S40" s="2"/>
      <c r="T40" s="7">
        <v>987.84723076923103</v>
      </c>
      <c r="U40" s="2"/>
      <c r="V40" s="6">
        <f t="shared" si="17"/>
        <v>1.6509742434414283E-2</v>
      </c>
      <c r="W40" s="2"/>
      <c r="X40" s="7">
        <f t="shared" si="18"/>
        <v>204.69276923076893</v>
      </c>
      <c r="Y40" s="2"/>
      <c r="Z40" s="6">
        <f t="shared" si="19"/>
        <v>0.20721095616310614</v>
      </c>
    </row>
    <row r="41" spans="1:26" s="24" customFormat="1" hidden="1" outlineLevel="2" x14ac:dyDescent="0.25">
      <c r="A41" s="29"/>
      <c r="B41" s="11" t="str">
        <f>CONCATENATE("          ", "6156", " - ", "EMPLOYEE MEALS")</f>
        <v xml:space="preserve">          6156 - EMPLOYEE MEALS</v>
      </c>
      <c r="C41" s="11"/>
      <c r="D41" s="7">
        <v>565.19000000000005</v>
      </c>
      <c r="E41" s="2"/>
      <c r="F41" s="6">
        <f t="shared" si="12"/>
        <v>9.6079996001695884E-3</v>
      </c>
      <c r="G41" s="2"/>
      <c r="H41" s="7">
        <v>125</v>
      </c>
      <c r="I41" s="2"/>
      <c r="J41" s="6">
        <f t="shared" si="13"/>
        <v>2.0891062302161641E-3</v>
      </c>
      <c r="K41" s="2"/>
      <c r="L41" s="7">
        <f t="shared" si="14"/>
        <v>440.19000000000005</v>
      </c>
      <c r="M41" s="2"/>
      <c r="N41" s="6">
        <f t="shared" si="15"/>
        <v>3.5215200000000006</v>
      </c>
      <c r="O41" s="11"/>
      <c r="P41" s="7">
        <v>565.19000000000005</v>
      </c>
      <c r="Q41" s="2"/>
      <c r="R41" s="6">
        <f t="shared" si="16"/>
        <v>9.6079996001695884E-3</v>
      </c>
      <c r="S41" s="2"/>
      <c r="T41" s="7">
        <v>125</v>
      </c>
      <c r="U41" s="2"/>
      <c r="V41" s="6">
        <f t="shared" si="17"/>
        <v>2.0891062302161641E-3</v>
      </c>
      <c r="W41" s="2"/>
      <c r="X41" s="7">
        <f t="shared" si="18"/>
        <v>440.19000000000005</v>
      </c>
      <c r="Y41" s="2"/>
      <c r="Z41" s="6">
        <f t="shared" si="19"/>
        <v>3.5215200000000006</v>
      </c>
    </row>
    <row r="42" spans="1:26" s="27" customFormat="1" outlineLevel="1" collapsed="1" x14ac:dyDescent="0.25">
      <c r="A42" s="28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37768.549999999996</v>
      </c>
      <c r="E42" s="1"/>
      <c r="F42" s="5">
        <f t="shared" ref="F42:F52" si="20">IF(D$12=0,0,D42/D$12)</f>
        <v>0.64204995364211159</v>
      </c>
      <c r="G42" s="1"/>
      <c r="H42" s="1">
        <f>SUM(OSRRefH22_1x_0)</f>
        <v>34970.228076923086</v>
      </c>
      <c r="I42" s="1"/>
      <c r="J42" s="5">
        <f t="shared" ref="J42:J52" si="21">IF(H$12=0,0,H42/H$12)</f>
        <v>0.58445217078064193</v>
      </c>
      <c r="K42" s="1"/>
      <c r="L42" s="1">
        <f t="shared" ref="L42:L52" si="22">+D42-H42</f>
        <v>2798.32192307691</v>
      </c>
      <c r="M42" s="1"/>
      <c r="N42" s="5">
        <f t="shared" ref="N42:N52" si="23">IF(H42=0,0,L42/H42)</f>
        <v>8.0020122171394342E-2</v>
      </c>
      <c r="O42" s="14"/>
      <c r="P42" s="1">
        <f>SUM(OSRRefP22_1x_0)</f>
        <v>37768.549999999996</v>
      </c>
      <c r="Q42" s="1"/>
      <c r="R42" s="5">
        <f t="shared" ref="R42:R52" si="24">IF(P$12=0,0,P42/P$12)</f>
        <v>0.64204995364211159</v>
      </c>
      <c r="S42" s="1"/>
      <c r="T42" s="1">
        <f>SUM(OSRRefT22_1x_0)</f>
        <v>34970.228076923086</v>
      </c>
      <c r="U42" s="1"/>
      <c r="V42" s="5">
        <f t="shared" ref="V42:V52" si="25">IF(T$12=0,0,T42/T$12)</f>
        <v>0.58445217078064193</v>
      </c>
      <c r="W42" s="1"/>
      <c r="X42" s="1">
        <f t="shared" ref="X42:X52" si="26">+P42-T42</f>
        <v>2798.32192307691</v>
      </c>
      <c r="Y42" s="1"/>
      <c r="Z42" s="5">
        <f t="shared" ref="Z42:Z52" si="27">IF(T42=0,0,X42/T42)</f>
        <v>8.0020122171394342E-2</v>
      </c>
    </row>
    <row r="43" spans="1:26" s="24" customFormat="1" hidden="1" outlineLevel="2" x14ac:dyDescent="0.25">
      <c r="A43" s="29"/>
      <c r="B43" s="11" t="str">
        <f>CONCATENATE("          ", "6001", " - ", "ADMINISTRATIVE SALARIES")</f>
        <v xml:space="preserve">          6001 - ADMINISTRATIVE SALARIES</v>
      </c>
      <c r="C43" s="11"/>
      <c r="D43" s="7"/>
      <c r="E43" s="2"/>
      <c r="F43" s="6">
        <f t="shared" si="20"/>
        <v>0</v>
      </c>
      <c r="G43" s="2"/>
      <c r="H43" s="7">
        <v>16003.440576923082</v>
      </c>
      <c r="I43" s="2"/>
      <c r="J43" s="6">
        <f t="shared" si="21"/>
        <v>0.26746309931315337</v>
      </c>
      <c r="K43" s="2"/>
      <c r="L43" s="7">
        <f t="shared" si="22"/>
        <v>-16003.440576923082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16003.440576923082</v>
      </c>
      <c r="U43" s="2"/>
      <c r="V43" s="6">
        <f t="shared" si="25"/>
        <v>0.26746309931315337</v>
      </c>
      <c r="W43" s="2"/>
      <c r="X43" s="7">
        <f t="shared" si="26"/>
        <v>-16003.440576923082</v>
      </c>
      <c r="Y43" s="2"/>
      <c r="Z43" s="6">
        <f t="shared" si="27"/>
        <v>-1</v>
      </c>
    </row>
    <row r="44" spans="1:26" s="24" customFormat="1" hidden="1" outlineLevel="2" x14ac:dyDescent="0.25">
      <c r="A44" s="29"/>
      <c r="B44" s="11" t="str">
        <f>CONCATENATE("          ", "6002", " - ", "STAFF SALARIES")</f>
        <v xml:space="preserve">          6002 - STAFF SALARIES</v>
      </c>
      <c r="C44" s="11"/>
      <c r="D44" s="7">
        <v>19284.04</v>
      </c>
      <c r="E44" s="2"/>
      <c r="F44" s="6">
        <f t="shared" si="20"/>
        <v>0.32782081885676384</v>
      </c>
      <c r="G44" s="2"/>
      <c r="H44" s="7">
        <v>4449.6000000000004</v>
      </c>
      <c r="I44" s="2"/>
      <c r="J44" s="6">
        <f t="shared" si="21"/>
        <v>7.4365496655758756E-2</v>
      </c>
      <c r="K44" s="2"/>
      <c r="L44" s="7">
        <f t="shared" si="22"/>
        <v>14834.44</v>
      </c>
      <c r="M44" s="2"/>
      <c r="N44" s="6">
        <f t="shared" si="23"/>
        <v>3.3338816972312117</v>
      </c>
      <c r="O44" s="11"/>
      <c r="P44" s="7">
        <v>19284.04</v>
      </c>
      <c r="Q44" s="2"/>
      <c r="R44" s="6">
        <f t="shared" si="24"/>
        <v>0.32782081885676384</v>
      </c>
      <c r="S44" s="2"/>
      <c r="T44" s="7">
        <v>4449.6000000000004</v>
      </c>
      <c r="U44" s="2"/>
      <c r="V44" s="6">
        <f t="shared" si="25"/>
        <v>7.4365496655758756E-2</v>
      </c>
      <c r="W44" s="2"/>
      <c r="X44" s="7">
        <f t="shared" si="26"/>
        <v>14834.44</v>
      </c>
      <c r="Y44" s="2"/>
      <c r="Z44" s="6">
        <f t="shared" si="27"/>
        <v>3.3338816972312117</v>
      </c>
    </row>
    <row r="45" spans="1:26" s="24" customFormat="1" hidden="1" outlineLevel="2" x14ac:dyDescent="0.25">
      <c r="A45" s="29"/>
      <c r="B45" s="11" t="str">
        <f>CONCATENATE("          ", "6003", " - ", "STAFF HOURLY-9 MONTH")</f>
        <v xml:space="preserve">          6003 - STAFF HOURLY-9 MONTH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"6004", " - ", "STAFF HOURLY")</f>
        <v xml:space="preserve">          6004 - STAFF HOURLY</v>
      </c>
      <c r="C46" s="11"/>
      <c r="D46" s="7"/>
      <c r="E46" s="2"/>
      <c r="F46" s="6">
        <f t="shared" si="20"/>
        <v>0</v>
      </c>
      <c r="G46" s="2"/>
      <c r="H46" s="7">
        <v>1931.25</v>
      </c>
      <c r="I46" s="2"/>
      <c r="J46" s="6">
        <f t="shared" si="21"/>
        <v>3.2276691256839733E-2</v>
      </c>
      <c r="K46" s="2"/>
      <c r="L46" s="7">
        <f t="shared" si="22"/>
        <v>-1931.25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1931.25</v>
      </c>
      <c r="U46" s="2"/>
      <c r="V46" s="6">
        <f t="shared" si="25"/>
        <v>3.2276691256839733E-2</v>
      </c>
      <c r="W46" s="2"/>
      <c r="X46" s="7">
        <f t="shared" si="26"/>
        <v>-1931.25</v>
      </c>
      <c r="Y46" s="2"/>
      <c r="Z46" s="6">
        <f t="shared" si="27"/>
        <v>-1</v>
      </c>
    </row>
    <row r="47" spans="1:26" s="24" customFormat="1" hidden="1" outlineLevel="2" x14ac:dyDescent="0.25">
      <c r="A47" s="29"/>
      <c r="B47" s="11" t="str">
        <f>CONCATENATE("          ", "6005", " - ", "TEMPORARY WAGES-HOURLY")</f>
        <v xml:space="preserve">          6005 - TEMPORARY WAGES-HOURLY</v>
      </c>
      <c r="C47" s="11"/>
      <c r="D47" s="7">
        <v>3457.41</v>
      </c>
      <c r="E47" s="2"/>
      <c r="F47" s="6">
        <f t="shared" si="20"/>
        <v>5.8774560586037139E-2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3457.41</v>
      </c>
      <c r="M47" s="2"/>
      <c r="N47" s="6">
        <f t="shared" si="23"/>
        <v>0</v>
      </c>
      <c r="O47" s="11"/>
      <c r="P47" s="7">
        <v>3457.41</v>
      </c>
      <c r="Q47" s="2"/>
      <c r="R47" s="6">
        <f t="shared" si="24"/>
        <v>5.8774560586037139E-2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3457.41</v>
      </c>
      <c r="Y47" s="2"/>
      <c r="Z47" s="6">
        <f t="shared" si="27"/>
        <v>0</v>
      </c>
    </row>
    <row r="48" spans="1:26" s="24" customFormat="1" hidden="1" outlineLevel="2" x14ac:dyDescent="0.25">
      <c r="A48" s="29"/>
      <c r="B48" s="11" t="str">
        <f>CONCATENATE("          ", "6006", " - ", "TEMPORARY PART TIME")</f>
        <v xml:space="preserve">          6006 - TEMPORARY PART TIME</v>
      </c>
      <c r="C48" s="11"/>
      <c r="D48" s="7">
        <v>726.75</v>
      </c>
      <c r="E48" s="2"/>
      <c r="F48" s="6">
        <f t="shared" si="20"/>
        <v>1.2354453740199309E-2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726.75</v>
      </c>
      <c r="M48" s="2"/>
      <c r="N48" s="6">
        <f t="shared" si="23"/>
        <v>0</v>
      </c>
      <c r="O48" s="11"/>
      <c r="P48" s="7">
        <v>726.75</v>
      </c>
      <c r="Q48" s="2"/>
      <c r="R48" s="6">
        <f t="shared" si="24"/>
        <v>1.2354453740199309E-2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726.75</v>
      </c>
      <c r="Y48" s="2"/>
      <c r="Z48" s="6">
        <f t="shared" si="27"/>
        <v>0</v>
      </c>
    </row>
    <row r="49" spans="1:26" s="24" customFormat="1" hidden="1" outlineLevel="2" x14ac:dyDescent="0.25">
      <c r="A49" s="29"/>
      <c r="B49" s="11" t="str">
        <f>CONCATENATE("          ", "6007", " - ", "STUDENT HOURLY")</f>
        <v xml:space="preserve">          6007 - STUDENT HOURLY</v>
      </c>
      <c r="C49" s="11"/>
      <c r="D49" s="7">
        <v>12507.75</v>
      </c>
      <c r="E49" s="2"/>
      <c r="F49" s="6">
        <f t="shared" si="20"/>
        <v>0.21262665121290392</v>
      </c>
      <c r="G49" s="2"/>
      <c r="H49" s="7">
        <v>12585.9375</v>
      </c>
      <c r="I49" s="2"/>
      <c r="J49" s="6">
        <f t="shared" si="21"/>
        <v>0.21034688355489004</v>
      </c>
      <c r="K49" s="2"/>
      <c r="L49" s="7">
        <f t="shared" si="22"/>
        <v>-78.1875</v>
      </c>
      <c r="M49" s="2"/>
      <c r="N49" s="6">
        <f t="shared" si="23"/>
        <v>-6.2122905027932962E-3</v>
      </c>
      <c r="O49" s="11"/>
      <c r="P49" s="7">
        <v>12507.75</v>
      </c>
      <c r="Q49" s="2"/>
      <c r="R49" s="6">
        <f t="shared" si="24"/>
        <v>0.21262665121290392</v>
      </c>
      <c r="S49" s="2"/>
      <c r="T49" s="7">
        <v>12585.9375</v>
      </c>
      <c r="U49" s="2"/>
      <c r="V49" s="6">
        <f t="shared" si="25"/>
        <v>0.21034688355489004</v>
      </c>
      <c r="W49" s="2"/>
      <c r="X49" s="7">
        <f t="shared" si="26"/>
        <v>-78.1875</v>
      </c>
      <c r="Y49" s="2"/>
      <c r="Z49" s="6">
        <f t="shared" si="27"/>
        <v>-6.2122905027932962E-3</v>
      </c>
    </row>
    <row r="50" spans="1:26" s="24" customFormat="1" hidden="1" outlineLevel="2" x14ac:dyDescent="0.25">
      <c r="A50" s="29"/>
      <c r="B50" s="11" t="str">
        <f>CONCATENATE("          ", "6008", " - ", "STUDENT HOURLY-FICA EXEMPT")</f>
        <v xml:space="preserve">          6008 - STUDENT HOURLY-FICA EXEMPT</v>
      </c>
      <c r="C50" s="11"/>
      <c r="D50" s="7">
        <v>1792.6</v>
      </c>
      <c r="E50" s="2"/>
      <c r="F50" s="6">
        <f t="shared" si="20"/>
        <v>3.0473469246207474E-2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1792.6</v>
      </c>
      <c r="M50" s="2"/>
      <c r="N50" s="6">
        <f t="shared" si="23"/>
        <v>0</v>
      </c>
      <c r="O50" s="11"/>
      <c r="P50" s="7">
        <v>1792.6</v>
      </c>
      <c r="Q50" s="2"/>
      <c r="R50" s="6">
        <f t="shared" si="24"/>
        <v>3.0473469246207474E-2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1792.6</v>
      </c>
      <c r="Y50" s="2"/>
      <c r="Z50" s="6">
        <f t="shared" si="27"/>
        <v>0</v>
      </c>
    </row>
    <row r="51" spans="1:26" s="24" customFormat="1" hidden="1" outlineLevel="2" x14ac:dyDescent="0.25">
      <c r="A51" s="29"/>
      <c r="B51" s="11" t="str">
        <f>CONCATENATE("          ", "6009", " - ", "TEMPORARY-SEASONAL")</f>
        <v xml:space="preserve">          6009 - TEMPORARY-SEASONAL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25">
      <c r="A52" s="29"/>
      <c r="B52" s="11" t="str">
        <f>CONCATENATE("          ", "6010", " - ", "GRATUITY")</f>
        <v xml:space="preserve">          6010 - GRATUITY</v>
      </c>
      <c r="C52" s="11"/>
      <c r="D52" s="7"/>
      <c r="E52" s="2"/>
      <c r="F52" s="6">
        <f t="shared" si="20"/>
        <v>0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0</v>
      </c>
      <c r="M52" s="2"/>
      <c r="N52" s="6">
        <f t="shared" si="23"/>
        <v>0</v>
      </c>
      <c r="O52" s="11"/>
      <c r="P52" s="7"/>
      <c r="Q52" s="2"/>
      <c r="R52" s="6">
        <f t="shared" si="24"/>
        <v>0</v>
      </c>
      <c r="S52" s="2"/>
      <c r="T52" s="7">
        <v>0</v>
      </c>
      <c r="U52" s="2"/>
      <c r="V52" s="6">
        <f t="shared" si="25"/>
        <v>0</v>
      </c>
      <c r="W52" s="2"/>
      <c r="X52" s="7">
        <f t="shared" si="26"/>
        <v>0</v>
      </c>
      <c r="Y52" s="2"/>
      <c r="Z52" s="6">
        <f t="shared" si="27"/>
        <v>0</v>
      </c>
    </row>
    <row r="53" spans="1:26" s="27" customFormat="1" outlineLevel="1" collapsed="1" x14ac:dyDescent="0.25">
      <c r="A53" s="28"/>
      <c r="B53" s="14" t="str">
        <f>CONCATENATE("     ","Advertising/Promo                                 ")</f>
        <v xml:space="preserve">     Advertising/Promo                                 </v>
      </c>
      <c r="C53" s="14"/>
      <c r="D53" s="1">
        <f>SUM(OSRRefD22_2x_0)</f>
        <v>399.62</v>
      </c>
      <c r="E53" s="1"/>
      <c r="F53" s="5">
        <f t="shared" ref="F53:F61" si="28">IF(D$12=0,0,D53/D$12)</f>
        <v>6.7933770948172658E-3</v>
      </c>
      <c r="G53" s="1"/>
      <c r="H53" s="1">
        <f>SUM(OSRRefH22_2x_0)</f>
        <v>75</v>
      </c>
      <c r="I53" s="1"/>
      <c r="J53" s="5">
        <f t="shared" ref="J53:J61" si="29">IF(H$12=0,0,H53/H$12)</f>
        <v>1.2534637381296984E-3</v>
      </c>
      <c r="K53" s="1"/>
      <c r="L53" s="1">
        <f t="shared" ref="L53:L61" si="30">+D53-H53</f>
        <v>324.62</v>
      </c>
      <c r="M53" s="1"/>
      <c r="N53" s="5">
        <f t="shared" ref="N53:N61" si="31">IF(H53=0,0,L53/H53)</f>
        <v>4.3282666666666669</v>
      </c>
      <c r="O53" s="14"/>
      <c r="P53" s="1">
        <f>SUM(OSRRefP22_2x_0)</f>
        <v>399.62</v>
      </c>
      <c r="Q53" s="1"/>
      <c r="R53" s="5">
        <f t="shared" ref="R53:R61" si="32">IF(P$12=0,0,P53/P$12)</f>
        <v>6.7933770948172658E-3</v>
      </c>
      <c r="S53" s="1"/>
      <c r="T53" s="1">
        <f>SUM(OSRRefT22_2x_0)</f>
        <v>75</v>
      </c>
      <c r="U53" s="1"/>
      <c r="V53" s="5">
        <f t="shared" ref="V53:V61" si="33">IF(T$12=0,0,T53/T$12)</f>
        <v>1.2534637381296984E-3</v>
      </c>
      <c r="W53" s="1"/>
      <c r="X53" s="1">
        <f t="shared" ref="X53:X61" si="34">+P53-T53</f>
        <v>324.62</v>
      </c>
      <c r="Y53" s="1"/>
      <c r="Z53" s="5">
        <f t="shared" ref="Z53:Z61" si="35">IF(T53=0,0,X53/T53)</f>
        <v>4.3282666666666669</v>
      </c>
    </row>
    <row r="54" spans="1:26" s="24" customFormat="1" hidden="1" outlineLevel="2" x14ac:dyDescent="0.25">
      <c r="A54" s="29"/>
      <c r="B54" s="11" t="str">
        <f>CONCATENATE("          ", "6362", " - ", "ADVERTISING EXPENSE")</f>
        <v xml:space="preserve">          6362 - ADVERTISING EXPENSE</v>
      </c>
      <c r="C54" s="11"/>
      <c r="D54" s="7">
        <v>399.62</v>
      </c>
      <c r="E54" s="2"/>
      <c r="F54" s="6">
        <f t="shared" si="28"/>
        <v>6.7933770948172658E-3</v>
      </c>
      <c r="G54" s="2"/>
      <c r="H54" s="7">
        <v>75</v>
      </c>
      <c r="I54" s="2"/>
      <c r="J54" s="6">
        <f t="shared" si="29"/>
        <v>1.2534637381296984E-3</v>
      </c>
      <c r="K54" s="2"/>
      <c r="L54" s="7">
        <f t="shared" si="30"/>
        <v>324.62</v>
      </c>
      <c r="M54" s="2"/>
      <c r="N54" s="6">
        <f t="shared" si="31"/>
        <v>4.3282666666666669</v>
      </c>
      <c r="O54" s="11"/>
      <c r="P54" s="7">
        <v>399.62</v>
      </c>
      <c r="Q54" s="2"/>
      <c r="R54" s="6">
        <f t="shared" si="32"/>
        <v>6.7933770948172658E-3</v>
      </c>
      <c r="S54" s="2"/>
      <c r="T54" s="7">
        <v>75</v>
      </c>
      <c r="U54" s="2"/>
      <c r="V54" s="6">
        <f t="shared" si="33"/>
        <v>1.2534637381296984E-3</v>
      </c>
      <c r="W54" s="2"/>
      <c r="X54" s="7">
        <f t="shared" si="34"/>
        <v>324.62</v>
      </c>
      <c r="Y54" s="2"/>
      <c r="Z54" s="6">
        <f t="shared" si="35"/>
        <v>4.3282666666666669</v>
      </c>
    </row>
    <row r="55" spans="1:26" s="27" customFormat="1" outlineLevel="1" collapsed="1" x14ac:dyDescent="0.25">
      <c r="A55" s="28"/>
      <c r="B55" s="14" t="str">
        <f>CONCATENATE("     ","Bad Debts/Over/Short                              ")</f>
        <v xml:space="preserve">     Bad Debts/Over/Short                              </v>
      </c>
      <c r="C55" s="14"/>
      <c r="D55" s="1">
        <f>SUM(OSRRefD22_3x_0)</f>
        <v>-2.1800000000000002</v>
      </c>
      <c r="E55" s="1"/>
      <c r="F55" s="5">
        <f t="shared" si="28"/>
        <v>-3.7059111322510487E-5</v>
      </c>
      <c r="G55" s="1"/>
      <c r="H55" s="1">
        <f>SUM(OSRRefH22_3x_0)</f>
        <v>10</v>
      </c>
      <c r="I55" s="1"/>
      <c r="J55" s="5">
        <f t="shared" si="29"/>
        <v>1.6712849841729312E-4</v>
      </c>
      <c r="K55" s="1"/>
      <c r="L55" s="1">
        <f t="shared" si="30"/>
        <v>-12.18</v>
      </c>
      <c r="M55" s="1"/>
      <c r="N55" s="5">
        <f t="shared" si="31"/>
        <v>-1.218</v>
      </c>
      <c r="O55" s="14"/>
      <c r="P55" s="1">
        <f>SUM(OSRRefP22_3x_0)</f>
        <v>-2.1800000000000002</v>
      </c>
      <c r="Q55" s="1"/>
      <c r="R55" s="5">
        <f t="shared" si="32"/>
        <v>-3.7059111322510487E-5</v>
      </c>
      <c r="S55" s="1"/>
      <c r="T55" s="1">
        <f>SUM(OSRRefT22_3x_0)</f>
        <v>10</v>
      </c>
      <c r="U55" s="1"/>
      <c r="V55" s="5">
        <f t="shared" si="33"/>
        <v>1.6712849841729312E-4</v>
      </c>
      <c r="W55" s="1"/>
      <c r="X55" s="1">
        <f t="shared" si="34"/>
        <v>-12.18</v>
      </c>
      <c r="Y55" s="1"/>
      <c r="Z55" s="5">
        <f t="shared" si="35"/>
        <v>-1.218</v>
      </c>
    </row>
    <row r="56" spans="1:26" s="24" customFormat="1" hidden="1" outlineLevel="2" x14ac:dyDescent="0.25">
      <c r="A56" s="29"/>
      <c r="B56" s="11" t="str">
        <f>CONCATENATE("          ", "6272", " - ", "CASH (OVER/SHORT)")</f>
        <v xml:space="preserve">          6272 - CASH (OVER/SHORT)</v>
      </c>
      <c r="C56" s="11"/>
      <c r="D56" s="7">
        <v>-2.1800000000000002</v>
      </c>
      <c r="E56" s="2"/>
      <c r="F56" s="6">
        <f t="shared" si="28"/>
        <v>-3.7059111322510487E-5</v>
      </c>
      <c r="G56" s="2"/>
      <c r="H56" s="7">
        <v>10</v>
      </c>
      <c r="I56" s="2"/>
      <c r="J56" s="6">
        <f t="shared" si="29"/>
        <v>1.6712849841729312E-4</v>
      </c>
      <c r="K56" s="2"/>
      <c r="L56" s="7">
        <f t="shared" si="30"/>
        <v>-12.18</v>
      </c>
      <c r="M56" s="2"/>
      <c r="N56" s="6">
        <f t="shared" si="31"/>
        <v>-1.218</v>
      </c>
      <c r="O56" s="11"/>
      <c r="P56" s="7">
        <v>-2.1800000000000002</v>
      </c>
      <c r="Q56" s="2"/>
      <c r="R56" s="6">
        <f t="shared" si="32"/>
        <v>-3.7059111322510487E-5</v>
      </c>
      <c r="S56" s="2"/>
      <c r="T56" s="7">
        <v>10</v>
      </c>
      <c r="U56" s="2"/>
      <c r="V56" s="6">
        <f t="shared" si="33"/>
        <v>1.6712849841729312E-4</v>
      </c>
      <c r="W56" s="2"/>
      <c r="X56" s="7">
        <f t="shared" si="34"/>
        <v>-12.18</v>
      </c>
      <c r="Y56" s="2"/>
      <c r="Z56" s="6">
        <f t="shared" si="35"/>
        <v>-1.218</v>
      </c>
    </row>
    <row r="57" spans="1:26" s="27" customFormat="1" outlineLevel="1" collapsed="1" x14ac:dyDescent="0.25">
      <c r="A57" s="28"/>
      <c r="B57" s="14" t="str">
        <f>CONCATENATE("     ","Bank/card Fees                                    ")</f>
        <v xml:space="preserve">     Bank/card Fees                                    </v>
      </c>
      <c r="C57" s="14"/>
      <c r="D57" s="1">
        <f>SUM(OSRRefD22_4x_0)</f>
        <v>1549.46</v>
      </c>
      <c r="E57" s="1"/>
      <c r="F57" s="5">
        <f t="shared" si="28"/>
        <v>2.6340188362283072E-2</v>
      </c>
      <c r="G57" s="1"/>
      <c r="H57" s="1">
        <f>SUM(OSRRefH22_4x_0)</f>
        <v>1741</v>
      </c>
      <c r="I57" s="1"/>
      <c r="J57" s="5">
        <f t="shared" si="29"/>
        <v>2.9097071574450732E-2</v>
      </c>
      <c r="K57" s="1"/>
      <c r="L57" s="1">
        <f t="shared" si="30"/>
        <v>-191.53999999999996</v>
      </c>
      <c r="M57" s="1"/>
      <c r="N57" s="5">
        <f t="shared" si="31"/>
        <v>-0.1100172314761631</v>
      </c>
      <c r="O57" s="14"/>
      <c r="P57" s="1">
        <f>SUM(OSRRefP22_4x_0)</f>
        <v>1549.46</v>
      </c>
      <c r="Q57" s="1"/>
      <c r="R57" s="5">
        <f t="shared" si="32"/>
        <v>2.6340188362283072E-2</v>
      </c>
      <c r="S57" s="1"/>
      <c r="T57" s="1">
        <f>SUM(OSRRefT22_4x_0)</f>
        <v>1741</v>
      </c>
      <c r="U57" s="1"/>
      <c r="V57" s="5">
        <f t="shared" si="33"/>
        <v>2.9097071574450732E-2</v>
      </c>
      <c r="W57" s="1"/>
      <c r="X57" s="1">
        <f t="shared" si="34"/>
        <v>-191.53999999999996</v>
      </c>
      <c r="Y57" s="1"/>
      <c r="Z57" s="5">
        <f t="shared" si="35"/>
        <v>-0.1100172314761631</v>
      </c>
    </row>
    <row r="58" spans="1:26" s="24" customFormat="1" hidden="1" outlineLevel="2" x14ac:dyDescent="0.25">
      <c r="A58" s="29"/>
      <c r="B58" s="11" t="str">
        <f>CONCATENATE("          ", "6381", " - ", "BANK/CREDIT CARD FEES")</f>
        <v xml:space="preserve">          6381 - BANK/CREDIT CARD FEES</v>
      </c>
      <c r="C58" s="11"/>
      <c r="D58" s="7">
        <v>1549.46</v>
      </c>
      <c r="E58" s="2"/>
      <c r="F58" s="6">
        <f t="shared" si="28"/>
        <v>2.6340188362283072E-2</v>
      </c>
      <c r="G58" s="2"/>
      <c r="H58" s="7">
        <v>1741</v>
      </c>
      <c r="I58" s="2"/>
      <c r="J58" s="6">
        <f t="shared" si="29"/>
        <v>2.9097071574450732E-2</v>
      </c>
      <c r="K58" s="2"/>
      <c r="L58" s="7">
        <f t="shared" si="30"/>
        <v>-191.53999999999996</v>
      </c>
      <c r="M58" s="2"/>
      <c r="N58" s="6">
        <f t="shared" si="31"/>
        <v>-0.1100172314761631</v>
      </c>
      <c r="O58" s="11"/>
      <c r="P58" s="7">
        <v>1549.46</v>
      </c>
      <c r="Q58" s="2"/>
      <c r="R58" s="6">
        <f t="shared" si="32"/>
        <v>2.6340188362283072E-2</v>
      </c>
      <c r="S58" s="2"/>
      <c r="T58" s="7">
        <v>1741</v>
      </c>
      <c r="U58" s="2"/>
      <c r="V58" s="6">
        <f t="shared" si="33"/>
        <v>2.9097071574450732E-2</v>
      </c>
      <c r="W58" s="2"/>
      <c r="X58" s="7">
        <f t="shared" si="34"/>
        <v>-191.53999999999996</v>
      </c>
      <c r="Y58" s="2"/>
      <c r="Z58" s="6">
        <f t="shared" si="35"/>
        <v>-0.1100172314761631</v>
      </c>
    </row>
    <row r="59" spans="1:26" s="27" customFormat="1" outlineLevel="1" collapsed="1" x14ac:dyDescent="0.25">
      <c r="A59" s="28"/>
      <c r="B59" s="14" t="str">
        <f>CONCATENATE("     ","Depreciation                                      ")</f>
        <v xml:space="preserve">     Depreciation                                      </v>
      </c>
      <c r="C59" s="14"/>
      <c r="D59" s="1">
        <f>SUM(OSRRefD22_5x_0)</f>
        <v>8403.48</v>
      </c>
      <c r="E59" s="1"/>
      <c r="F59" s="5">
        <f t="shared" si="28"/>
        <v>0.142855734319491</v>
      </c>
      <c r="G59" s="1"/>
      <c r="H59" s="1">
        <f>SUM(OSRRefH22_5x_0)</f>
        <v>8256</v>
      </c>
      <c r="I59" s="1"/>
      <c r="J59" s="5">
        <f t="shared" si="29"/>
        <v>0.13798128829331721</v>
      </c>
      <c r="K59" s="1"/>
      <c r="L59" s="1">
        <f t="shared" si="30"/>
        <v>147.47999999999956</v>
      </c>
      <c r="M59" s="1"/>
      <c r="N59" s="5">
        <f t="shared" si="31"/>
        <v>1.7863372093023203E-2</v>
      </c>
      <c r="O59" s="14"/>
      <c r="P59" s="1">
        <f>SUM(OSRRefP22_5x_0)</f>
        <v>8403.48</v>
      </c>
      <c r="Q59" s="1"/>
      <c r="R59" s="5">
        <f t="shared" si="32"/>
        <v>0.142855734319491</v>
      </c>
      <c r="S59" s="1"/>
      <c r="T59" s="1">
        <f>SUM(OSRRefT22_5x_0)</f>
        <v>8256</v>
      </c>
      <c r="U59" s="1"/>
      <c r="V59" s="5">
        <f t="shared" si="33"/>
        <v>0.13798128829331721</v>
      </c>
      <c r="W59" s="1"/>
      <c r="X59" s="1">
        <f t="shared" si="34"/>
        <v>147.47999999999956</v>
      </c>
      <c r="Y59" s="1"/>
      <c r="Z59" s="5">
        <f t="shared" si="35"/>
        <v>1.7863372093023203E-2</v>
      </c>
    </row>
    <row r="60" spans="1:26" s="24" customFormat="1" hidden="1" outlineLevel="2" x14ac:dyDescent="0.25">
      <c r="A60" s="29"/>
      <c r="B60" s="11" t="str">
        <f>CONCATENATE("          ", "6321", " - ", "BUILDING DEPRECIATION")</f>
        <v xml:space="preserve">          6321 - BUILDING DEPRECIATION</v>
      </c>
      <c r="C60" s="11"/>
      <c r="D60" s="7">
        <v>5080.51</v>
      </c>
      <c r="E60" s="2"/>
      <c r="F60" s="6">
        <f t="shared" si="28"/>
        <v>8.6366598928957677E-2</v>
      </c>
      <c r="G60" s="2"/>
      <c r="H60" s="7">
        <v>5081</v>
      </c>
      <c r="I60" s="2"/>
      <c r="J60" s="6">
        <f t="shared" si="29"/>
        <v>8.4917990045826633E-2</v>
      </c>
      <c r="K60" s="2"/>
      <c r="L60" s="7">
        <f t="shared" si="30"/>
        <v>-0.48999999999978172</v>
      </c>
      <c r="M60" s="2"/>
      <c r="N60" s="6">
        <f t="shared" si="31"/>
        <v>-9.6437709112336489E-5</v>
      </c>
      <c r="O60" s="11"/>
      <c r="P60" s="7">
        <v>5080.51</v>
      </c>
      <c r="Q60" s="2"/>
      <c r="R60" s="6">
        <f t="shared" si="32"/>
        <v>8.6366598928957677E-2</v>
      </c>
      <c r="S60" s="2"/>
      <c r="T60" s="7">
        <v>5081</v>
      </c>
      <c r="U60" s="2"/>
      <c r="V60" s="6">
        <f t="shared" si="33"/>
        <v>8.4917990045826633E-2</v>
      </c>
      <c r="W60" s="2"/>
      <c r="X60" s="7">
        <f t="shared" si="34"/>
        <v>-0.48999999999978172</v>
      </c>
      <c r="Y60" s="2"/>
      <c r="Z60" s="6">
        <f t="shared" si="35"/>
        <v>-9.6437709112336489E-5</v>
      </c>
    </row>
    <row r="61" spans="1:26" s="24" customFormat="1" hidden="1" outlineLevel="2" x14ac:dyDescent="0.25">
      <c r="A61" s="29"/>
      <c r="B61" s="11" t="str">
        <f>CONCATENATE("          ", "6322", " - ", "EQUIPMENT DEPRECIATION EXPENSE")</f>
        <v xml:space="preserve">          6322 - EQUIPMENT DEPRECIATION EXPENSE</v>
      </c>
      <c r="C61" s="11"/>
      <c r="D61" s="7">
        <v>3322.97</v>
      </c>
      <c r="E61" s="2"/>
      <c r="F61" s="6">
        <f t="shared" si="28"/>
        <v>5.6489135390533331E-2</v>
      </c>
      <c r="G61" s="2"/>
      <c r="H61" s="7">
        <v>3175</v>
      </c>
      <c r="I61" s="2"/>
      <c r="J61" s="6">
        <f t="shared" si="29"/>
        <v>5.3063298247490572E-2</v>
      </c>
      <c r="K61" s="2"/>
      <c r="L61" s="7">
        <f t="shared" si="30"/>
        <v>147.9699999999998</v>
      </c>
      <c r="M61" s="2"/>
      <c r="N61" s="6">
        <f t="shared" si="31"/>
        <v>4.6604724409448753E-2</v>
      </c>
      <c r="O61" s="11"/>
      <c r="P61" s="7">
        <v>3322.97</v>
      </c>
      <c r="Q61" s="2"/>
      <c r="R61" s="6">
        <f t="shared" si="32"/>
        <v>5.6489135390533331E-2</v>
      </c>
      <c r="S61" s="2"/>
      <c r="T61" s="7">
        <v>3175</v>
      </c>
      <c r="U61" s="2"/>
      <c r="V61" s="6">
        <f t="shared" si="33"/>
        <v>5.3063298247490572E-2</v>
      </c>
      <c r="W61" s="2"/>
      <c r="X61" s="7">
        <f t="shared" si="34"/>
        <v>147.9699999999998</v>
      </c>
      <c r="Y61" s="2"/>
      <c r="Z61" s="6">
        <f t="shared" si="35"/>
        <v>4.6604724409448753E-2</v>
      </c>
    </row>
    <row r="62" spans="1:26" s="27" customFormat="1" outlineLevel="1" collapsed="1" x14ac:dyDescent="0.25">
      <c r="A62" s="28"/>
      <c r="B62" s="14" t="str">
        <f>CONCATENATE("     ","Discounts and Markdowns                           ")</f>
        <v xml:space="preserve">     Discounts and Markdowns                           </v>
      </c>
      <c r="C62" s="14"/>
      <c r="D62" s="1">
        <f>SUM(OSRRefD22_6x_0)</f>
        <v>13.91</v>
      </c>
      <c r="E62" s="1"/>
      <c r="F62" s="5">
        <f t="shared" ref="F62:F89" si="36">IF(D$12=0,0,D62/D$12)</f>
        <v>2.3646432958537655E-4</v>
      </c>
      <c r="G62" s="1"/>
      <c r="H62" s="1">
        <f>SUM(OSRRefH22_6x_0)</f>
        <v>0</v>
      </c>
      <c r="I62" s="1"/>
      <c r="J62" s="5">
        <f t="shared" ref="J62:J89" si="37">IF(H$12=0,0,H62/H$12)</f>
        <v>0</v>
      </c>
      <c r="K62" s="1"/>
      <c r="L62" s="1">
        <f t="shared" ref="L62:L89" si="38">+D62-H62</f>
        <v>13.91</v>
      </c>
      <c r="M62" s="1"/>
      <c r="N62" s="5">
        <f t="shared" ref="N62:N89" si="39">IF(H62=0,0,L62/H62)</f>
        <v>0</v>
      </c>
      <c r="O62" s="14"/>
      <c r="P62" s="1">
        <f>SUM(OSRRefP22_6x_0)</f>
        <v>13.91</v>
      </c>
      <c r="Q62" s="1"/>
      <c r="R62" s="5">
        <f t="shared" ref="R62:R89" si="40">IF(P$12=0,0,P62/P$12)</f>
        <v>2.3646432958537655E-4</v>
      </c>
      <c r="S62" s="1"/>
      <c r="T62" s="1">
        <f>SUM(OSRRefT22_6x_0)</f>
        <v>0</v>
      </c>
      <c r="U62" s="1"/>
      <c r="V62" s="5">
        <f t="shared" ref="V62:V89" si="41">IF(T$12=0,0,T62/T$12)</f>
        <v>0</v>
      </c>
      <c r="W62" s="1"/>
      <c r="X62" s="1">
        <f t="shared" ref="X62:X89" si="42">+P62-T62</f>
        <v>13.91</v>
      </c>
      <c r="Y62" s="1"/>
      <c r="Z62" s="5">
        <f t="shared" ref="Z62:Z89" si="43">IF(T62=0,0,X62/T62)</f>
        <v>0</v>
      </c>
    </row>
    <row r="63" spans="1:26" s="24" customFormat="1" hidden="1" outlineLevel="2" x14ac:dyDescent="0.25">
      <c r="A63" s="29"/>
      <c r="B63" s="11" t="str">
        <f>CONCATENATE("          ", "6382", " - ", "DISCOUNTS/MARK DOWNS")</f>
        <v xml:space="preserve">          6382 - DISCOUNTS/MARK DOWNS</v>
      </c>
      <c r="C63" s="11"/>
      <c r="D63" s="7">
        <v>13.91</v>
      </c>
      <c r="E63" s="2"/>
      <c r="F63" s="6">
        <f t="shared" si="36"/>
        <v>2.3646432958537655E-4</v>
      </c>
      <c r="G63" s="2"/>
      <c r="H63" s="7"/>
      <c r="I63" s="2"/>
      <c r="J63" s="6">
        <f t="shared" si="37"/>
        <v>0</v>
      </c>
      <c r="K63" s="2"/>
      <c r="L63" s="7">
        <f t="shared" si="38"/>
        <v>13.91</v>
      </c>
      <c r="M63" s="2"/>
      <c r="N63" s="6">
        <f t="shared" si="39"/>
        <v>0</v>
      </c>
      <c r="O63" s="11"/>
      <c r="P63" s="7">
        <v>13.91</v>
      </c>
      <c r="Q63" s="2"/>
      <c r="R63" s="6">
        <f t="shared" si="40"/>
        <v>2.3646432958537655E-4</v>
      </c>
      <c r="S63" s="2"/>
      <c r="T63" s="7"/>
      <c r="U63" s="2"/>
      <c r="V63" s="6">
        <f t="shared" si="41"/>
        <v>0</v>
      </c>
      <c r="W63" s="2"/>
      <c r="X63" s="7">
        <f t="shared" si="42"/>
        <v>13.91</v>
      </c>
      <c r="Y63" s="2"/>
      <c r="Z63" s="6">
        <f t="shared" si="43"/>
        <v>0</v>
      </c>
    </row>
    <row r="64" spans="1:26" s="27" customFormat="1" outlineLevel="1" collapsed="1" x14ac:dyDescent="0.25">
      <c r="A64" s="28"/>
      <c r="B64" s="14" t="str">
        <f>CONCATENATE("     ","Employees' Appreciation                           ")</f>
        <v xml:space="preserve">     Employees' Appreciation                           </v>
      </c>
      <c r="C64" s="14"/>
      <c r="D64" s="1">
        <f>SUM(OSRRefD22_7x_0)</f>
        <v>0</v>
      </c>
      <c r="E64" s="1"/>
      <c r="F64" s="5">
        <f t="shared" si="36"/>
        <v>0</v>
      </c>
      <c r="G64" s="1"/>
      <c r="H64" s="1">
        <f>SUM(OSRRefH22_7x_0)</f>
        <v>25</v>
      </c>
      <c r="I64" s="1"/>
      <c r="J64" s="5">
        <f t="shared" si="37"/>
        <v>4.1782124604323279E-4</v>
      </c>
      <c r="K64" s="1"/>
      <c r="L64" s="1">
        <f t="shared" si="38"/>
        <v>-25</v>
      </c>
      <c r="M64" s="1"/>
      <c r="N64" s="5">
        <f t="shared" si="39"/>
        <v>-1</v>
      </c>
      <c r="O64" s="14"/>
      <c r="P64" s="1">
        <f>SUM(OSRRefP22_7x_0)</f>
        <v>0</v>
      </c>
      <c r="Q64" s="1"/>
      <c r="R64" s="5">
        <f t="shared" si="40"/>
        <v>0</v>
      </c>
      <c r="S64" s="1"/>
      <c r="T64" s="1">
        <f>SUM(OSRRefT22_7x_0)</f>
        <v>25</v>
      </c>
      <c r="U64" s="1"/>
      <c r="V64" s="5">
        <f t="shared" si="41"/>
        <v>4.1782124604323279E-4</v>
      </c>
      <c r="W64" s="1"/>
      <c r="X64" s="1">
        <f t="shared" si="42"/>
        <v>-25</v>
      </c>
      <c r="Y64" s="1"/>
      <c r="Z64" s="5">
        <f t="shared" si="43"/>
        <v>-1</v>
      </c>
    </row>
    <row r="65" spans="1:26" s="24" customFormat="1" hidden="1" outlineLevel="2" x14ac:dyDescent="0.25">
      <c r="A65" s="29"/>
      <c r="B65" s="11" t="str">
        <f>CONCATENATE("          ", "6277", " - ", "EMPLOYEE APPRECIATION")</f>
        <v xml:space="preserve">          6277 - EMPLOYEE APPRECIATION</v>
      </c>
      <c r="C65" s="11"/>
      <c r="D65" s="7"/>
      <c r="E65" s="2"/>
      <c r="F65" s="6">
        <f t="shared" si="36"/>
        <v>0</v>
      </c>
      <c r="G65" s="2"/>
      <c r="H65" s="7">
        <v>25</v>
      </c>
      <c r="I65" s="2"/>
      <c r="J65" s="6">
        <f t="shared" si="37"/>
        <v>4.1782124604323279E-4</v>
      </c>
      <c r="K65" s="2"/>
      <c r="L65" s="7">
        <f t="shared" si="38"/>
        <v>-25</v>
      </c>
      <c r="M65" s="2"/>
      <c r="N65" s="6">
        <f t="shared" si="39"/>
        <v>-1</v>
      </c>
      <c r="O65" s="11"/>
      <c r="P65" s="7"/>
      <c r="Q65" s="2"/>
      <c r="R65" s="6">
        <f t="shared" si="40"/>
        <v>0</v>
      </c>
      <c r="S65" s="2"/>
      <c r="T65" s="7">
        <v>25</v>
      </c>
      <c r="U65" s="2"/>
      <c r="V65" s="6">
        <f t="shared" si="41"/>
        <v>4.1782124604323279E-4</v>
      </c>
      <c r="W65" s="2"/>
      <c r="X65" s="7">
        <f t="shared" si="42"/>
        <v>-25</v>
      </c>
      <c r="Y65" s="2"/>
      <c r="Z65" s="6">
        <f t="shared" si="43"/>
        <v>-1</v>
      </c>
    </row>
    <row r="66" spans="1:26" s="27" customFormat="1" outlineLevel="1" collapsed="1" x14ac:dyDescent="0.25">
      <c r="A66" s="28"/>
      <c r="B66" s="14" t="str">
        <f>CONCATENATE("     ","Equipment Rental                                  ")</f>
        <v xml:space="preserve">     Equipment Rental                                  </v>
      </c>
      <c r="C66" s="14"/>
      <c r="D66" s="1">
        <f>SUM(OSRRefD22_8x_0)</f>
        <v>146.47</v>
      </c>
      <c r="E66" s="1"/>
      <c r="F66" s="5">
        <f t="shared" si="36"/>
        <v>2.4899302914716103E-3</v>
      </c>
      <c r="G66" s="1"/>
      <c r="H66" s="1">
        <f>SUM(OSRRefH22_8x_0)</f>
        <v>80</v>
      </c>
      <c r="I66" s="1"/>
      <c r="J66" s="5">
        <f t="shared" si="37"/>
        <v>1.3370279873383449E-3</v>
      </c>
      <c r="K66" s="1"/>
      <c r="L66" s="1">
        <f t="shared" si="38"/>
        <v>66.47</v>
      </c>
      <c r="M66" s="1"/>
      <c r="N66" s="5">
        <f t="shared" si="39"/>
        <v>0.83087500000000003</v>
      </c>
      <c r="O66" s="14"/>
      <c r="P66" s="1">
        <f>SUM(OSRRefP22_8x_0)</f>
        <v>146.47</v>
      </c>
      <c r="Q66" s="1"/>
      <c r="R66" s="5">
        <f t="shared" si="40"/>
        <v>2.4899302914716103E-3</v>
      </c>
      <c r="S66" s="1"/>
      <c r="T66" s="1">
        <f>SUM(OSRRefT22_8x_0)</f>
        <v>80</v>
      </c>
      <c r="U66" s="1"/>
      <c r="V66" s="5">
        <f t="shared" si="41"/>
        <v>1.3370279873383449E-3</v>
      </c>
      <c r="W66" s="1"/>
      <c r="X66" s="1">
        <f t="shared" si="42"/>
        <v>66.47</v>
      </c>
      <c r="Y66" s="1"/>
      <c r="Z66" s="5">
        <f t="shared" si="43"/>
        <v>0.83087500000000003</v>
      </c>
    </row>
    <row r="67" spans="1:26" s="24" customFormat="1" hidden="1" outlineLevel="2" x14ac:dyDescent="0.25">
      <c r="A67" s="29"/>
      <c r="B67" s="11" t="str">
        <f>CONCATENATE("          ", "6351", " - ", "EQUIPMENT RENTAL")</f>
        <v xml:space="preserve">          6351 - EQUIPMENT RENTAL</v>
      </c>
      <c r="C67" s="11"/>
      <c r="D67" s="7">
        <v>146.47</v>
      </c>
      <c r="E67" s="2"/>
      <c r="F67" s="6">
        <f t="shared" si="36"/>
        <v>2.4899302914716103E-3</v>
      </c>
      <c r="G67" s="2"/>
      <c r="H67" s="7">
        <v>80</v>
      </c>
      <c r="I67" s="2"/>
      <c r="J67" s="6">
        <f t="shared" si="37"/>
        <v>1.3370279873383449E-3</v>
      </c>
      <c r="K67" s="2"/>
      <c r="L67" s="7">
        <f t="shared" si="38"/>
        <v>66.47</v>
      </c>
      <c r="M67" s="2"/>
      <c r="N67" s="6">
        <f t="shared" si="39"/>
        <v>0.83087500000000003</v>
      </c>
      <c r="O67" s="11"/>
      <c r="P67" s="7">
        <v>146.47</v>
      </c>
      <c r="Q67" s="2"/>
      <c r="R67" s="6">
        <f t="shared" si="40"/>
        <v>2.4899302914716103E-3</v>
      </c>
      <c r="S67" s="2"/>
      <c r="T67" s="7">
        <v>80</v>
      </c>
      <c r="U67" s="2"/>
      <c r="V67" s="6">
        <f t="shared" si="41"/>
        <v>1.3370279873383449E-3</v>
      </c>
      <c r="W67" s="2"/>
      <c r="X67" s="7">
        <f t="shared" si="42"/>
        <v>66.47</v>
      </c>
      <c r="Y67" s="2"/>
      <c r="Z67" s="6">
        <f t="shared" si="43"/>
        <v>0.83087500000000003</v>
      </c>
    </row>
    <row r="68" spans="1:26" s="27" customFormat="1" outlineLevel="1" collapsed="1" x14ac:dyDescent="0.25">
      <c r="A68" s="28"/>
      <c r="B68" s="14" t="str">
        <f>CONCATENATE("     ","Freight out/Postage                               ")</f>
        <v xml:space="preserve">     Freight out/Postage                               </v>
      </c>
      <c r="C68" s="14"/>
      <c r="D68" s="1">
        <f>SUM(OSRRefD22_9x_0)</f>
        <v>71.69</v>
      </c>
      <c r="E68" s="1"/>
      <c r="F68" s="5">
        <f t="shared" si="36"/>
        <v>1.2187007755554021E-3</v>
      </c>
      <c r="G68" s="1"/>
      <c r="H68" s="1">
        <f>SUM(OSRRefH22_9x_0)</f>
        <v>0</v>
      </c>
      <c r="I68" s="1"/>
      <c r="J68" s="5">
        <f t="shared" si="37"/>
        <v>0</v>
      </c>
      <c r="K68" s="1"/>
      <c r="L68" s="1">
        <f t="shared" si="38"/>
        <v>71.69</v>
      </c>
      <c r="M68" s="1"/>
      <c r="N68" s="5">
        <f t="shared" si="39"/>
        <v>0</v>
      </c>
      <c r="O68" s="14"/>
      <c r="P68" s="1">
        <f>SUM(OSRRefP22_9x_0)</f>
        <v>71.69</v>
      </c>
      <c r="Q68" s="1"/>
      <c r="R68" s="5">
        <f t="shared" si="40"/>
        <v>1.2187007755554021E-3</v>
      </c>
      <c r="S68" s="1"/>
      <c r="T68" s="1">
        <f>SUM(OSRRefT22_9x_0)</f>
        <v>0</v>
      </c>
      <c r="U68" s="1"/>
      <c r="V68" s="5">
        <f t="shared" si="41"/>
        <v>0</v>
      </c>
      <c r="W68" s="1"/>
      <c r="X68" s="1">
        <f t="shared" si="42"/>
        <v>71.69</v>
      </c>
      <c r="Y68" s="1"/>
      <c r="Z68" s="5">
        <f t="shared" si="43"/>
        <v>0</v>
      </c>
    </row>
    <row r="69" spans="1:26" s="24" customFormat="1" hidden="1" outlineLevel="2" x14ac:dyDescent="0.25">
      <c r="A69" s="29"/>
      <c r="B69" s="11" t="str">
        <f>CONCATENATE("          ", "6305", " - ", "FREIGHT OUT")</f>
        <v xml:space="preserve">          6305 - FREIGHT OUT</v>
      </c>
      <c r="C69" s="11"/>
      <c r="D69" s="7">
        <v>71.69</v>
      </c>
      <c r="E69" s="2"/>
      <c r="F69" s="6">
        <f t="shared" si="36"/>
        <v>1.2187007755554021E-3</v>
      </c>
      <c r="G69" s="2"/>
      <c r="H69" s="7"/>
      <c r="I69" s="2"/>
      <c r="J69" s="6">
        <f t="shared" si="37"/>
        <v>0</v>
      </c>
      <c r="K69" s="2"/>
      <c r="L69" s="7">
        <f t="shared" si="38"/>
        <v>71.69</v>
      </c>
      <c r="M69" s="2"/>
      <c r="N69" s="6">
        <f t="shared" si="39"/>
        <v>0</v>
      </c>
      <c r="O69" s="11"/>
      <c r="P69" s="7">
        <v>71.69</v>
      </c>
      <c r="Q69" s="2"/>
      <c r="R69" s="6">
        <f t="shared" si="40"/>
        <v>1.2187007755554021E-3</v>
      </c>
      <c r="S69" s="2"/>
      <c r="T69" s="7"/>
      <c r="U69" s="2"/>
      <c r="V69" s="6">
        <f t="shared" si="41"/>
        <v>0</v>
      </c>
      <c r="W69" s="2"/>
      <c r="X69" s="7">
        <f t="shared" si="42"/>
        <v>71.69</v>
      </c>
      <c r="Y69" s="2"/>
      <c r="Z69" s="6">
        <f t="shared" si="43"/>
        <v>0</v>
      </c>
    </row>
    <row r="70" spans="1:26" s="27" customFormat="1" outlineLevel="1" collapsed="1" x14ac:dyDescent="0.25">
      <c r="A70" s="28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SUM(OSRRefD22_10x_0)</f>
        <v>4428.8</v>
      </c>
      <c r="E70" s="1"/>
      <c r="F70" s="5">
        <f t="shared" si="36"/>
        <v>7.5287794598685523E-2</v>
      </c>
      <c r="G70" s="1"/>
      <c r="H70" s="1">
        <f>SUM(OSRRefH22_10x_0)</f>
        <v>595</v>
      </c>
      <c r="I70" s="1"/>
      <c r="J70" s="5">
        <f t="shared" si="37"/>
        <v>9.9441456558289412E-3</v>
      </c>
      <c r="K70" s="1"/>
      <c r="L70" s="1">
        <f t="shared" si="38"/>
        <v>3833.8</v>
      </c>
      <c r="M70" s="1"/>
      <c r="N70" s="5">
        <f t="shared" si="39"/>
        <v>6.4433613445378155</v>
      </c>
      <c r="O70" s="14"/>
      <c r="P70" s="1">
        <f>SUM(OSRRefP22_10x_0)</f>
        <v>4428.8</v>
      </c>
      <c r="Q70" s="1"/>
      <c r="R70" s="5">
        <f t="shared" si="40"/>
        <v>7.5287794598685523E-2</v>
      </c>
      <c r="S70" s="1"/>
      <c r="T70" s="1">
        <f>SUM(OSRRefT22_10x_0)</f>
        <v>595</v>
      </c>
      <c r="U70" s="1"/>
      <c r="V70" s="5">
        <f t="shared" si="41"/>
        <v>9.9441456558289412E-3</v>
      </c>
      <c r="W70" s="1"/>
      <c r="X70" s="1">
        <f t="shared" si="42"/>
        <v>3833.8</v>
      </c>
      <c r="Y70" s="1"/>
      <c r="Z70" s="5">
        <f t="shared" si="43"/>
        <v>6.4433613445378155</v>
      </c>
    </row>
    <row r="71" spans="1:26" s="24" customFormat="1" hidden="1" outlineLevel="2" x14ac:dyDescent="0.25">
      <c r="A71" s="29"/>
      <c r="B71" s="11" t="str">
        <f>CONCATENATE("          ", "6279", " - ", "GENERAL EXPENSE")</f>
        <v xml:space="preserve">          6279 - GENERAL EXPENSE</v>
      </c>
      <c r="C71" s="11"/>
      <c r="D71" s="7">
        <v>4428.8</v>
      </c>
      <c r="E71" s="2"/>
      <c r="F71" s="6">
        <f t="shared" si="36"/>
        <v>7.5287794598685523E-2</v>
      </c>
      <c r="G71" s="2"/>
      <c r="H71" s="7">
        <v>595</v>
      </c>
      <c r="I71" s="2"/>
      <c r="J71" s="6">
        <f t="shared" si="37"/>
        <v>9.9441456558289412E-3</v>
      </c>
      <c r="K71" s="2"/>
      <c r="L71" s="7">
        <f t="shared" si="38"/>
        <v>3833.8</v>
      </c>
      <c r="M71" s="2"/>
      <c r="N71" s="6">
        <f t="shared" si="39"/>
        <v>6.4433613445378155</v>
      </c>
      <c r="O71" s="11"/>
      <c r="P71" s="7">
        <v>4428.8</v>
      </c>
      <c r="Q71" s="2"/>
      <c r="R71" s="6">
        <f t="shared" si="40"/>
        <v>7.5287794598685523E-2</v>
      </c>
      <c r="S71" s="2"/>
      <c r="T71" s="7">
        <v>595</v>
      </c>
      <c r="U71" s="2"/>
      <c r="V71" s="6">
        <f t="shared" si="41"/>
        <v>9.9441456558289412E-3</v>
      </c>
      <c r="W71" s="2"/>
      <c r="X71" s="7">
        <f t="shared" si="42"/>
        <v>3833.8</v>
      </c>
      <c r="Y71" s="2"/>
      <c r="Z71" s="6">
        <f t="shared" si="43"/>
        <v>6.4433613445378155</v>
      </c>
    </row>
    <row r="72" spans="1:26" s="27" customFormat="1" outlineLevel="1" collapsed="1" x14ac:dyDescent="0.25">
      <c r="A72" s="28"/>
      <c r="B72" s="14" t="str">
        <f>CONCATENATE("     ","Insurance                                         ")</f>
        <v xml:space="preserve">     Insurance                                         </v>
      </c>
      <c r="C72" s="14"/>
      <c r="D72" s="1">
        <f>SUM(OSRRefD22_11x_0)</f>
        <v>243.54</v>
      </c>
      <c r="E72" s="1"/>
      <c r="F72" s="5">
        <f t="shared" si="36"/>
        <v>4.1400807208643135E-3</v>
      </c>
      <c r="G72" s="1"/>
      <c r="H72" s="1">
        <f>SUM(OSRRefH22_11x_0)</f>
        <v>230</v>
      </c>
      <c r="I72" s="1"/>
      <c r="J72" s="5">
        <f t="shared" si="37"/>
        <v>3.8439554635977418E-3</v>
      </c>
      <c r="K72" s="1"/>
      <c r="L72" s="1">
        <f t="shared" si="38"/>
        <v>13.539999999999992</v>
      </c>
      <c r="M72" s="1"/>
      <c r="N72" s="5">
        <f t="shared" si="39"/>
        <v>5.886956521739127E-2</v>
      </c>
      <c r="O72" s="14"/>
      <c r="P72" s="1">
        <f>SUM(OSRRefP22_11x_0)</f>
        <v>243.54</v>
      </c>
      <c r="Q72" s="1"/>
      <c r="R72" s="5">
        <f t="shared" si="40"/>
        <v>4.1400807208643135E-3</v>
      </c>
      <c r="S72" s="1"/>
      <c r="T72" s="1">
        <f>SUM(OSRRefT22_11x_0)</f>
        <v>230</v>
      </c>
      <c r="U72" s="1"/>
      <c r="V72" s="5">
        <f t="shared" si="41"/>
        <v>3.8439554635977418E-3</v>
      </c>
      <c r="W72" s="1"/>
      <c r="X72" s="1">
        <f t="shared" si="42"/>
        <v>13.539999999999992</v>
      </c>
      <c r="Y72" s="1"/>
      <c r="Z72" s="5">
        <f t="shared" si="43"/>
        <v>5.886956521739127E-2</v>
      </c>
    </row>
    <row r="73" spans="1:26" s="24" customFormat="1" hidden="1" outlineLevel="2" x14ac:dyDescent="0.25">
      <c r="A73" s="29"/>
      <c r="B73" s="11" t="str">
        <f>CONCATENATE("          ", "6314", " - ", "LIABILITY INSURANCE")</f>
        <v xml:space="preserve">          6314 - LIABILITY INSURANCE</v>
      </c>
      <c r="C73" s="11"/>
      <c r="D73" s="7">
        <v>243.54</v>
      </c>
      <c r="E73" s="2"/>
      <c r="F73" s="6">
        <f t="shared" si="36"/>
        <v>4.1400807208643135E-3</v>
      </c>
      <c r="G73" s="2"/>
      <c r="H73" s="7">
        <v>230</v>
      </c>
      <c r="I73" s="2"/>
      <c r="J73" s="6">
        <f t="shared" si="37"/>
        <v>3.8439554635977418E-3</v>
      </c>
      <c r="K73" s="2"/>
      <c r="L73" s="7">
        <f t="shared" si="38"/>
        <v>13.539999999999992</v>
      </c>
      <c r="M73" s="2"/>
      <c r="N73" s="6">
        <f t="shared" si="39"/>
        <v>5.886956521739127E-2</v>
      </c>
      <c r="O73" s="11"/>
      <c r="P73" s="7">
        <v>243.54</v>
      </c>
      <c r="Q73" s="2"/>
      <c r="R73" s="6">
        <f t="shared" si="40"/>
        <v>4.1400807208643135E-3</v>
      </c>
      <c r="S73" s="2"/>
      <c r="T73" s="7">
        <v>230</v>
      </c>
      <c r="U73" s="2"/>
      <c r="V73" s="6">
        <f t="shared" si="41"/>
        <v>3.8439554635977418E-3</v>
      </c>
      <c r="W73" s="2"/>
      <c r="X73" s="7">
        <f t="shared" si="42"/>
        <v>13.539999999999992</v>
      </c>
      <c r="Y73" s="2"/>
      <c r="Z73" s="6">
        <f t="shared" si="43"/>
        <v>5.886956521739127E-2</v>
      </c>
    </row>
    <row r="74" spans="1:26" s="27" customFormat="1" outlineLevel="1" collapsed="1" x14ac:dyDescent="0.25">
      <c r="A74" s="28"/>
      <c r="B74" s="14" t="str">
        <f>CONCATENATE("     ","Interest                                          ")</f>
        <v xml:space="preserve">     Interest                                          </v>
      </c>
      <c r="C74" s="14"/>
      <c r="D74" s="1">
        <f>SUM(OSRRefD22_12x_0)</f>
        <v>4110</v>
      </c>
      <c r="E74" s="1"/>
      <c r="F74" s="5">
        <f t="shared" si="36"/>
        <v>6.9868324557577105E-2</v>
      </c>
      <c r="G74" s="1"/>
      <c r="H74" s="1">
        <f>SUM(OSRRefH22_12x_0)</f>
        <v>4175</v>
      </c>
      <c r="I74" s="1"/>
      <c r="J74" s="5">
        <f t="shared" si="37"/>
        <v>6.9776148089219878E-2</v>
      </c>
      <c r="K74" s="1"/>
      <c r="L74" s="1">
        <f t="shared" si="38"/>
        <v>-65</v>
      </c>
      <c r="M74" s="1"/>
      <c r="N74" s="5">
        <f t="shared" si="39"/>
        <v>-1.5568862275449102E-2</v>
      </c>
      <c r="O74" s="14"/>
      <c r="P74" s="1">
        <f>SUM(OSRRefP22_12x_0)</f>
        <v>4110</v>
      </c>
      <c r="Q74" s="1"/>
      <c r="R74" s="5">
        <f t="shared" si="40"/>
        <v>6.9868324557577105E-2</v>
      </c>
      <c r="S74" s="1"/>
      <c r="T74" s="1">
        <f>SUM(OSRRefT22_12x_0)</f>
        <v>4175</v>
      </c>
      <c r="U74" s="1"/>
      <c r="V74" s="5">
        <f t="shared" si="41"/>
        <v>6.9776148089219878E-2</v>
      </c>
      <c r="W74" s="1"/>
      <c r="X74" s="1">
        <f t="shared" si="42"/>
        <v>-65</v>
      </c>
      <c r="Y74" s="1"/>
      <c r="Z74" s="5">
        <f t="shared" si="43"/>
        <v>-1.5568862275449102E-2</v>
      </c>
    </row>
    <row r="75" spans="1:26" s="24" customFormat="1" hidden="1" outlineLevel="2" x14ac:dyDescent="0.25">
      <c r="A75" s="29"/>
      <c r="B75" s="11" t="str">
        <f>CONCATENATE("          ", "6401", " - ", "INTEREST EXPENSE")</f>
        <v xml:space="preserve">          6401 - INTEREST EXPENSE</v>
      </c>
      <c r="C75" s="11"/>
      <c r="D75" s="7">
        <v>4110</v>
      </c>
      <c r="E75" s="2"/>
      <c r="F75" s="6">
        <f t="shared" si="36"/>
        <v>6.9868324557577105E-2</v>
      </c>
      <c r="G75" s="2"/>
      <c r="H75" s="7">
        <v>4175</v>
      </c>
      <c r="I75" s="2"/>
      <c r="J75" s="6">
        <f t="shared" si="37"/>
        <v>6.9776148089219878E-2</v>
      </c>
      <c r="K75" s="2"/>
      <c r="L75" s="7">
        <f t="shared" si="38"/>
        <v>-65</v>
      </c>
      <c r="M75" s="2"/>
      <c r="N75" s="6">
        <f t="shared" si="39"/>
        <v>-1.5568862275449102E-2</v>
      </c>
      <c r="O75" s="11"/>
      <c r="P75" s="7">
        <v>4110</v>
      </c>
      <c r="Q75" s="2"/>
      <c r="R75" s="6">
        <f t="shared" si="40"/>
        <v>6.9868324557577105E-2</v>
      </c>
      <c r="S75" s="2"/>
      <c r="T75" s="7">
        <v>4175</v>
      </c>
      <c r="U75" s="2"/>
      <c r="V75" s="6">
        <f t="shared" si="41"/>
        <v>6.9776148089219878E-2</v>
      </c>
      <c r="W75" s="2"/>
      <c r="X75" s="7">
        <f t="shared" si="42"/>
        <v>-65</v>
      </c>
      <c r="Y75" s="2"/>
      <c r="Z75" s="6">
        <f t="shared" si="43"/>
        <v>-1.5568862275449102E-2</v>
      </c>
    </row>
    <row r="76" spans="1:26" s="27" customFormat="1" outlineLevel="1" collapsed="1" x14ac:dyDescent="0.25">
      <c r="A76" s="28"/>
      <c r="B76" s="14" t="str">
        <f>CONCATENATE("     ","R/H Commissions                                   ")</f>
        <v xml:space="preserve">     R/H Commissions                                   </v>
      </c>
      <c r="C76" s="14"/>
      <c r="D76" s="1">
        <f>SUM(OSRRefD22_13x_0)</f>
        <v>0</v>
      </c>
      <c r="E76" s="1"/>
      <c r="F76" s="5">
        <f t="shared" si="36"/>
        <v>0</v>
      </c>
      <c r="G76" s="1"/>
      <c r="H76" s="1">
        <f>SUM(OSRRefH22_13x_0)</f>
        <v>0</v>
      </c>
      <c r="I76" s="1"/>
      <c r="J76" s="5">
        <f t="shared" si="37"/>
        <v>0</v>
      </c>
      <c r="K76" s="1"/>
      <c r="L76" s="1">
        <f t="shared" si="38"/>
        <v>0</v>
      </c>
      <c r="M76" s="1"/>
      <c r="N76" s="5">
        <f t="shared" si="39"/>
        <v>0</v>
      </c>
      <c r="O76" s="14"/>
      <c r="P76" s="1">
        <f>SUM(OSRRefP22_13x_0)</f>
        <v>0</v>
      </c>
      <c r="Q76" s="1"/>
      <c r="R76" s="5">
        <f t="shared" si="40"/>
        <v>0</v>
      </c>
      <c r="S76" s="1"/>
      <c r="T76" s="1">
        <f>SUM(OSRRefT22_13x_0)</f>
        <v>0</v>
      </c>
      <c r="U76" s="1"/>
      <c r="V76" s="5">
        <f t="shared" si="41"/>
        <v>0</v>
      </c>
      <c r="W76" s="1"/>
      <c r="X76" s="1">
        <f t="shared" si="42"/>
        <v>0</v>
      </c>
      <c r="Y76" s="1"/>
      <c r="Z76" s="5">
        <f t="shared" si="43"/>
        <v>0</v>
      </c>
    </row>
    <row r="77" spans="1:26" s="24" customFormat="1" hidden="1" outlineLevel="2" x14ac:dyDescent="0.25">
      <c r="A77" s="29"/>
      <c r="B77" s="11" t="str">
        <f>CONCATENATE("          ", "6387", " - ", "COMMISSION DUE HOUSING")</f>
        <v xml:space="preserve">          6387 - COMMISSION DUE HOUSING</v>
      </c>
      <c r="C77" s="11"/>
      <c r="D77" s="7"/>
      <c r="E77" s="2"/>
      <c r="F77" s="6">
        <f t="shared" si="36"/>
        <v>0</v>
      </c>
      <c r="G77" s="2"/>
      <c r="H77" s="7">
        <v>0</v>
      </c>
      <c r="I77" s="2"/>
      <c r="J77" s="6">
        <f t="shared" si="37"/>
        <v>0</v>
      </c>
      <c r="K77" s="2"/>
      <c r="L77" s="7">
        <f t="shared" si="38"/>
        <v>0</v>
      </c>
      <c r="M77" s="2"/>
      <c r="N77" s="6">
        <f t="shared" si="39"/>
        <v>0</v>
      </c>
      <c r="O77" s="11"/>
      <c r="P77" s="7"/>
      <c r="Q77" s="2"/>
      <c r="R77" s="6">
        <f t="shared" si="40"/>
        <v>0</v>
      </c>
      <c r="S77" s="2"/>
      <c r="T77" s="7">
        <v>0</v>
      </c>
      <c r="U77" s="2"/>
      <c r="V77" s="6">
        <f t="shared" si="41"/>
        <v>0</v>
      </c>
      <c r="W77" s="2"/>
      <c r="X77" s="7">
        <f t="shared" si="42"/>
        <v>0</v>
      </c>
      <c r="Y77" s="2"/>
      <c r="Z77" s="6">
        <f t="shared" si="43"/>
        <v>0</v>
      </c>
    </row>
    <row r="78" spans="1:26" s="27" customFormat="1" outlineLevel="1" collapsed="1" x14ac:dyDescent="0.25">
      <c r="A78" s="28"/>
      <c r="B78" s="14" t="str">
        <f>CONCATENATE("     ","Rent                                              ")</f>
        <v xml:space="preserve">     Rent                                              </v>
      </c>
      <c r="C78" s="14"/>
      <c r="D78" s="1">
        <f>SUM(OSRRefD22_14x_0)</f>
        <v>1150</v>
      </c>
      <c r="E78" s="1"/>
      <c r="F78" s="5">
        <f t="shared" si="36"/>
        <v>1.954953120224177E-2</v>
      </c>
      <c r="G78" s="1"/>
      <c r="H78" s="1">
        <f>SUM(OSRRefH22_14x_0)</f>
        <v>1150</v>
      </c>
      <c r="I78" s="1"/>
      <c r="J78" s="5">
        <f t="shared" si="37"/>
        <v>1.9219777317988709E-2</v>
      </c>
      <c r="K78" s="1"/>
      <c r="L78" s="1">
        <f t="shared" si="38"/>
        <v>0</v>
      </c>
      <c r="M78" s="1"/>
      <c r="N78" s="5">
        <f t="shared" si="39"/>
        <v>0</v>
      </c>
      <c r="O78" s="14"/>
      <c r="P78" s="1">
        <f>SUM(OSRRefP22_14x_0)</f>
        <v>1150</v>
      </c>
      <c r="Q78" s="1"/>
      <c r="R78" s="5">
        <f t="shared" si="40"/>
        <v>1.954953120224177E-2</v>
      </c>
      <c r="S78" s="1"/>
      <c r="T78" s="1">
        <f>SUM(OSRRefT22_14x_0)</f>
        <v>1150</v>
      </c>
      <c r="U78" s="1"/>
      <c r="V78" s="5">
        <f t="shared" si="41"/>
        <v>1.9219777317988709E-2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25">
      <c r="A79" s="29"/>
      <c r="B79" s="11" t="str">
        <f>CONCATENATE("          ", "6273", " - ", "RENT")</f>
        <v xml:space="preserve">          6273 - RENT</v>
      </c>
      <c r="C79" s="11"/>
      <c r="D79" s="7">
        <v>1150</v>
      </c>
      <c r="E79" s="2"/>
      <c r="F79" s="6">
        <f t="shared" si="36"/>
        <v>1.954953120224177E-2</v>
      </c>
      <c r="G79" s="2"/>
      <c r="H79" s="7">
        <v>1150</v>
      </c>
      <c r="I79" s="2"/>
      <c r="J79" s="6">
        <f t="shared" si="37"/>
        <v>1.9219777317988709E-2</v>
      </c>
      <c r="K79" s="2"/>
      <c r="L79" s="7">
        <f t="shared" si="38"/>
        <v>0</v>
      </c>
      <c r="M79" s="2"/>
      <c r="N79" s="6">
        <f t="shared" si="39"/>
        <v>0</v>
      </c>
      <c r="O79" s="11"/>
      <c r="P79" s="7">
        <v>1150</v>
      </c>
      <c r="Q79" s="2"/>
      <c r="R79" s="6">
        <f t="shared" si="40"/>
        <v>1.954953120224177E-2</v>
      </c>
      <c r="S79" s="2"/>
      <c r="T79" s="7">
        <v>1150</v>
      </c>
      <c r="U79" s="2"/>
      <c r="V79" s="6">
        <f t="shared" si="41"/>
        <v>1.9219777317988709E-2</v>
      </c>
      <c r="W79" s="2"/>
      <c r="X79" s="7">
        <f t="shared" si="42"/>
        <v>0</v>
      </c>
      <c r="Y79" s="2"/>
      <c r="Z79" s="6">
        <f t="shared" si="43"/>
        <v>0</v>
      </c>
    </row>
    <row r="80" spans="1:26" s="27" customFormat="1" outlineLevel="1" collapsed="1" x14ac:dyDescent="0.25">
      <c r="A80" s="28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SUM(OSRRefD22_15x_0)</f>
        <v>1762.79</v>
      </c>
      <c r="E80" s="1"/>
      <c r="F80" s="5">
        <f t="shared" si="36"/>
        <v>2.9966711398260668E-2</v>
      </c>
      <c r="G80" s="1"/>
      <c r="H80" s="1">
        <f>SUM(OSRRefH22_15x_0)</f>
        <v>3155</v>
      </c>
      <c r="I80" s="1"/>
      <c r="J80" s="5">
        <f t="shared" si="37"/>
        <v>5.2729041250655979E-2</v>
      </c>
      <c r="K80" s="1"/>
      <c r="L80" s="1">
        <f t="shared" si="38"/>
        <v>-1392.21</v>
      </c>
      <c r="M80" s="1"/>
      <c r="N80" s="5">
        <f t="shared" si="39"/>
        <v>-0.44127099841521394</v>
      </c>
      <c r="O80" s="14"/>
      <c r="P80" s="1">
        <f>SUM(OSRRefP22_15x_0)</f>
        <v>1762.79</v>
      </c>
      <c r="Q80" s="1"/>
      <c r="R80" s="5">
        <f t="shared" si="40"/>
        <v>2.9966711398260668E-2</v>
      </c>
      <c r="S80" s="1"/>
      <c r="T80" s="1">
        <f>SUM(OSRRefT22_15x_0)</f>
        <v>3155</v>
      </c>
      <c r="U80" s="1"/>
      <c r="V80" s="5">
        <f t="shared" si="41"/>
        <v>5.2729041250655979E-2</v>
      </c>
      <c r="W80" s="1"/>
      <c r="X80" s="1">
        <f t="shared" si="42"/>
        <v>-1392.21</v>
      </c>
      <c r="Y80" s="1"/>
      <c r="Z80" s="5">
        <f t="shared" si="43"/>
        <v>-0.44127099841521394</v>
      </c>
    </row>
    <row r="81" spans="1:26" s="24" customFormat="1" hidden="1" outlineLevel="2" x14ac:dyDescent="0.25">
      <c r="A81" s="29"/>
      <c r="B81" s="11" t="str">
        <f>CONCATENATE("          ", "6375", " - ", "OUTSIDE REPAIRS &amp; MAINTENANCE")</f>
        <v xml:space="preserve">          6375 - OUTSIDE REPAIRS &amp; MAINTENANCE</v>
      </c>
      <c r="C81" s="11"/>
      <c r="D81" s="7">
        <v>1762.79</v>
      </c>
      <c r="E81" s="2"/>
      <c r="F81" s="6">
        <f t="shared" si="36"/>
        <v>2.9966711398260668E-2</v>
      </c>
      <c r="G81" s="2"/>
      <c r="H81" s="7">
        <v>3155</v>
      </c>
      <c r="I81" s="2"/>
      <c r="J81" s="6">
        <f t="shared" si="37"/>
        <v>5.2729041250655979E-2</v>
      </c>
      <c r="K81" s="2"/>
      <c r="L81" s="7">
        <f t="shared" si="38"/>
        <v>-1392.21</v>
      </c>
      <c r="M81" s="2"/>
      <c r="N81" s="6">
        <f t="shared" si="39"/>
        <v>-0.44127099841521394</v>
      </c>
      <c r="O81" s="11"/>
      <c r="P81" s="7">
        <v>1762.79</v>
      </c>
      <c r="Q81" s="2"/>
      <c r="R81" s="6">
        <f t="shared" si="40"/>
        <v>2.9966711398260668E-2</v>
      </c>
      <c r="S81" s="2"/>
      <c r="T81" s="7">
        <v>3155</v>
      </c>
      <c r="U81" s="2"/>
      <c r="V81" s="6">
        <f t="shared" si="41"/>
        <v>5.2729041250655979E-2</v>
      </c>
      <c r="W81" s="2"/>
      <c r="X81" s="7">
        <f t="shared" si="42"/>
        <v>-1392.21</v>
      </c>
      <c r="Y81" s="2"/>
      <c r="Z81" s="6">
        <f t="shared" si="43"/>
        <v>-0.44127099841521394</v>
      </c>
    </row>
    <row r="82" spans="1:26" s="27" customFormat="1" outlineLevel="1" collapsed="1" x14ac:dyDescent="0.25">
      <c r="A82" s="28"/>
      <c r="B82" s="14" t="str">
        <f>CONCATENATE("     ","Royalty &amp; Commissions                             ")</f>
        <v xml:space="preserve">     Royalty &amp; Commissions                             </v>
      </c>
      <c r="C82" s="14"/>
      <c r="D82" s="1">
        <f>SUM(OSRRefD22_16x_0)</f>
        <v>0</v>
      </c>
      <c r="E82" s="1"/>
      <c r="F82" s="5">
        <f t="shared" si="36"/>
        <v>0</v>
      </c>
      <c r="G82" s="1"/>
      <c r="H82" s="1">
        <f>SUM(OSRRefH22_16x_0)</f>
        <v>533</v>
      </c>
      <c r="I82" s="1"/>
      <c r="J82" s="5">
        <f t="shared" si="37"/>
        <v>8.9079489656417234E-3</v>
      </c>
      <c r="K82" s="1"/>
      <c r="L82" s="1">
        <f t="shared" si="38"/>
        <v>-533</v>
      </c>
      <c r="M82" s="1"/>
      <c r="N82" s="5">
        <f t="shared" si="39"/>
        <v>-1</v>
      </c>
      <c r="O82" s="14"/>
      <c r="P82" s="1">
        <f>SUM(OSRRefP22_16x_0)</f>
        <v>0</v>
      </c>
      <c r="Q82" s="1"/>
      <c r="R82" s="5">
        <f t="shared" si="40"/>
        <v>0</v>
      </c>
      <c r="S82" s="1"/>
      <c r="T82" s="1">
        <f>SUM(OSRRefT22_16x_0)</f>
        <v>533</v>
      </c>
      <c r="U82" s="1"/>
      <c r="V82" s="5">
        <f t="shared" si="41"/>
        <v>8.9079489656417234E-3</v>
      </c>
      <c r="W82" s="1"/>
      <c r="X82" s="1">
        <f t="shared" si="42"/>
        <v>-533</v>
      </c>
      <c r="Y82" s="1"/>
      <c r="Z82" s="5">
        <f t="shared" si="43"/>
        <v>-1</v>
      </c>
    </row>
    <row r="83" spans="1:26" s="24" customFormat="1" hidden="1" outlineLevel="2" x14ac:dyDescent="0.25">
      <c r="A83" s="29"/>
      <c r="B83" s="11" t="str">
        <f>CONCATENATE("          ", "6259", " - ", "ROYALTY &amp; COMMISSIONS")</f>
        <v xml:space="preserve">          6259 - ROYALTY &amp; COMMISSIONS</v>
      </c>
      <c r="C83" s="11"/>
      <c r="D83" s="7"/>
      <c r="E83" s="2"/>
      <c r="F83" s="6">
        <f t="shared" si="36"/>
        <v>0</v>
      </c>
      <c r="G83" s="2"/>
      <c r="H83" s="7">
        <v>533</v>
      </c>
      <c r="I83" s="2"/>
      <c r="J83" s="6">
        <f t="shared" si="37"/>
        <v>8.9079489656417234E-3</v>
      </c>
      <c r="K83" s="2"/>
      <c r="L83" s="7">
        <f t="shared" si="38"/>
        <v>-533</v>
      </c>
      <c r="M83" s="2"/>
      <c r="N83" s="6">
        <f t="shared" si="39"/>
        <v>-1</v>
      </c>
      <c r="O83" s="11"/>
      <c r="P83" s="7"/>
      <c r="Q83" s="2"/>
      <c r="R83" s="6">
        <f t="shared" si="40"/>
        <v>0</v>
      </c>
      <c r="S83" s="2"/>
      <c r="T83" s="7">
        <v>533</v>
      </c>
      <c r="U83" s="2"/>
      <c r="V83" s="6">
        <f t="shared" si="41"/>
        <v>8.9079489656417234E-3</v>
      </c>
      <c r="W83" s="2"/>
      <c r="X83" s="7">
        <f t="shared" si="42"/>
        <v>-533</v>
      </c>
      <c r="Y83" s="2"/>
      <c r="Z83" s="6">
        <f t="shared" si="43"/>
        <v>-1</v>
      </c>
    </row>
    <row r="84" spans="1:26" s="27" customFormat="1" outlineLevel="1" collapsed="1" x14ac:dyDescent="0.25">
      <c r="A84" s="28"/>
      <c r="B84" s="14" t="str">
        <f>CONCATENATE("     ","Services                                          ")</f>
        <v xml:space="preserve">     Services                                          </v>
      </c>
      <c r="C84" s="14"/>
      <c r="D84" s="1">
        <f>SUM(OSRRefD22_17x_0)</f>
        <v>1452.44</v>
      </c>
      <c r="E84" s="1"/>
      <c r="F84" s="5">
        <f t="shared" si="36"/>
        <v>2.4690887912507859E-2</v>
      </c>
      <c r="G84" s="1"/>
      <c r="H84" s="1">
        <f>SUM(OSRRefH22_17x_0)</f>
        <v>436</v>
      </c>
      <c r="I84" s="1"/>
      <c r="J84" s="5">
        <f t="shared" si="37"/>
        <v>7.2868025309939808E-3</v>
      </c>
      <c r="K84" s="1"/>
      <c r="L84" s="1">
        <f t="shared" si="38"/>
        <v>1016.44</v>
      </c>
      <c r="M84" s="1"/>
      <c r="N84" s="5">
        <f t="shared" si="39"/>
        <v>2.3312844036697249</v>
      </c>
      <c r="O84" s="14"/>
      <c r="P84" s="1">
        <f>SUM(OSRRefP22_17x_0)</f>
        <v>1452.44</v>
      </c>
      <c r="Q84" s="1"/>
      <c r="R84" s="5">
        <f t="shared" si="40"/>
        <v>2.4690887912507859E-2</v>
      </c>
      <c r="S84" s="1"/>
      <c r="T84" s="1">
        <f>SUM(OSRRefT22_17x_0)</f>
        <v>436</v>
      </c>
      <c r="U84" s="1"/>
      <c r="V84" s="5">
        <f t="shared" si="41"/>
        <v>7.2868025309939808E-3</v>
      </c>
      <c r="W84" s="1"/>
      <c r="X84" s="1">
        <f t="shared" si="42"/>
        <v>1016.44</v>
      </c>
      <c r="Y84" s="1"/>
      <c r="Z84" s="5">
        <f t="shared" si="43"/>
        <v>2.3312844036697249</v>
      </c>
    </row>
    <row r="85" spans="1:26" s="24" customFormat="1" hidden="1" outlineLevel="2" x14ac:dyDescent="0.25">
      <c r="A85" s="29"/>
      <c r="B85" s="11" t="str">
        <f>CONCATENATE("          ", "6281", " - ", "STORAGE FEE")</f>
        <v xml:space="preserve">          6281 - STORAGE FEE</v>
      </c>
      <c r="C85" s="11"/>
      <c r="D85" s="7"/>
      <c r="E85" s="2"/>
      <c r="F85" s="6">
        <f t="shared" si="36"/>
        <v>0</v>
      </c>
      <c r="G85" s="2"/>
      <c r="H85" s="7">
        <v>0</v>
      </c>
      <c r="I85" s="2"/>
      <c r="J85" s="6">
        <f t="shared" si="37"/>
        <v>0</v>
      </c>
      <c r="K85" s="2"/>
      <c r="L85" s="7">
        <f t="shared" si="38"/>
        <v>0</v>
      </c>
      <c r="M85" s="2"/>
      <c r="N85" s="6">
        <f t="shared" si="39"/>
        <v>0</v>
      </c>
      <c r="O85" s="11"/>
      <c r="P85" s="7"/>
      <c r="Q85" s="2"/>
      <c r="R85" s="6">
        <f t="shared" si="40"/>
        <v>0</v>
      </c>
      <c r="S85" s="2"/>
      <c r="T85" s="7">
        <v>0</v>
      </c>
      <c r="U85" s="2"/>
      <c r="V85" s="6">
        <f t="shared" si="41"/>
        <v>0</v>
      </c>
      <c r="W85" s="2"/>
      <c r="X85" s="7">
        <f t="shared" si="42"/>
        <v>0</v>
      </c>
      <c r="Y85" s="2"/>
      <c r="Z85" s="6">
        <f t="shared" si="43"/>
        <v>0</v>
      </c>
    </row>
    <row r="86" spans="1:26" s="24" customFormat="1" hidden="1" outlineLevel="2" x14ac:dyDescent="0.25">
      <c r="A86" s="29"/>
      <c r="B86" s="11" t="str">
        <f>CONCATENATE("          ", "6282", " - ", "JANITORIAL/EXTERMINATOR EXPENS")</f>
        <v xml:space="preserve">          6282 - JANITORIAL/EXTERMINATOR EXPENS</v>
      </c>
      <c r="C86" s="11"/>
      <c r="D86" s="7">
        <v>602.09</v>
      </c>
      <c r="E86" s="2"/>
      <c r="F86" s="6">
        <f t="shared" si="36"/>
        <v>1.0235284557876301E-2</v>
      </c>
      <c r="G86" s="2"/>
      <c r="H86" s="7">
        <v>205</v>
      </c>
      <c r="I86" s="2"/>
      <c r="J86" s="6">
        <f t="shared" si="37"/>
        <v>3.4261342175545091E-3</v>
      </c>
      <c r="K86" s="2"/>
      <c r="L86" s="7">
        <f t="shared" si="38"/>
        <v>397.09000000000003</v>
      </c>
      <c r="M86" s="2"/>
      <c r="N86" s="6">
        <f t="shared" si="39"/>
        <v>1.9370243902439026</v>
      </c>
      <c r="O86" s="11"/>
      <c r="P86" s="7">
        <v>602.09</v>
      </c>
      <c r="Q86" s="2"/>
      <c r="R86" s="6">
        <f t="shared" si="40"/>
        <v>1.0235284557876301E-2</v>
      </c>
      <c r="S86" s="2"/>
      <c r="T86" s="7">
        <v>205</v>
      </c>
      <c r="U86" s="2"/>
      <c r="V86" s="6">
        <f t="shared" si="41"/>
        <v>3.4261342175545091E-3</v>
      </c>
      <c r="W86" s="2"/>
      <c r="X86" s="7">
        <f t="shared" si="42"/>
        <v>397.09000000000003</v>
      </c>
      <c r="Y86" s="2"/>
      <c r="Z86" s="6">
        <f t="shared" si="43"/>
        <v>1.9370243902439026</v>
      </c>
    </row>
    <row r="87" spans="1:26" s="24" customFormat="1" hidden="1" outlineLevel="2" x14ac:dyDescent="0.25">
      <c r="A87" s="29"/>
      <c r="B87" s="11" t="str">
        <f>CONCATENATE("          ", "6284", " - ", "TRASH REMOVAL EXPENSE")</f>
        <v xml:space="preserve">          6284 - TRASH REMOVAL EXPENSE</v>
      </c>
      <c r="C87" s="11"/>
      <c r="D87" s="7">
        <v>237</v>
      </c>
      <c r="E87" s="2"/>
      <c r="F87" s="6">
        <f t="shared" si="36"/>
        <v>4.0289033868967823E-3</v>
      </c>
      <c r="G87" s="2"/>
      <c r="H87" s="7">
        <v>150</v>
      </c>
      <c r="I87" s="2"/>
      <c r="J87" s="6">
        <f t="shared" si="37"/>
        <v>2.5069274762593969E-3</v>
      </c>
      <c r="K87" s="2"/>
      <c r="L87" s="7">
        <f t="shared" si="38"/>
        <v>87</v>
      </c>
      <c r="M87" s="2"/>
      <c r="N87" s="6">
        <f t="shared" si="39"/>
        <v>0.57999999999999996</v>
      </c>
      <c r="O87" s="11"/>
      <c r="P87" s="7">
        <v>237</v>
      </c>
      <c r="Q87" s="2"/>
      <c r="R87" s="6">
        <f t="shared" si="40"/>
        <v>4.0289033868967823E-3</v>
      </c>
      <c r="S87" s="2"/>
      <c r="T87" s="7">
        <v>150</v>
      </c>
      <c r="U87" s="2"/>
      <c r="V87" s="6">
        <f t="shared" si="41"/>
        <v>2.5069274762593969E-3</v>
      </c>
      <c r="W87" s="2"/>
      <c r="X87" s="7">
        <f t="shared" si="42"/>
        <v>87</v>
      </c>
      <c r="Y87" s="2"/>
      <c r="Z87" s="6">
        <f t="shared" si="43"/>
        <v>0.57999999999999996</v>
      </c>
    </row>
    <row r="88" spans="1:26" s="24" customFormat="1" hidden="1" outlineLevel="2" x14ac:dyDescent="0.25">
      <c r="A88" s="29"/>
      <c r="B88" s="11" t="str">
        <f>CONCATENATE("          ", "6285", " - ", "JANITORIAL SERVICES")</f>
        <v xml:space="preserve">          6285 - JANITORIAL SERVICES</v>
      </c>
      <c r="C88" s="11"/>
      <c r="D88" s="7">
        <v>22.62</v>
      </c>
      <c r="E88" s="2"/>
      <c r="F88" s="6">
        <f t="shared" si="36"/>
        <v>3.8453077895192071E-4</v>
      </c>
      <c r="G88" s="2"/>
      <c r="H88" s="7">
        <v>36</v>
      </c>
      <c r="I88" s="2"/>
      <c r="J88" s="6">
        <f t="shared" si="37"/>
        <v>6.0166259430225529E-4</v>
      </c>
      <c r="K88" s="2"/>
      <c r="L88" s="7">
        <f t="shared" si="38"/>
        <v>-13.379999999999999</v>
      </c>
      <c r="M88" s="2"/>
      <c r="N88" s="6">
        <f t="shared" si="39"/>
        <v>-0.37166666666666665</v>
      </c>
      <c r="O88" s="11"/>
      <c r="P88" s="7">
        <v>22.62</v>
      </c>
      <c r="Q88" s="2"/>
      <c r="R88" s="6">
        <f t="shared" si="40"/>
        <v>3.8453077895192071E-4</v>
      </c>
      <c r="S88" s="2"/>
      <c r="T88" s="7">
        <v>36</v>
      </c>
      <c r="U88" s="2"/>
      <c r="V88" s="6">
        <f t="shared" si="41"/>
        <v>6.0166259430225529E-4</v>
      </c>
      <c r="W88" s="2"/>
      <c r="X88" s="7">
        <f t="shared" si="42"/>
        <v>-13.379999999999999</v>
      </c>
      <c r="Y88" s="2"/>
      <c r="Z88" s="6">
        <f t="shared" si="43"/>
        <v>-0.37166666666666665</v>
      </c>
    </row>
    <row r="89" spans="1:26" s="24" customFormat="1" hidden="1" outlineLevel="2" x14ac:dyDescent="0.25">
      <c r="A89" s="29"/>
      <c r="B89" s="11" t="str">
        <f>CONCATENATE("          ", "6286", " - ", "LAUNDRY EXPENSE")</f>
        <v xml:space="preserve">          6286 - LAUNDRY EXPENSE</v>
      </c>
      <c r="C89" s="11"/>
      <c r="D89" s="7">
        <v>590.73</v>
      </c>
      <c r="E89" s="2"/>
      <c r="F89" s="6">
        <f t="shared" si="36"/>
        <v>1.0042169188782852E-2</v>
      </c>
      <c r="G89" s="2"/>
      <c r="H89" s="7">
        <v>45</v>
      </c>
      <c r="I89" s="2"/>
      <c r="J89" s="6">
        <f t="shared" si="37"/>
        <v>7.5207824287781908E-4</v>
      </c>
      <c r="K89" s="2"/>
      <c r="L89" s="7">
        <f t="shared" si="38"/>
        <v>545.73</v>
      </c>
      <c r="M89" s="2"/>
      <c r="N89" s="6">
        <f t="shared" si="39"/>
        <v>12.127333333333334</v>
      </c>
      <c r="O89" s="11"/>
      <c r="P89" s="7">
        <v>590.73</v>
      </c>
      <c r="Q89" s="2"/>
      <c r="R89" s="6">
        <f t="shared" si="40"/>
        <v>1.0042169188782852E-2</v>
      </c>
      <c r="S89" s="2"/>
      <c r="T89" s="7">
        <v>45</v>
      </c>
      <c r="U89" s="2"/>
      <c r="V89" s="6">
        <f t="shared" si="41"/>
        <v>7.5207824287781908E-4</v>
      </c>
      <c r="W89" s="2"/>
      <c r="X89" s="7">
        <f t="shared" si="42"/>
        <v>545.73</v>
      </c>
      <c r="Y89" s="2"/>
      <c r="Z89" s="6">
        <f t="shared" si="43"/>
        <v>12.127333333333334</v>
      </c>
    </row>
    <row r="90" spans="1:26" s="27" customFormat="1" outlineLevel="1" collapsed="1" x14ac:dyDescent="0.25">
      <c r="A90" s="28"/>
      <c r="B90" s="14" t="str">
        <f>CONCATENATE("     ","Subscriptions &amp; Dues                              ")</f>
        <v xml:space="preserve">     Subscriptions &amp; Dues                              </v>
      </c>
      <c r="C90" s="14"/>
      <c r="D90" s="1">
        <f>SUM(OSRRefD22_18x_0)</f>
        <v>176.4</v>
      </c>
      <c r="E90" s="1"/>
      <c r="F90" s="5">
        <f t="shared" ref="F90:F98" si="44">IF(D$12=0,0,D90/D$12)</f>
        <v>2.9987280905003897E-3</v>
      </c>
      <c r="G90" s="1"/>
      <c r="H90" s="1">
        <f>SUM(OSRRefH22_18x_0)</f>
        <v>180</v>
      </c>
      <c r="I90" s="1"/>
      <c r="J90" s="5">
        <f t="shared" ref="J90:J98" si="45">IF(H$12=0,0,H90/H$12)</f>
        <v>3.0083129715112763E-3</v>
      </c>
      <c r="K90" s="1"/>
      <c r="L90" s="1">
        <f t="shared" ref="L90:L98" si="46">+D90-H90</f>
        <v>-3.5999999999999943</v>
      </c>
      <c r="M90" s="1"/>
      <c r="N90" s="5">
        <f t="shared" ref="N90:N98" si="47">IF(H90=0,0,L90/H90)</f>
        <v>-1.9999999999999969E-2</v>
      </c>
      <c r="O90" s="14"/>
      <c r="P90" s="1">
        <f>SUM(OSRRefP22_18x_0)</f>
        <v>176.4</v>
      </c>
      <c r="Q90" s="1"/>
      <c r="R90" s="5">
        <f t="shared" ref="R90:R98" si="48">IF(P$12=0,0,P90/P$12)</f>
        <v>2.9987280905003897E-3</v>
      </c>
      <c r="S90" s="1"/>
      <c r="T90" s="1">
        <f>SUM(OSRRefT22_18x_0)</f>
        <v>180</v>
      </c>
      <c r="U90" s="1"/>
      <c r="V90" s="5">
        <f t="shared" ref="V90:V98" si="49">IF(T$12=0,0,T90/T$12)</f>
        <v>3.0083129715112763E-3</v>
      </c>
      <c r="W90" s="1"/>
      <c r="X90" s="1">
        <f t="shared" ref="X90:X98" si="50">+P90-T90</f>
        <v>-3.5999999999999943</v>
      </c>
      <c r="Y90" s="1"/>
      <c r="Z90" s="5">
        <f t="shared" ref="Z90:Z98" si="51">IF(T90=0,0,X90/T90)</f>
        <v>-1.9999999999999969E-2</v>
      </c>
    </row>
    <row r="91" spans="1:26" s="24" customFormat="1" hidden="1" outlineLevel="2" x14ac:dyDescent="0.25">
      <c r="A91" s="29"/>
      <c r="B91" s="11" t="str">
        <f>CONCATENATE("          ", "6275", " - ", "SUBSCRIPTIONS")</f>
        <v xml:space="preserve">          6275 - SUBSCRIPTIONS</v>
      </c>
      <c r="C91" s="11"/>
      <c r="D91" s="7">
        <v>176.4</v>
      </c>
      <c r="E91" s="2"/>
      <c r="F91" s="6">
        <f t="shared" si="44"/>
        <v>2.9987280905003897E-3</v>
      </c>
      <c r="G91" s="2"/>
      <c r="H91" s="7">
        <v>180</v>
      </c>
      <c r="I91" s="2"/>
      <c r="J91" s="6">
        <f t="shared" si="45"/>
        <v>3.0083129715112763E-3</v>
      </c>
      <c r="K91" s="2"/>
      <c r="L91" s="7">
        <f t="shared" si="46"/>
        <v>-3.5999999999999943</v>
      </c>
      <c r="M91" s="2"/>
      <c r="N91" s="6">
        <f t="shared" si="47"/>
        <v>-1.9999999999999969E-2</v>
      </c>
      <c r="O91" s="11"/>
      <c r="P91" s="7">
        <v>176.4</v>
      </c>
      <c r="Q91" s="2"/>
      <c r="R91" s="6">
        <f t="shared" si="48"/>
        <v>2.9987280905003897E-3</v>
      </c>
      <c r="S91" s="2"/>
      <c r="T91" s="7">
        <v>180</v>
      </c>
      <c r="U91" s="2"/>
      <c r="V91" s="6">
        <f t="shared" si="49"/>
        <v>3.0083129715112763E-3</v>
      </c>
      <c r="W91" s="2"/>
      <c r="X91" s="7">
        <f t="shared" si="50"/>
        <v>-3.5999999999999943</v>
      </c>
      <c r="Y91" s="2"/>
      <c r="Z91" s="6">
        <f t="shared" si="51"/>
        <v>-1.9999999999999969E-2</v>
      </c>
    </row>
    <row r="92" spans="1:26" s="27" customFormat="1" outlineLevel="1" collapsed="1" x14ac:dyDescent="0.25">
      <c r="A92" s="28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SUM(OSRRefD22_19x_0)</f>
        <v>7402.15</v>
      </c>
      <c r="E92" s="1"/>
      <c r="F92" s="5">
        <f t="shared" si="44"/>
        <v>0.12583353251189036</v>
      </c>
      <c r="G92" s="1"/>
      <c r="H92" s="1">
        <f>SUM(OSRRefH22_19x_0)</f>
        <v>4235</v>
      </c>
      <c r="I92" s="1"/>
      <c r="J92" s="5">
        <f t="shared" si="45"/>
        <v>7.077891907972364E-2</v>
      </c>
      <c r="K92" s="1"/>
      <c r="L92" s="1">
        <f t="shared" si="46"/>
        <v>3167.1499999999996</v>
      </c>
      <c r="M92" s="1"/>
      <c r="N92" s="5">
        <f t="shared" si="47"/>
        <v>0.74785123966942135</v>
      </c>
      <c r="O92" s="14"/>
      <c r="P92" s="1">
        <f>SUM(OSRRefP22_19x_0)</f>
        <v>7402.15</v>
      </c>
      <c r="Q92" s="1"/>
      <c r="R92" s="5">
        <f t="shared" si="48"/>
        <v>0.12583353251189036</v>
      </c>
      <c r="S92" s="1"/>
      <c r="T92" s="1">
        <f>SUM(OSRRefT22_19x_0)</f>
        <v>4235</v>
      </c>
      <c r="U92" s="1"/>
      <c r="V92" s="5">
        <f t="shared" si="49"/>
        <v>7.077891907972364E-2</v>
      </c>
      <c r="W92" s="1"/>
      <c r="X92" s="1">
        <f t="shared" si="50"/>
        <v>3167.1499999999996</v>
      </c>
      <c r="Y92" s="1"/>
      <c r="Z92" s="5">
        <f t="shared" si="51"/>
        <v>0.74785123966942135</v>
      </c>
    </row>
    <row r="93" spans="1:26" s="24" customFormat="1" hidden="1" outlineLevel="2" x14ac:dyDescent="0.25">
      <c r="A93" s="29"/>
      <c r="B93" s="11" t="str">
        <f>CONCATENATE("          ", "6234", " - ", "EXPENDABLE SUPPLIES &amp; EQUIPMEN")</f>
        <v xml:space="preserve">          6234 - EXPENDABLE SUPPLIES &amp; EQUIPMEN</v>
      </c>
      <c r="C93" s="11"/>
      <c r="D93" s="7"/>
      <c r="E93" s="2"/>
      <c r="F93" s="6">
        <f t="shared" si="44"/>
        <v>0</v>
      </c>
      <c r="G93" s="2"/>
      <c r="H93" s="7">
        <v>3000</v>
      </c>
      <c r="I93" s="2"/>
      <c r="J93" s="6">
        <f t="shared" si="45"/>
        <v>5.0138549525187939E-2</v>
      </c>
      <c r="K93" s="2"/>
      <c r="L93" s="7">
        <f t="shared" si="46"/>
        <v>-3000</v>
      </c>
      <c r="M93" s="2"/>
      <c r="N93" s="6">
        <f t="shared" si="47"/>
        <v>-1</v>
      </c>
      <c r="O93" s="11"/>
      <c r="P93" s="7"/>
      <c r="Q93" s="2"/>
      <c r="R93" s="6">
        <f t="shared" si="48"/>
        <v>0</v>
      </c>
      <c r="S93" s="2"/>
      <c r="T93" s="7">
        <v>3000</v>
      </c>
      <c r="U93" s="2"/>
      <c r="V93" s="6">
        <f t="shared" si="49"/>
        <v>5.0138549525187939E-2</v>
      </c>
      <c r="W93" s="2"/>
      <c r="X93" s="7">
        <f t="shared" si="50"/>
        <v>-3000</v>
      </c>
      <c r="Y93" s="2"/>
      <c r="Z93" s="6">
        <f t="shared" si="51"/>
        <v>-1</v>
      </c>
    </row>
    <row r="94" spans="1:26" s="24" customFormat="1" hidden="1" outlineLevel="2" x14ac:dyDescent="0.25">
      <c r="A94" s="29"/>
      <c r="B94" s="11" t="str">
        <f>CONCATENATE("          ", "6237", " - ", "JANITORIAL SUPPLIES")</f>
        <v xml:space="preserve">          6237 - JANITORIAL SUPPLIES</v>
      </c>
      <c r="C94" s="11"/>
      <c r="D94" s="7">
        <v>377.32</v>
      </c>
      <c r="E94" s="2"/>
      <c r="F94" s="6">
        <f t="shared" si="44"/>
        <v>6.4142861854172735E-3</v>
      </c>
      <c r="G94" s="2"/>
      <c r="H94" s="7">
        <v>300</v>
      </c>
      <c r="I94" s="2"/>
      <c r="J94" s="6">
        <f t="shared" si="45"/>
        <v>5.0138549525187938E-3</v>
      </c>
      <c r="K94" s="2"/>
      <c r="L94" s="7">
        <f t="shared" si="46"/>
        <v>77.319999999999993</v>
      </c>
      <c r="M94" s="2"/>
      <c r="N94" s="6">
        <f t="shared" si="47"/>
        <v>0.25773333333333331</v>
      </c>
      <c r="O94" s="11"/>
      <c r="P94" s="7">
        <v>377.32</v>
      </c>
      <c r="Q94" s="2"/>
      <c r="R94" s="6">
        <f t="shared" si="48"/>
        <v>6.4142861854172735E-3</v>
      </c>
      <c r="S94" s="2"/>
      <c r="T94" s="7">
        <v>300</v>
      </c>
      <c r="U94" s="2"/>
      <c r="V94" s="6">
        <f t="shared" si="49"/>
        <v>5.0138549525187938E-3</v>
      </c>
      <c r="W94" s="2"/>
      <c r="X94" s="7">
        <f t="shared" si="50"/>
        <v>77.319999999999993</v>
      </c>
      <c r="Y94" s="2"/>
      <c r="Z94" s="6">
        <f t="shared" si="51"/>
        <v>0.25773333333333331</v>
      </c>
    </row>
    <row r="95" spans="1:26" s="24" customFormat="1" hidden="1" outlineLevel="2" x14ac:dyDescent="0.25">
      <c r="A95" s="29"/>
      <c r="B95" s="11" t="str">
        <f>CONCATENATE("          ", "6241", " - ", "OFFICE EXPENSE")</f>
        <v xml:space="preserve">          6241 - OFFICE EXPENSE</v>
      </c>
      <c r="C95" s="11"/>
      <c r="D95" s="7">
        <v>273.74</v>
      </c>
      <c r="E95" s="2"/>
      <c r="F95" s="6">
        <f t="shared" si="44"/>
        <v>4.6534684098275322E-3</v>
      </c>
      <c r="G95" s="2"/>
      <c r="H95" s="7">
        <v>0</v>
      </c>
      <c r="I95" s="2"/>
      <c r="J95" s="6">
        <f t="shared" si="45"/>
        <v>0</v>
      </c>
      <c r="K95" s="2"/>
      <c r="L95" s="7">
        <f t="shared" si="46"/>
        <v>273.74</v>
      </c>
      <c r="M95" s="2"/>
      <c r="N95" s="6">
        <f t="shared" si="47"/>
        <v>0</v>
      </c>
      <c r="O95" s="11"/>
      <c r="P95" s="7">
        <v>273.74</v>
      </c>
      <c r="Q95" s="2"/>
      <c r="R95" s="6">
        <f t="shared" si="48"/>
        <v>4.6534684098275322E-3</v>
      </c>
      <c r="S95" s="2"/>
      <c r="T95" s="7">
        <v>0</v>
      </c>
      <c r="U95" s="2"/>
      <c r="V95" s="6">
        <f t="shared" si="49"/>
        <v>0</v>
      </c>
      <c r="W95" s="2"/>
      <c r="X95" s="7">
        <f t="shared" si="50"/>
        <v>273.74</v>
      </c>
      <c r="Y95" s="2"/>
      <c r="Z95" s="6">
        <f t="shared" si="51"/>
        <v>0</v>
      </c>
    </row>
    <row r="96" spans="1:26" s="24" customFormat="1" hidden="1" outlineLevel="2" x14ac:dyDescent="0.25">
      <c r="A96" s="29"/>
      <c r="B96" s="11" t="str">
        <f>CONCATENATE("          ", "6244", " - ", "SAFETY SUPPLY EXPENSE")</f>
        <v xml:space="preserve">          6244 - SAFETY SUPPLY EXPENSE</v>
      </c>
      <c r="C96" s="11"/>
      <c r="D96" s="7"/>
      <c r="E96" s="2"/>
      <c r="F96" s="6">
        <f t="shared" si="44"/>
        <v>0</v>
      </c>
      <c r="G96" s="2"/>
      <c r="H96" s="7">
        <v>30</v>
      </c>
      <c r="I96" s="2"/>
      <c r="J96" s="6">
        <f t="shared" si="45"/>
        <v>5.0138549525187935E-4</v>
      </c>
      <c r="K96" s="2"/>
      <c r="L96" s="7">
        <f t="shared" si="46"/>
        <v>-30</v>
      </c>
      <c r="M96" s="2"/>
      <c r="N96" s="6">
        <f t="shared" si="47"/>
        <v>-1</v>
      </c>
      <c r="O96" s="11"/>
      <c r="P96" s="7"/>
      <c r="Q96" s="2"/>
      <c r="R96" s="6">
        <f t="shared" si="48"/>
        <v>0</v>
      </c>
      <c r="S96" s="2"/>
      <c r="T96" s="7">
        <v>30</v>
      </c>
      <c r="U96" s="2"/>
      <c r="V96" s="6">
        <f t="shared" si="49"/>
        <v>5.0138549525187935E-4</v>
      </c>
      <c r="W96" s="2"/>
      <c r="X96" s="7">
        <f t="shared" si="50"/>
        <v>-30</v>
      </c>
      <c r="Y96" s="2"/>
      <c r="Z96" s="6">
        <f t="shared" si="51"/>
        <v>-1</v>
      </c>
    </row>
    <row r="97" spans="1:26" s="24" customFormat="1" hidden="1" outlineLevel="2" x14ac:dyDescent="0.25">
      <c r="A97" s="29"/>
      <c r="B97" s="11" t="str">
        <f>CONCATENATE("          ", "6247", " - ", "STORE SUPPLIES")</f>
        <v xml:space="preserve">          6247 - STORE SUPPLIES</v>
      </c>
      <c r="C97" s="11"/>
      <c r="D97" s="7">
        <v>6751.09</v>
      </c>
      <c r="E97" s="2"/>
      <c r="F97" s="6">
        <f t="shared" si="44"/>
        <v>0.11476577791664555</v>
      </c>
      <c r="G97" s="2"/>
      <c r="H97" s="7">
        <v>605</v>
      </c>
      <c r="I97" s="2"/>
      <c r="J97" s="6">
        <f t="shared" si="45"/>
        <v>1.0111274154246234E-2</v>
      </c>
      <c r="K97" s="2"/>
      <c r="L97" s="7">
        <f t="shared" si="46"/>
        <v>6146.09</v>
      </c>
      <c r="M97" s="2"/>
      <c r="N97" s="6">
        <f t="shared" si="47"/>
        <v>10.158826446280992</v>
      </c>
      <c r="O97" s="11"/>
      <c r="P97" s="7">
        <v>6751.09</v>
      </c>
      <c r="Q97" s="2"/>
      <c r="R97" s="6">
        <f t="shared" si="48"/>
        <v>0.11476577791664555</v>
      </c>
      <c r="S97" s="2"/>
      <c r="T97" s="7">
        <v>605</v>
      </c>
      <c r="U97" s="2"/>
      <c r="V97" s="6">
        <f t="shared" si="49"/>
        <v>1.0111274154246234E-2</v>
      </c>
      <c r="W97" s="2"/>
      <c r="X97" s="7">
        <f t="shared" si="50"/>
        <v>6146.09</v>
      </c>
      <c r="Y97" s="2"/>
      <c r="Z97" s="6">
        <f t="shared" si="51"/>
        <v>10.158826446280992</v>
      </c>
    </row>
    <row r="98" spans="1:26" s="24" customFormat="1" hidden="1" outlineLevel="2" x14ac:dyDescent="0.25">
      <c r="A98" s="29"/>
      <c r="B98" s="11" t="str">
        <f>CONCATENATE("          ", "6248", " - ", "UNIFORMS")</f>
        <v xml:space="preserve">          6248 - UNIFORMS</v>
      </c>
      <c r="C98" s="11"/>
      <c r="D98" s="7"/>
      <c r="E98" s="2"/>
      <c r="F98" s="6">
        <f t="shared" si="44"/>
        <v>0</v>
      </c>
      <c r="G98" s="2"/>
      <c r="H98" s="7">
        <v>300</v>
      </c>
      <c r="I98" s="2"/>
      <c r="J98" s="6">
        <f t="shared" si="45"/>
        <v>5.0138549525187938E-3</v>
      </c>
      <c r="K98" s="2"/>
      <c r="L98" s="7">
        <f t="shared" si="46"/>
        <v>-300</v>
      </c>
      <c r="M98" s="2"/>
      <c r="N98" s="6">
        <f t="shared" si="47"/>
        <v>-1</v>
      </c>
      <c r="O98" s="11"/>
      <c r="P98" s="7"/>
      <c r="Q98" s="2"/>
      <c r="R98" s="6">
        <f t="shared" si="48"/>
        <v>0</v>
      </c>
      <c r="S98" s="2"/>
      <c r="T98" s="7">
        <v>300</v>
      </c>
      <c r="U98" s="2"/>
      <c r="V98" s="6">
        <f t="shared" si="49"/>
        <v>5.0138549525187938E-3</v>
      </c>
      <c r="W98" s="2"/>
      <c r="X98" s="7">
        <f t="shared" si="50"/>
        <v>-300</v>
      </c>
      <c r="Y98" s="2"/>
      <c r="Z98" s="6">
        <f t="shared" si="51"/>
        <v>-1</v>
      </c>
    </row>
    <row r="99" spans="1:26" s="27" customFormat="1" outlineLevel="1" collapsed="1" x14ac:dyDescent="0.25">
      <c r="A99" s="28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SUM(OSRRefD22_20x_0)</f>
        <v>236.81</v>
      </c>
      <c r="E99" s="1"/>
      <c r="F99" s="5">
        <f t="shared" ref="F99:F102" si="52">IF(D$12=0,0,D99/D$12)</f>
        <v>4.0256734643503251E-3</v>
      </c>
      <c r="G99" s="1"/>
      <c r="H99" s="1">
        <f>SUM(OSRRefH22_20x_0)</f>
        <v>340</v>
      </c>
      <c r="I99" s="1"/>
      <c r="J99" s="5">
        <f t="shared" ref="J99:J102" si="53">IF(H$12=0,0,H99/H$12)</f>
        <v>5.6823689461879667E-3</v>
      </c>
      <c r="K99" s="1"/>
      <c r="L99" s="1">
        <f t="shared" ref="L99:L102" si="54">+D99-H99</f>
        <v>-103.19</v>
      </c>
      <c r="M99" s="1"/>
      <c r="N99" s="5">
        <f t="shared" ref="N99:N102" si="55">IF(H99=0,0,L99/H99)</f>
        <v>-0.30349999999999999</v>
      </c>
      <c r="O99" s="14"/>
      <c r="P99" s="1">
        <f>SUM(OSRRefP22_20x_0)</f>
        <v>236.81</v>
      </c>
      <c r="Q99" s="1"/>
      <c r="R99" s="5">
        <f t="shared" ref="R99:R102" si="56">IF(P$12=0,0,P99/P$12)</f>
        <v>4.0256734643503251E-3</v>
      </c>
      <c r="S99" s="1"/>
      <c r="T99" s="1">
        <f>SUM(OSRRefT22_20x_0)</f>
        <v>340</v>
      </c>
      <c r="U99" s="1"/>
      <c r="V99" s="5">
        <f t="shared" ref="V99:V102" si="57">IF(T$12=0,0,T99/T$12)</f>
        <v>5.6823689461879667E-3</v>
      </c>
      <c r="W99" s="1"/>
      <c r="X99" s="1">
        <f t="shared" ref="X99:X102" si="58">+P99-T99</f>
        <v>-103.19</v>
      </c>
      <c r="Y99" s="1"/>
      <c r="Z99" s="5">
        <f t="shared" ref="Z99:Z102" si="59">IF(T99=0,0,X99/T99)</f>
        <v>-0.30349999999999999</v>
      </c>
    </row>
    <row r="100" spans="1:26" s="24" customFormat="1" hidden="1" outlineLevel="2" x14ac:dyDescent="0.25">
      <c r="A100" s="29"/>
      <c r="B100" s="11" t="str">
        <f>CONCATENATE("          ", "6309", " - ", "TELEPHONE")</f>
        <v xml:space="preserve">          6309 - TELEPHONE</v>
      </c>
      <c r="C100" s="11"/>
      <c r="D100" s="7">
        <v>236.81</v>
      </c>
      <c r="E100" s="2"/>
      <c r="F100" s="6">
        <f t="shared" si="52"/>
        <v>4.0256734643503251E-3</v>
      </c>
      <c r="G100" s="2"/>
      <c r="H100" s="7">
        <v>340</v>
      </c>
      <c r="I100" s="2"/>
      <c r="J100" s="6">
        <f t="shared" si="53"/>
        <v>5.6823689461879667E-3</v>
      </c>
      <c r="K100" s="2"/>
      <c r="L100" s="7">
        <f t="shared" si="54"/>
        <v>-103.19</v>
      </c>
      <c r="M100" s="2"/>
      <c r="N100" s="6">
        <f t="shared" si="55"/>
        <v>-0.30349999999999999</v>
      </c>
      <c r="O100" s="11"/>
      <c r="P100" s="7">
        <v>236.81</v>
      </c>
      <c r="Q100" s="2"/>
      <c r="R100" s="6">
        <f t="shared" si="56"/>
        <v>4.0256734643503251E-3</v>
      </c>
      <c r="S100" s="2"/>
      <c r="T100" s="7">
        <v>340</v>
      </c>
      <c r="U100" s="2"/>
      <c r="V100" s="6">
        <f t="shared" si="57"/>
        <v>5.6823689461879667E-3</v>
      </c>
      <c r="W100" s="2"/>
      <c r="X100" s="7">
        <f t="shared" si="58"/>
        <v>-103.19</v>
      </c>
      <c r="Y100" s="2"/>
      <c r="Z100" s="6">
        <f t="shared" si="59"/>
        <v>-0.30349999999999999</v>
      </c>
    </row>
    <row r="101" spans="1:26" s="27" customFormat="1" outlineLevel="1" collapsed="1" x14ac:dyDescent="0.25">
      <c r="A101" s="28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SUM(OSRRefD22_21x_0)</f>
        <v>959</v>
      </c>
      <c r="E101" s="1"/>
      <c r="F101" s="5">
        <f t="shared" si="52"/>
        <v>1.6302609063434659E-2</v>
      </c>
      <c r="G101" s="1"/>
      <c r="H101" s="1">
        <f>SUM(OSRRefH22_21x_0)</f>
        <v>1106</v>
      </c>
      <c r="I101" s="1"/>
      <c r="J101" s="5">
        <f t="shared" si="53"/>
        <v>1.8484411924952621E-2</v>
      </c>
      <c r="K101" s="1"/>
      <c r="L101" s="1">
        <f t="shared" si="54"/>
        <v>-147</v>
      </c>
      <c r="M101" s="1"/>
      <c r="N101" s="5">
        <f t="shared" si="55"/>
        <v>-0.13291139240506328</v>
      </c>
      <c r="O101" s="14"/>
      <c r="P101" s="1">
        <f>SUM(OSRRefP22_21x_0)</f>
        <v>959</v>
      </c>
      <c r="Q101" s="1"/>
      <c r="R101" s="5">
        <f t="shared" si="56"/>
        <v>1.6302609063434659E-2</v>
      </c>
      <c r="S101" s="1"/>
      <c r="T101" s="1">
        <f>SUM(OSRRefT22_21x_0)</f>
        <v>1106</v>
      </c>
      <c r="U101" s="1"/>
      <c r="V101" s="5">
        <f t="shared" si="57"/>
        <v>1.8484411924952621E-2</v>
      </c>
      <c r="W101" s="1"/>
      <c r="X101" s="1">
        <f t="shared" si="58"/>
        <v>-147</v>
      </c>
      <c r="Y101" s="1"/>
      <c r="Z101" s="5">
        <f t="shared" si="59"/>
        <v>-0.13291139240506328</v>
      </c>
    </row>
    <row r="102" spans="1:26" s="24" customFormat="1" hidden="1" outlineLevel="2" x14ac:dyDescent="0.25">
      <c r="A102" s="29"/>
      <c r="B102" s="11" t="str">
        <f>CONCATENATE("          ", "6274", " - ", "UTILITIES")</f>
        <v xml:space="preserve">          6274 - UTILITIES</v>
      </c>
      <c r="C102" s="11"/>
      <c r="D102" s="7">
        <v>959</v>
      </c>
      <c r="E102" s="2"/>
      <c r="F102" s="6">
        <f t="shared" si="52"/>
        <v>1.6302609063434659E-2</v>
      </c>
      <c r="G102" s="2"/>
      <c r="H102" s="7">
        <v>1106</v>
      </c>
      <c r="I102" s="2"/>
      <c r="J102" s="6">
        <f t="shared" si="53"/>
        <v>1.8484411924952621E-2</v>
      </c>
      <c r="K102" s="2"/>
      <c r="L102" s="7">
        <f t="shared" si="54"/>
        <v>-147</v>
      </c>
      <c r="M102" s="2"/>
      <c r="N102" s="6">
        <f t="shared" si="55"/>
        <v>-0.13291139240506328</v>
      </c>
      <c r="O102" s="11"/>
      <c r="P102" s="7">
        <v>959</v>
      </c>
      <c r="Q102" s="2"/>
      <c r="R102" s="6">
        <f t="shared" si="56"/>
        <v>1.6302609063434659E-2</v>
      </c>
      <c r="S102" s="2"/>
      <c r="T102" s="7">
        <v>1106</v>
      </c>
      <c r="U102" s="2"/>
      <c r="V102" s="6">
        <f t="shared" si="57"/>
        <v>1.8484411924952621E-2</v>
      </c>
      <c r="W102" s="2"/>
      <c r="X102" s="7">
        <f t="shared" si="58"/>
        <v>-147</v>
      </c>
      <c r="Y102" s="2"/>
      <c r="Z102" s="6">
        <f t="shared" si="59"/>
        <v>-0.13291139240506328</v>
      </c>
    </row>
    <row r="103" spans="1:26" s="57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x14ac:dyDescent="0.25">
      <c r="A104" s="10"/>
      <c r="B104" s="25" t="s">
        <v>0</v>
      </c>
      <c r="C104" s="10"/>
      <c r="D104" s="4">
        <f>SUM(0)</f>
        <v>0</v>
      </c>
      <c r="E104" s="4"/>
      <c r="F104" s="12">
        <f>IF(D$12=0,0,D104/D$12)</f>
        <v>0</v>
      </c>
      <c r="G104" s="4"/>
      <c r="H104" s="4">
        <f>SUM(0)</f>
        <v>0</v>
      </c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>
        <f>SUM(0)</f>
        <v>0</v>
      </c>
      <c r="Q104" s="4"/>
      <c r="R104" s="12">
        <f>IF(P$12=0,0,P104/P$12)</f>
        <v>0</v>
      </c>
      <c r="S104" s="4"/>
      <c r="T104" s="4">
        <f>SUM(0)</f>
        <v>0</v>
      </c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6" t="s">
        <v>3</v>
      </c>
      <c r="C106" s="26"/>
      <c r="D106" s="21">
        <f>+D29-D31+D104</f>
        <v>-51165.059999999976</v>
      </c>
      <c r="E106" s="13"/>
      <c r="F106" s="19">
        <f>IF(D$12=0,0,D106/D$12)</f>
        <v>-0.8697851625518016</v>
      </c>
      <c r="G106" s="13"/>
      <c r="H106" s="21">
        <f>+H29-H31+H104</f>
        <v>-43584.070291423079</v>
      </c>
      <c r="I106" s="13"/>
      <c r="J106" s="19">
        <f>IF(H$12=0,0,H106/H$12)</f>
        <v>-0.72841402227192942</v>
      </c>
      <c r="K106" s="15"/>
      <c r="L106" s="21">
        <f>+D106-H106</f>
        <v>-7580.9897085768971</v>
      </c>
      <c r="M106" s="15"/>
      <c r="N106" s="19">
        <f>IF(H106=0,0,L106/H106)</f>
        <v>0.17393946131893886</v>
      </c>
      <c r="O106" s="25"/>
      <c r="P106" s="21">
        <f>+P29-P31+P104</f>
        <v>-51165.059999999976</v>
      </c>
      <c r="Q106" s="13"/>
      <c r="R106" s="19">
        <f>IF(P$12=0,0,P106/P$12)</f>
        <v>-0.8697851625518016</v>
      </c>
      <c r="S106" s="13"/>
      <c r="T106" s="21">
        <f>+T29-T31+T104</f>
        <v>-43584.070291423079</v>
      </c>
      <c r="U106" s="13"/>
      <c r="V106" s="19">
        <f>IF(T$12=0,0,T106/T$12)</f>
        <v>-0.72841402227192942</v>
      </c>
      <c r="W106" s="15"/>
      <c r="X106" s="21">
        <f>+P106-T106</f>
        <v>-7580.9897085768971</v>
      </c>
      <c r="Y106" s="15"/>
      <c r="Z106" s="19">
        <f>IF(T106=0,0,X106/T106)</f>
        <v>0.17393946131893886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2"/>
      <c r="B108" s="10" t="s">
        <v>14</v>
      </c>
      <c r="C108" s="10"/>
      <c r="D108" s="4">
        <v>12231.43</v>
      </c>
      <c r="E108" s="4"/>
      <c r="F108" s="12">
        <f>IF(D$12=0,0,D108/D$12)</f>
        <v>0.20792932385481397</v>
      </c>
      <c r="G108" s="4"/>
      <c r="H108" s="4">
        <v>14582</v>
      </c>
      <c r="I108" s="4"/>
      <c r="J108" s="12">
        <f>IF(H$12=0,0,H108/H$12)</f>
        <v>0.24370677639209684</v>
      </c>
      <c r="K108" s="4"/>
      <c r="L108" s="4">
        <f>+D108-H108</f>
        <v>-2350.5699999999997</v>
      </c>
      <c r="M108" s="4"/>
      <c r="N108" s="12">
        <f>IF(H108=0,0,L108/H108)</f>
        <v>-0.16119668083939101</v>
      </c>
      <c r="O108" s="10"/>
      <c r="P108" s="4">
        <v>12231.43</v>
      </c>
      <c r="Q108" s="4"/>
      <c r="R108" s="12">
        <f>IF(P$12=0,0,P108/P$12)</f>
        <v>0.20792932385481397</v>
      </c>
      <c r="S108" s="4"/>
      <c r="T108" s="4">
        <v>14582</v>
      </c>
      <c r="U108" s="4"/>
      <c r="V108" s="12">
        <f>IF(T$12=0,0,T108/T$12)</f>
        <v>0.24370677639209684</v>
      </c>
      <c r="W108" s="4"/>
      <c r="X108" s="4">
        <f>+P108-T108</f>
        <v>-2350.5699999999997</v>
      </c>
      <c r="Y108" s="4"/>
      <c r="Z108" s="12">
        <f>IF(T108=0,0,X108/T108)</f>
        <v>-0.16119668083939101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6" t="s">
        <v>4</v>
      </c>
      <c r="C110" s="26"/>
      <c r="D110" s="32">
        <f>+D106-D108</f>
        <v>-63396.489999999976</v>
      </c>
      <c r="E110" s="13"/>
      <c r="F110" s="31">
        <f>IF(D$12=0,0,D110/D$12)</f>
        <v>-1.0777144864066155</v>
      </c>
      <c r="G110" s="13"/>
      <c r="H110" s="32">
        <f>+H106-H108</f>
        <v>-58166.070291423079</v>
      </c>
      <c r="I110" s="13"/>
      <c r="J110" s="31">
        <f>IF(H$12=0,0,H110/H$12)</f>
        <v>-0.97212079866402623</v>
      </c>
      <c r="K110" s="15"/>
      <c r="L110" s="32">
        <f>D110-H110</f>
        <v>-5230.4197085768974</v>
      </c>
      <c r="M110" s="15"/>
      <c r="N110" s="31">
        <f>IF(H110=0,0,L110/H110)</f>
        <v>8.9922177695200986E-2</v>
      </c>
      <c r="O110" s="25"/>
      <c r="P110" s="32">
        <f>+P106-P108</f>
        <v>-63396.489999999976</v>
      </c>
      <c r="Q110" s="13"/>
      <c r="R110" s="31">
        <f>IF(P$12=0,0,P110/P$12)</f>
        <v>-1.0777144864066155</v>
      </c>
      <c r="S110" s="13"/>
      <c r="T110" s="32">
        <f>+T106-T108</f>
        <v>-58166.070291423079</v>
      </c>
      <c r="U110" s="13"/>
      <c r="V110" s="31">
        <f>IF(T$12=0,0,T110/T$12)</f>
        <v>-0.97212079866402623</v>
      </c>
      <c r="W110" s="15"/>
      <c r="X110" s="32">
        <f>P110-T110</f>
        <v>-5230.4197085768974</v>
      </c>
      <c r="Y110" s="15"/>
      <c r="Z110" s="31">
        <f>IF(T110=0,0,X110/T110)</f>
        <v>8.9922177695200986E-2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6" t="s">
        <v>5</v>
      </c>
      <c r="C113" s="26"/>
      <c r="D113" s="33">
        <f>SUM(D110:D112)</f>
        <v>-63396.489999999976</v>
      </c>
      <c r="E113" s="13"/>
      <c r="F113" s="34">
        <f>IF(D$12=0,0,D113/D$12)</f>
        <v>-1.0777144864066155</v>
      </c>
      <c r="G113" s="13"/>
      <c r="H113" s="33">
        <f>SUM(H110:H112)</f>
        <v>-58166.070291423079</v>
      </c>
      <c r="I113" s="13"/>
      <c r="J113" s="34">
        <f>IF(H$12=0,0,H113/H$12)</f>
        <v>-0.97212079866402623</v>
      </c>
      <c r="K113" s="15"/>
      <c r="L113" s="33">
        <f>+D113-H113</f>
        <v>-5230.4197085768974</v>
      </c>
      <c r="M113" s="15"/>
      <c r="N113" s="34">
        <f>IF(H113=0,0,L113/H113)</f>
        <v>8.9922177695200986E-2</v>
      </c>
      <c r="O113" s="25"/>
      <c r="P113" s="33">
        <f>SUM(P110:P112)</f>
        <v>-63396.489999999976</v>
      </c>
      <c r="Q113" s="13"/>
      <c r="R113" s="34">
        <f>IF(P$12=0,0,P113/P$12)</f>
        <v>-1.0777144864066155</v>
      </c>
      <c r="S113" s="13"/>
      <c r="T113" s="33">
        <f>SUM(T110:T112)</f>
        <v>-58166.070291423079</v>
      </c>
      <c r="U113" s="13"/>
      <c r="V113" s="34">
        <f>IF(T$12=0,0,T113/T$12)</f>
        <v>-0.97212079866402623</v>
      </c>
      <c r="W113" s="15"/>
      <c r="X113" s="33">
        <f>+P113-T113</f>
        <v>-5230.4197085768974</v>
      </c>
      <c r="Y113" s="15"/>
      <c r="Z113" s="34">
        <f>IF(T113=0,0,X113/T113)</f>
        <v>8.9922177695200986E-2</v>
      </c>
    </row>
    <row r="114" spans="1:26" ht="15.75" thickTop="1" x14ac:dyDescent="0.25">
      <c r="A114" s="9"/>
      <c r="C114" s="9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6" x14ac:dyDescent="0.25">
      <c r="A115" s="9"/>
      <c r="B115" s="61">
        <v>43726.678191238425</v>
      </c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25">
      <c r="A116" s="9"/>
      <c r="B116" s="56" t="s">
        <v>314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53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","309", " - ", "Carts")</f>
        <v>Department 309 - Carts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4762.9799999999996</v>
      </c>
      <c r="E12" s="4"/>
      <c r="F12" s="12"/>
      <c r="G12" s="4"/>
      <c r="H12" s="4">
        <f>SUM(OSRRefH13x_0)</f>
        <v>5068</v>
      </c>
      <c r="I12" s="4"/>
      <c r="J12" s="12"/>
      <c r="K12" s="4"/>
      <c r="L12" s="4">
        <f t="shared" ref="L12:L15" si="0">+D12-H12</f>
        <v>-305.02000000000044</v>
      </c>
      <c r="M12" s="4"/>
      <c r="N12" s="12">
        <f t="shared" ref="N12:N15" si="1">IF(H12=0,0,L12/H12)</f>
        <v>-6.0185477505919578E-2</v>
      </c>
      <c r="O12" s="10"/>
      <c r="P12" s="4">
        <f>SUM(OSRRefP13x_0)</f>
        <v>4762.9799999999996</v>
      </c>
      <c r="Q12" s="4"/>
      <c r="R12" s="12"/>
      <c r="S12" s="4"/>
      <c r="T12" s="4">
        <f>SUM(OSRRefT13x_0)</f>
        <v>5068</v>
      </c>
      <c r="U12" s="4"/>
      <c r="V12" s="12"/>
      <c r="W12" s="4"/>
      <c r="X12" s="4">
        <f t="shared" ref="X12:X15" si="2">+P12-T12</f>
        <v>-305.02000000000044</v>
      </c>
      <c r="Y12" s="4"/>
      <c r="Z12" s="12">
        <f t="shared" ref="Z12:Z15" si="3">IF(T12=0,0,X12/T12)</f>
        <v>-6.0185477505919578E-2</v>
      </c>
    </row>
    <row r="13" spans="1:26" s="24" customFormat="1" hidden="1" outlineLevel="1" x14ac:dyDescent="0.25">
      <c r="A13" s="51"/>
      <c r="B13" s="11" t="str">
        <f>CONCATENATE("          ", "4051", " - ", "TAXABLE SALES-FOOD")</f>
        <v xml:space="preserve">          4051 - TAXABLE SALES-FOOD</v>
      </c>
      <c r="C13" s="11"/>
      <c r="D13" s="2">
        <f>--894.03</f>
        <v>894.03</v>
      </c>
      <c r="E13" s="2"/>
      <c r="F13" s="22"/>
      <c r="G13" s="2"/>
      <c r="H13" s="2"/>
      <c r="I13" s="2"/>
      <c r="J13" s="22"/>
      <c r="K13" s="2"/>
      <c r="L13" s="2">
        <f t="shared" si="0"/>
        <v>894.03</v>
      </c>
      <c r="M13" s="2"/>
      <c r="N13" s="22">
        <f t="shared" si="1"/>
        <v>0</v>
      </c>
      <c r="O13" s="11"/>
      <c r="P13" s="2">
        <f>--894.03</f>
        <v>894.03</v>
      </c>
      <c r="Q13" s="2"/>
      <c r="R13" s="22"/>
      <c r="S13" s="2"/>
      <c r="T13" s="2"/>
      <c r="U13" s="2"/>
      <c r="V13" s="22"/>
      <c r="W13" s="2"/>
      <c r="X13" s="2">
        <f t="shared" si="2"/>
        <v>894.03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5068</v>
      </c>
      <c r="I14" s="2"/>
      <c r="J14" s="22"/>
      <c r="K14" s="2"/>
      <c r="L14" s="2">
        <f t="shared" si="0"/>
        <v>-5068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5068</v>
      </c>
      <c r="U14" s="2"/>
      <c r="V14" s="22"/>
      <c r="W14" s="2"/>
      <c r="X14" s="2">
        <f t="shared" si="2"/>
        <v>-5068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--3868.95</f>
        <v>3868.95</v>
      </c>
      <c r="E15" s="2"/>
      <c r="F15" s="22"/>
      <c r="G15" s="2"/>
      <c r="H15" s="2"/>
      <c r="I15" s="2"/>
      <c r="J15" s="22"/>
      <c r="K15" s="2"/>
      <c r="L15" s="2">
        <f t="shared" si="0"/>
        <v>3868.95</v>
      </c>
      <c r="M15" s="2"/>
      <c r="N15" s="22">
        <f t="shared" si="1"/>
        <v>0</v>
      </c>
      <c r="O15" s="11"/>
      <c r="P15" s="2">
        <f>--3868.95</f>
        <v>3868.95</v>
      </c>
      <c r="Q15" s="2"/>
      <c r="R15" s="22"/>
      <c r="S15" s="2"/>
      <c r="T15" s="2"/>
      <c r="U15" s="2"/>
      <c r="V15" s="22"/>
      <c r="W15" s="2"/>
      <c r="X15" s="2">
        <f t="shared" si="2"/>
        <v>3868.95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2331.6099999999997</v>
      </c>
      <c r="E17" s="4"/>
      <c r="F17" s="12">
        <f t="shared" ref="F17:F20" si="4">IF(D$12=0,0,D17/D$12)</f>
        <v>0.48952756467589614</v>
      </c>
      <c r="G17" s="4"/>
      <c r="H17" s="4">
        <f>SUM(OSRRefH16x_0)</f>
        <v>2508</v>
      </c>
      <c r="I17" s="4"/>
      <c r="J17" s="12">
        <f t="shared" ref="J17:J20" si="5">IF(H$12=0,0,H17/H$12)</f>
        <v>0.49486977111286501</v>
      </c>
      <c r="K17" s="4"/>
      <c r="L17" s="4">
        <f t="shared" ref="L17:L20" si="6">+D17-H17</f>
        <v>-176.39000000000033</v>
      </c>
      <c r="M17" s="4"/>
      <c r="N17" s="12">
        <f t="shared" ref="N17:N20" si="7">IF(H17=0,0,L17/H17)</f>
        <v>-7.0330940988835855E-2</v>
      </c>
      <c r="O17" s="10"/>
      <c r="P17" s="4">
        <f>SUM(OSRRefP16x_0)</f>
        <v>2331.6099999999997</v>
      </c>
      <c r="Q17" s="4"/>
      <c r="R17" s="12">
        <f t="shared" ref="R17:R20" si="8">IF(P$12=0,0,P17/P$12)</f>
        <v>0.48952756467589614</v>
      </c>
      <c r="S17" s="4"/>
      <c r="T17" s="4">
        <f>SUM(OSRRefT16x_0)</f>
        <v>2508</v>
      </c>
      <c r="U17" s="4"/>
      <c r="V17" s="12">
        <f t="shared" ref="V17:V20" si="9">IF(T$12=0,0,T17/T$12)</f>
        <v>0.49486977111286501</v>
      </c>
      <c r="W17" s="4"/>
      <c r="X17" s="4">
        <f t="shared" ref="X17:X20" si="10">+P17-T17</f>
        <v>-176.39000000000033</v>
      </c>
      <c r="Y17" s="4"/>
      <c r="Z17" s="12">
        <f t="shared" ref="Z17:Z20" si="11">IF(T17=0,0,X17/T17)</f>
        <v>-7.0330940988835855E-2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4"/>
        <v>0</v>
      </c>
      <c r="G18" s="2"/>
      <c r="H18" s="2">
        <v>2508</v>
      </c>
      <c r="I18" s="2"/>
      <c r="J18" s="22">
        <f t="shared" si="5"/>
        <v>0.49486977111286501</v>
      </c>
      <c r="K18" s="2"/>
      <c r="L18" s="2">
        <f t="shared" si="6"/>
        <v>-2508</v>
      </c>
      <c r="M18" s="2"/>
      <c r="N18" s="22">
        <f t="shared" si="7"/>
        <v>-1</v>
      </c>
      <c r="O18" s="11"/>
      <c r="P18" s="2"/>
      <c r="Q18" s="2"/>
      <c r="R18" s="22">
        <f t="shared" si="8"/>
        <v>0</v>
      </c>
      <c r="S18" s="2"/>
      <c r="T18" s="2">
        <v>2508</v>
      </c>
      <c r="U18" s="2"/>
      <c r="V18" s="22">
        <f t="shared" si="9"/>
        <v>0.49486977111286501</v>
      </c>
      <c r="W18" s="2"/>
      <c r="X18" s="2">
        <f t="shared" si="10"/>
        <v>-2508</v>
      </c>
      <c r="Y18" s="2"/>
      <c r="Z18" s="22">
        <f t="shared" si="11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3083.47</v>
      </c>
      <c r="E19" s="2"/>
      <c r="F19" s="22">
        <f t="shared" si="4"/>
        <v>0.6473825210267522</v>
      </c>
      <c r="G19" s="2"/>
      <c r="H19" s="2"/>
      <c r="I19" s="2"/>
      <c r="J19" s="22">
        <f t="shared" si="5"/>
        <v>0</v>
      </c>
      <c r="K19" s="2"/>
      <c r="L19" s="2">
        <f t="shared" si="6"/>
        <v>3083.47</v>
      </c>
      <c r="M19" s="2"/>
      <c r="N19" s="22">
        <f t="shared" si="7"/>
        <v>0</v>
      </c>
      <c r="O19" s="11"/>
      <c r="P19" s="2">
        <v>3083.47</v>
      </c>
      <c r="Q19" s="2"/>
      <c r="R19" s="22">
        <f t="shared" si="8"/>
        <v>0.6473825210267522</v>
      </c>
      <c r="S19" s="2"/>
      <c r="T19" s="2"/>
      <c r="U19" s="2"/>
      <c r="V19" s="22">
        <f t="shared" si="9"/>
        <v>0</v>
      </c>
      <c r="W19" s="2"/>
      <c r="X19" s="2">
        <f t="shared" si="10"/>
        <v>3083.47</v>
      </c>
      <c r="Y19" s="2"/>
      <c r="Z19" s="22">
        <f t="shared" si="11"/>
        <v>0</v>
      </c>
    </row>
    <row r="20" spans="1:26" s="24" customFormat="1" hidden="1" outlineLevel="1" x14ac:dyDescent="0.25">
      <c r="A20" s="51"/>
      <c r="B20" s="11" t="str">
        <f>CONCATENATE("          ", "5059", " - ", "PURCHASES @ COST-FOOD")</f>
        <v xml:space="preserve">          5059 - PURCHASES @ COST-FOOD</v>
      </c>
      <c r="C20" s="11"/>
      <c r="D20" s="2">
        <v>-751.86</v>
      </c>
      <c r="E20" s="2"/>
      <c r="F20" s="22">
        <f t="shared" si="4"/>
        <v>-0.157854956350856</v>
      </c>
      <c r="G20" s="2"/>
      <c r="H20" s="2"/>
      <c r="I20" s="2"/>
      <c r="J20" s="22">
        <f t="shared" si="5"/>
        <v>0</v>
      </c>
      <c r="K20" s="2"/>
      <c r="L20" s="2">
        <f t="shared" si="6"/>
        <v>-751.86</v>
      </c>
      <c r="M20" s="2"/>
      <c r="N20" s="22">
        <f t="shared" si="7"/>
        <v>0</v>
      </c>
      <c r="O20" s="11"/>
      <c r="P20" s="2">
        <v>-751.86</v>
      </c>
      <c r="Q20" s="2"/>
      <c r="R20" s="22">
        <f t="shared" si="8"/>
        <v>-0.157854956350856</v>
      </c>
      <c r="S20" s="2"/>
      <c r="T20" s="2"/>
      <c r="U20" s="2"/>
      <c r="V20" s="22">
        <f t="shared" si="9"/>
        <v>0</v>
      </c>
      <c r="W20" s="2"/>
      <c r="X20" s="2">
        <f t="shared" si="10"/>
        <v>-751.86</v>
      </c>
      <c r="Y20" s="2"/>
      <c r="Z20" s="22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6</v>
      </c>
      <c r="C22" s="26"/>
      <c r="D22" s="21">
        <f>D12-D17</f>
        <v>2431.37</v>
      </c>
      <c r="E22" s="13"/>
      <c r="F22" s="19">
        <f>IF(D$12=0,0,D22/D$12)</f>
        <v>0.5104724353241038</v>
      </c>
      <c r="G22" s="13"/>
      <c r="H22" s="21">
        <f>H12-H17</f>
        <v>2560</v>
      </c>
      <c r="I22" s="13"/>
      <c r="J22" s="19">
        <f>IF(H$12=0,0,H22/H$12)</f>
        <v>0.50513022888713499</v>
      </c>
      <c r="K22" s="15"/>
      <c r="L22" s="21">
        <f>+D22-H22</f>
        <v>-128.63000000000011</v>
      </c>
      <c r="M22" s="15"/>
      <c r="N22" s="19">
        <f>IF(H22=0,0,L22/H22)</f>
        <v>-5.024609375000004E-2</v>
      </c>
      <c r="O22" s="25"/>
      <c r="P22" s="21">
        <f>P12-P17</f>
        <v>2431.37</v>
      </c>
      <c r="Q22" s="13"/>
      <c r="R22" s="19">
        <f>IF(P$12=0,0,P22/P$12)</f>
        <v>0.5104724353241038</v>
      </c>
      <c r="S22" s="13"/>
      <c r="T22" s="21">
        <f>T12-T17</f>
        <v>2560</v>
      </c>
      <c r="U22" s="13"/>
      <c r="V22" s="19">
        <f>IF(T$12=0,0,T22/T$12)</f>
        <v>0.50513022888713499</v>
      </c>
      <c r="W22" s="15"/>
      <c r="X22" s="21">
        <f>+P22-T22</f>
        <v>-128.63000000000011</v>
      </c>
      <c r="Y22" s="15"/>
      <c r="Z22" s="19">
        <f>IF(T22=0,0,X22/T22)</f>
        <v>-5.024609375000004E-2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9</v>
      </c>
      <c r="C24" s="10"/>
      <c r="D24" s="20">
        <f>SUM(OSRRefD22x_0)</f>
        <v>14234.230000000001</v>
      </c>
      <c r="E24" s="20"/>
      <c r="F24" s="30">
        <f t="shared" ref="F24:F34" si="12">IF(D$12=0,0,D24/D$12)</f>
        <v>2.9885134936531337</v>
      </c>
      <c r="G24" s="20"/>
      <c r="H24" s="20">
        <f>SUM(OSRRefH22x_0)</f>
        <v>6098.4041817307698</v>
      </c>
      <c r="I24" s="20"/>
      <c r="J24" s="30">
        <f t="shared" ref="J24:J34" si="13">IF(H$12=0,0,H24/H$12)</f>
        <v>1.203315742251533</v>
      </c>
      <c r="K24" s="4"/>
      <c r="L24" s="20">
        <f t="shared" ref="L24:L34" si="14">+D24-H24</f>
        <v>8135.8258182692316</v>
      </c>
      <c r="M24" s="4"/>
      <c r="N24" s="30">
        <f t="shared" ref="N24:N34" si="15">IF(H24=0,0,L24/H24)</f>
        <v>1.3340909483569565</v>
      </c>
      <c r="O24" s="10"/>
      <c r="P24" s="20">
        <f>SUM(OSRRefP22x_0)</f>
        <v>14234.230000000001</v>
      </c>
      <c r="Q24" s="20"/>
      <c r="R24" s="30">
        <f t="shared" ref="R24:R34" si="16">IF(P$12=0,0,P24/P$12)</f>
        <v>2.9885134936531337</v>
      </c>
      <c r="S24" s="20"/>
      <c r="T24" s="20">
        <f>SUM(OSRRefT22x_0)</f>
        <v>6098.4041817307698</v>
      </c>
      <c r="U24" s="20"/>
      <c r="V24" s="30">
        <f t="shared" ref="V24:V34" si="17">IF(T$12=0,0,T24/T$12)</f>
        <v>1.203315742251533</v>
      </c>
      <c r="W24" s="4"/>
      <c r="X24" s="20">
        <f t="shared" ref="X24:X34" si="18">+P24-T24</f>
        <v>8135.8258182692316</v>
      </c>
      <c r="Y24" s="4"/>
      <c r="Z24" s="30">
        <f t="shared" ref="Z24:Z34" si="19">IF(T24=0,0,X24/T24)</f>
        <v>1.3340909483569565</v>
      </c>
    </row>
    <row r="25" spans="1:26" s="27" customFormat="1" outlineLevel="1" collapsed="1" x14ac:dyDescent="0.25">
      <c r="A25" s="28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2062.08</v>
      </c>
      <c r="E25" s="1"/>
      <c r="F25" s="5">
        <f t="shared" si="12"/>
        <v>0.43293904236423419</v>
      </c>
      <c r="G25" s="1"/>
      <c r="H25" s="1">
        <f>SUM(OSRRefH22_0x_0)</f>
        <v>1497.9859125000003</v>
      </c>
      <c r="I25" s="1"/>
      <c r="J25" s="5">
        <f t="shared" si="13"/>
        <v>0.29557733080110504</v>
      </c>
      <c r="K25" s="1"/>
      <c r="L25" s="1">
        <f t="shared" si="14"/>
        <v>564.09408749999966</v>
      </c>
      <c r="M25" s="1"/>
      <c r="N25" s="5">
        <f t="shared" si="15"/>
        <v>0.37656835274143446</v>
      </c>
      <c r="O25" s="14"/>
      <c r="P25" s="1">
        <f>SUM(OSRRefP22_0x_0)</f>
        <v>2062.08</v>
      </c>
      <c r="Q25" s="1"/>
      <c r="R25" s="5">
        <f t="shared" si="16"/>
        <v>0.43293904236423419</v>
      </c>
      <c r="S25" s="1"/>
      <c r="T25" s="1">
        <f>SUM(OSRRefT22_0x_0)</f>
        <v>1497.9859125000003</v>
      </c>
      <c r="U25" s="1"/>
      <c r="V25" s="5">
        <f t="shared" si="17"/>
        <v>0.29557733080110504</v>
      </c>
      <c r="W25" s="1"/>
      <c r="X25" s="1">
        <f t="shared" si="18"/>
        <v>564.09408749999966</v>
      </c>
      <c r="Y25" s="1"/>
      <c r="Z25" s="5">
        <f t="shared" si="19"/>
        <v>0.37656835274143446</v>
      </c>
    </row>
    <row r="26" spans="1:26" s="24" customFormat="1" hidden="1" outlineLevel="2" x14ac:dyDescent="0.25">
      <c r="A26" s="29"/>
      <c r="B26" s="11" t="str">
        <f>CONCATENATE("          ", "6111", " - ", "F.I.C.A.")</f>
        <v xml:space="preserve">          6111 - F.I.C.A.</v>
      </c>
      <c r="C26" s="11"/>
      <c r="D26" s="7">
        <v>305.08</v>
      </c>
      <c r="E26" s="2"/>
      <c r="F26" s="6">
        <f t="shared" si="12"/>
        <v>6.4052336982309402E-2</v>
      </c>
      <c r="G26" s="2"/>
      <c r="H26" s="7">
        <v>325.78968173076902</v>
      </c>
      <c r="I26" s="2"/>
      <c r="J26" s="6">
        <f t="shared" si="13"/>
        <v>6.4283678320988358E-2</v>
      </c>
      <c r="K26" s="2"/>
      <c r="L26" s="7">
        <f t="shared" si="14"/>
        <v>-20.709681730769034</v>
      </c>
      <c r="M26" s="2"/>
      <c r="N26" s="6">
        <f t="shared" si="15"/>
        <v>-6.3567641616972426E-2</v>
      </c>
      <c r="O26" s="11"/>
      <c r="P26" s="7">
        <v>305.08</v>
      </c>
      <c r="Q26" s="2"/>
      <c r="R26" s="6">
        <f t="shared" si="16"/>
        <v>6.4052336982309402E-2</v>
      </c>
      <c r="S26" s="2"/>
      <c r="T26" s="7">
        <v>325.78968173076902</v>
      </c>
      <c r="U26" s="2"/>
      <c r="V26" s="6">
        <f t="shared" si="17"/>
        <v>6.4283678320988358E-2</v>
      </c>
      <c r="W26" s="2"/>
      <c r="X26" s="7">
        <f t="shared" si="18"/>
        <v>-20.709681730769034</v>
      </c>
      <c r="Y26" s="2"/>
      <c r="Z26" s="6">
        <f t="shared" si="19"/>
        <v>-6.3567641616972426E-2</v>
      </c>
    </row>
    <row r="27" spans="1:26" s="24" customFormat="1" hidden="1" outlineLevel="2" x14ac:dyDescent="0.25">
      <c r="A27" s="29"/>
      <c r="B27" s="11" t="str">
        <f>CONCATENATE("          ", "6112", " - ", "COMPENSATION INSURANCE")</f>
        <v xml:space="preserve">          6112 - COMPENSATION INSURANCE</v>
      </c>
      <c r="C27" s="11"/>
      <c r="D27" s="7">
        <v>167.75</v>
      </c>
      <c r="E27" s="2"/>
      <c r="F27" s="6">
        <f t="shared" si="12"/>
        <v>3.521954742619117E-2</v>
      </c>
      <c r="G27" s="2"/>
      <c r="H27" s="7">
        <v>80.883365384615402</v>
      </c>
      <c r="I27" s="2"/>
      <c r="J27" s="6">
        <f t="shared" si="13"/>
        <v>1.5959622214801777E-2</v>
      </c>
      <c r="K27" s="2"/>
      <c r="L27" s="7">
        <f t="shared" si="14"/>
        <v>86.866634615384598</v>
      </c>
      <c r="M27" s="2"/>
      <c r="N27" s="6">
        <f t="shared" si="15"/>
        <v>1.0739740390662238</v>
      </c>
      <c r="O27" s="11"/>
      <c r="P27" s="7">
        <v>167.75</v>
      </c>
      <c r="Q27" s="2"/>
      <c r="R27" s="6">
        <f t="shared" si="16"/>
        <v>3.521954742619117E-2</v>
      </c>
      <c r="S27" s="2"/>
      <c r="T27" s="7">
        <v>80.883365384615402</v>
      </c>
      <c r="U27" s="2"/>
      <c r="V27" s="6">
        <f t="shared" si="17"/>
        <v>1.5959622214801777E-2</v>
      </c>
      <c r="W27" s="2"/>
      <c r="X27" s="7">
        <f t="shared" si="18"/>
        <v>86.866634615384598</v>
      </c>
      <c r="Y27" s="2"/>
      <c r="Z27" s="6">
        <f t="shared" si="19"/>
        <v>1.0739740390662238</v>
      </c>
    </row>
    <row r="28" spans="1:26" s="24" customFormat="1" hidden="1" outlineLevel="2" x14ac:dyDescent="0.25">
      <c r="A28" s="29"/>
      <c r="B28" s="11" t="str">
        <f>CONCATENATE("          ", "6113", " - ", "GROUP INSURANCE")</f>
        <v xml:space="preserve">          6113 - GROUP INSURANCE</v>
      </c>
      <c r="C28" s="11"/>
      <c r="D28" s="7">
        <v>965.94</v>
      </c>
      <c r="E28" s="2"/>
      <c r="F28" s="6">
        <f t="shared" si="12"/>
        <v>0.20280160739704978</v>
      </c>
      <c r="G28" s="2"/>
      <c r="H28" s="7">
        <v>690.5</v>
      </c>
      <c r="I28" s="2"/>
      <c r="J28" s="6">
        <f t="shared" si="13"/>
        <v>0.13624704025256512</v>
      </c>
      <c r="K28" s="2"/>
      <c r="L28" s="7">
        <f t="shared" si="14"/>
        <v>275.44000000000005</v>
      </c>
      <c r="M28" s="2"/>
      <c r="N28" s="6">
        <f t="shared" si="15"/>
        <v>0.39889934829833462</v>
      </c>
      <c r="O28" s="11"/>
      <c r="P28" s="7">
        <v>965.94</v>
      </c>
      <c r="Q28" s="2"/>
      <c r="R28" s="6">
        <f t="shared" si="16"/>
        <v>0.20280160739704978</v>
      </c>
      <c r="S28" s="2"/>
      <c r="T28" s="7">
        <v>690.5</v>
      </c>
      <c r="U28" s="2"/>
      <c r="V28" s="6">
        <f t="shared" si="17"/>
        <v>0.13624704025256512</v>
      </c>
      <c r="W28" s="2"/>
      <c r="X28" s="7">
        <f t="shared" si="18"/>
        <v>275.44000000000005</v>
      </c>
      <c r="Y28" s="2"/>
      <c r="Z28" s="6">
        <f t="shared" si="19"/>
        <v>0.39889934829833462</v>
      </c>
    </row>
    <row r="29" spans="1:26" s="24" customFormat="1" hidden="1" outlineLevel="2" x14ac:dyDescent="0.25">
      <c r="A29" s="29"/>
      <c r="B29" s="11" t="str">
        <f>CONCATENATE("          ", "6114", " - ", "STATE UNEMPLOYMENT INSURANCE")</f>
        <v xml:space="preserve">          6114 - STATE UNEMPLOYMENT INSURANCE</v>
      </c>
      <c r="C29" s="11"/>
      <c r="D29" s="7">
        <v>16.34</v>
      </c>
      <c r="E29" s="2"/>
      <c r="F29" s="6">
        <f t="shared" si="12"/>
        <v>3.4306253647926302E-3</v>
      </c>
      <c r="G29" s="2"/>
      <c r="H29" s="7">
        <v>11.068250000000001</v>
      </c>
      <c r="I29" s="2"/>
      <c r="J29" s="6">
        <f t="shared" si="13"/>
        <v>2.1839483030781375E-3</v>
      </c>
      <c r="K29" s="2"/>
      <c r="L29" s="7">
        <f t="shared" si="14"/>
        <v>5.271749999999999</v>
      </c>
      <c r="M29" s="2"/>
      <c r="N29" s="6">
        <f t="shared" si="15"/>
        <v>0.47629480721884659</v>
      </c>
      <c r="O29" s="11"/>
      <c r="P29" s="7">
        <v>16.34</v>
      </c>
      <c r="Q29" s="2"/>
      <c r="R29" s="6">
        <f t="shared" si="16"/>
        <v>3.4306253647926302E-3</v>
      </c>
      <c r="S29" s="2"/>
      <c r="T29" s="7">
        <v>11.068250000000001</v>
      </c>
      <c r="U29" s="2"/>
      <c r="V29" s="6">
        <f t="shared" si="17"/>
        <v>2.1839483030781375E-3</v>
      </c>
      <c r="W29" s="2"/>
      <c r="X29" s="7">
        <f t="shared" si="18"/>
        <v>5.271749999999999</v>
      </c>
      <c r="Y29" s="2"/>
      <c r="Z29" s="6">
        <f t="shared" si="19"/>
        <v>0.47629480721884659</v>
      </c>
    </row>
    <row r="30" spans="1:26" s="24" customFormat="1" hidden="1" outlineLevel="2" x14ac:dyDescent="0.25">
      <c r="A30" s="29"/>
      <c r="B30" s="11" t="str">
        <f>CONCATENATE("          ", "6115", " - ", "P.E.R.S.")</f>
        <v xml:space="preserve">          6115 - P.E.R.S.</v>
      </c>
      <c r="C30" s="11"/>
      <c r="D30" s="7">
        <v>134.11000000000001</v>
      </c>
      <c r="E30" s="2"/>
      <c r="F30" s="6">
        <f t="shared" si="12"/>
        <v>2.8156742207609529E-2</v>
      </c>
      <c r="G30" s="2"/>
      <c r="H30" s="7">
        <v>212.59365384615401</v>
      </c>
      <c r="I30" s="2"/>
      <c r="J30" s="6">
        <f t="shared" si="13"/>
        <v>4.1948234776273484E-2</v>
      </c>
      <c r="K30" s="2"/>
      <c r="L30" s="7">
        <f t="shared" si="14"/>
        <v>-78.483653846153999</v>
      </c>
      <c r="M30" s="2"/>
      <c r="N30" s="6">
        <f t="shared" si="15"/>
        <v>-0.36917213861402304</v>
      </c>
      <c r="O30" s="11"/>
      <c r="P30" s="7">
        <v>134.11000000000001</v>
      </c>
      <c r="Q30" s="2"/>
      <c r="R30" s="6">
        <f t="shared" si="16"/>
        <v>2.8156742207609529E-2</v>
      </c>
      <c r="S30" s="2"/>
      <c r="T30" s="7">
        <v>212.59365384615401</v>
      </c>
      <c r="U30" s="2"/>
      <c r="V30" s="6">
        <f t="shared" si="17"/>
        <v>4.1948234776273484E-2</v>
      </c>
      <c r="W30" s="2"/>
      <c r="X30" s="7">
        <f t="shared" si="18"/>
        <v>-78.483653846153999</v>
      </c>
      <c r="Y30" s="2"/>
      <c r="Z30" s="6">
        <f t="shared" si="19"/>
        <v>-0.36917213861402304</v>
      </c>
    </row>
    <row r="31" spans="1:26" s="24" customFormat="1" hidden="1" outlineLevel="2" x14ac:dyDescent="0.25">
      <c r="A31" s="29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147.84</v>
      </c>
      <c r="E32" s="2"/>
      <c r="F32" s="6">
        <f t="shared" si="12"/>
        <v>3.1039391305443236E-2</v>
      </c>
      <c r="G32" s="2"/>
      <c r="H32" s="7">
        <v>74.160576923076903</v>
      </c>
      <c r="I32" s="2"/>
      <c r="J32" s="6">
        <f t="shared" si="13"/>
        <v>1.4633105154513991E-2</v>
      </c>
      <c r="K32" s="2"/>
      <c r="L32" s="7">
        <f t="shared" si="14"/>
        <v>73.679423076923101</v>
      </c>
      <c r="M32" s="2"/>
      <c r="N32" s="6">
        <f t="shared" si="15"/>
        <v>0.99351199968882553</v>
      </c>
      <c r="O32" s="11"/>
      <c r="P32" s="7">
        <v>147.84</v>
      </c>
      <c r="Q32" s="2"/>
      <c r="R32" s="6">
        <f t="shared" si="16"/>
        <v>3.1039391305443236E-2</v>
      </c>
      <c r="S32" s="2"/>
      <c r="T32" s="7">
        <v>74.160576923076903</v>
      </c>
      <c r="U32" s="2"/>
      <c r="V32" s="6">
        <f t="shared" si="17"/>
        <v>1.4633105154513991E-2</v>
      </c>
      <c r="W32" s="2"/>
      <c r="X32" s="7">
        <f t="shared" si="18"/>
        <v>73.679423076923101</v>
      </c>
      <c r="Y32" s="2"/>
      <c r="Z32" s="6">
        <f t="shared" si="19"/>
        <v>0.99351199968882553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177.12</v>
      </c>
      <c r="E33" s="2"/>
      <c r="F33" s="6">
        <f t="shared" si="12"/>
        <v>3.7186803219832969E-2</v>
      </c>
      <c r="G33" s="2"/>
      <c r="H33" s="7">
        <v>102.990384615385</v>
      </c>
      <c r="I33" s="2"/>
      <c r="J33" s="6">
        <f t="shared" si="13"/>
        <v>2.0321701778884173E-2</v>
      </c>
      <c r="K33" s="2"/>
      <c r="L33" s="7">
        <f t="shared" si="14"/>
        <v>74.129615384615008</v>
      </c>
      <c r="M33" s="2"/>
      <c r="N33" s="6">
        <f t="shared" si="15"/>
        <v>0.71977219680701454</v>
      </c>
      <c r="O33" s="11"/>
      <c r="P33" s="7">
        <v>177.12</v>
      </c>
      <c r="Q33" s="2"/>
      <c r="R33" s="6">
        <f t="shared" si="16"/>
        <v>3.7186803219832969E-2</v>
      </c>
      <c r="S33" s="2"/>
      <c r="T33" s="7">
        <v>102.990384615385</v>
      </c>
      <c r="U33" s="2"/>
      <c r="V33" s="6">
        <f t="shared" si="17"/>
        <v>2.0321701778884173E-2</v>
      </c>
      <c r="W33" s="2"/>
      <c r="X33" s="7">
        <f t="shared" si="18"/>
        <v>74.129615384615008</v>
      </c>
      <c r="Y33" s="2"/>
      <c r="Z33" s="6">
        <f t="shared" si="19"/>
        <v>0.71977219680701454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147.9</v>
      </c>
      <c r="E34" s="2"/>
      <c r="F34" s="6">
        <f t="shared" si="12"/>
        <v>3.1051988461005511E-2</v>
      </c>
      <c r="G34" s="2"/>
      <c r="H34" s="7"/>
      <c r="I34" s="2"/>
      <c r="J34" s="6">
        <f t="shared" si="13"/>
        <v>0</v>
      </c>
      <c r="K34" s="2"/>
      <c r="L34" s="7">
        <f t="shared" si="14"/>
        <v>147.9</v>
      </c>
      <c r="M34" s="2"/>
      <c r="N34" s="6">
        <f t="shared" si="15"/>
        <v>0</v>
      </c>
      <c r="O34" s="11"/>
      <c r="P34" s="7">
        <v>147.9</v>
      </c>
      <c r="Q34" s="2"/>
      <c r="R34" s="6">
        <f t="shared" si="16"/>
        <v>3.1051988461005511E-2</v>
      </c>
      <c r="S34" s="2"/>
      <c r="T34" s="7"/>
      <c r="U34" s="2"/>
      <c r="V34" s="6">
        <f t="shared" si="17"/>
        <v>0</v>
      </c>
      <c r="W34" s="2"/>
      <c r="X34" s="7">
        <f t="shared" si="18"/>
        <v>147.9</v>
      </c>
      <c r="Y34" s="2"/>
      <c r="Z34" s="6">
        <f t="shared" si="19"/>
        <v>0</v>
      </c>
    </row>
    <row r="35" spans="1:26" s="27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5108.6900000000005</v>
      </c>
      <c r="E35" s="1"/>
      <c r="F35" s="5">
        <f t="shared" ref="F35:F45" si="20">IF(D$12=0,0,D35/D$12)</f>
        <v>1.0725827108238961</v>
      </c>
      <c r="G35" s="1"/>
      <c r="H35" s="1">
        <f>SUM(OSRRefH22_1x_0)</f>
        <v>4133.4182692307695</v>
      </c>
      <c r="I35" s="1"/>
      <c r="J35" s="5">
        <f t="shared" ref="J35:J45" si="21">IF(H$12=0,0,H35/H$12)</f>
        <v>0.81559160797765773</v>
      </c>
      <c r="K35" s="1"/>
      <c r="L35" s="1">
        <f t="shared" ref="L35:L45" si="22">+D35-H35</f>
        <v>975.271730769231</v>
      </c>
      <c r="M35" s="1"/>
      <c r="N35" s="5">
        <f t="shared" ref="N35:N45" si="23">IF(H35=0,0,L35/H35)</f>
        <v>0.23594798959233548</v>
      </c>
      <c r="O35" s="14"/>
      <c r="P35" s="1">
        <f>SUM(OSRRefP22_1x_0)</f>
        <v>5108.6900000000005</v>
      </c>
      <c r="Q35" s="1"/>
      <c r="R35" s="5">
        <f t="shared" ref="R35:R45" si="24">IF(P$12=0,0,P35/P$12)</f>
        <v>1.0725827108238961</v>
      </c>
      <c r="S35" s="1"/>
      <c r="T35" s="1">
        <f>SUM(OSRRefT22_1x_0)</f>
        <v>4133.4182692307695</v>
      </c>
      <c r="U35" s="1"/>
      <c r="V35" s="5">
        <f t="shared" ref="V35:V45" si="25">IF(T$12=0,0,T35/T$12)</f>
        <v>0.81559160797765773</v>
      </c>
      <c r="W35" s="1"/>
      <c r="X35" s="1">
        <f t="shared" ref="X35:X45" si="26">+P35-T35</f>
        <v>975.271730769231</v>
      </c>
      <c r="Y35" s="1"/>
      <c r="Z35" s="5">
        <f t="shared" ref="Z35:Z45" si="27">IF(T35=0,0,X35/T35)</f>
        <v>0.23594798959233548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2348.41826923077</v>
      </c>
      <c r="I36" s="2"/>
      <c r="J36" s="6">
        <f t="shared" si="21"/>
        <v>0.46338166322627661</v>
      </c>
      <c r="K36" s="2"/>
      <c r="L36" s="7">
        <f t="shared" si="22"/>
        <v>-2348.41826923077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2348.41826923077</v>
      </c>
      <c r="U36" s="2"/>
      <c r="V36" s="6">
        <f t="shared" si="25"/>
        <v>0.46338166322627661</v>
      </c>
      <c r="W36" s="2"/>
      <c r="X36" s="7">
        <f t="shared" si="26"/>
        <v>-2348.41826923077</v>
      </c>
      <c r="Y36" s="2"/>
      <c r="Z36" s="6">
        <f t="shared" si="27"/>
        <v>-1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2208</v>
      </c>
      <c r="E37" s="2"/>
      <c r="F37" s="6">
        <f t="shared" si="20"/>
        <v>0.46357532469168466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2208</v>
      </c>
      <c r="M37" s="2"/>
      <c r="N37" s="6">
        <f t="shared" si="23"/>
        <v>0</v>
      </c>
      <c r="O37" s="11"/>
      <c r="P37" s="7">
        <v>2208</v>
      </c>
      <c r="Q37" s="2"/>
      <c r="R37" s="6">
        <f t="shared" si="24"/>
        <v>0.46357532469168466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2208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>
        <v>1631</v>
      </c>
      <c r="E40" s="2"/>
      <c r="F40" s="6">
        <f t="shared" si="20"/>
        <v>0.3424326787011493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1631</v>
      </c>
      <c r="M40" s="2"/>
      <c r="N40" s="6">
        <f t="shared" si="23"/>
        <v>0</v>
      </c>
      <c r="O40" s="11"/>
      <c r="P40" s="7">
        <v>1631</v>
      </c>
      <c r="Q40" s="2"/>
      <c r="R40" s="6">
        <f t="shared" si="24"/>
        <v>0.3424326787011493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1631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>
        <v>44.63</v>
      </c>
      <c r="E41" s="2"/>
      <c r="F41" s="6">
        <f t="shared" si="20"/>
        <v>9.3701842124048404E-3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44.63</v>
      </c>
      <c r="M41" s="2"/>
      <c r="N41" s="6">
        <f t="shared" si="23"/>
        <v>0</v>
      </c>
      <c r="O41" s="11"/>
      <c r="P41" s="7">
        <v>44.63</v>
      </c>
      <c r="Q41" s="2"/>
      <c r="R41" s="6">
        <f t="shared" si="24"/>
        <v>9.3701842124048404E-3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44.63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1225.06</v>
      </c>
      <c r="E42" s="2"/>
      <c r="F42" s="6">
        <f t="shared" si="20"/>
        <v>0.25720452321865722</v>
      </c>
      <c r="G42" s="2"/>
      <c r="H42" s="7">
        <v>1785</v>
      </c>
      <c r="I42" s="2"/>
      <c r="J42" s="6">
        <f t="shared" si="21"/>
        <v>0.35220994475138123</v>
      </c>
      <c r="K42" s="2"/>
      <c r="L42" s="7">
        <f t="shared" si="22"/>
        <v>-559.94000000000005</v>
      </c>
      <c r="M42" s="2"/>
      <c r="N42" s="6">
        <f t="shared" si="23"/>
        <v>-0.31369187675070032</v>
      </c>
      <c r="O42" s="11"/>
      <c r="P42" s="7">
        <v>1225.06</v>
      </c>
      <c r="Q42" s="2"/>
      <c r="R42" s="6">
        <f t="shared" si="24"/>
        <v>0.25720452321865722</v>
      </c>
      <c r="S42" s="2"/>
      <c r="T42" s="7">
        <v>1785</v>
      </c>
      <c r="U42" s="2"/>
      <c r="V42" s="6">
        <f t="shared" si="25"/>
        <v>0.35220994475138123</v>
      </c>
      <c r="W42" s="2"/>
      <c r="X42" s="7">
        <f t="shared" si="26"/>
        <v>-559.94000000000005</v>
      </c>
      <c r="Y42" s="2"/>
      <c r="Z42" s="6">
        <f t="shared" si="27"/>
        <v>-0.31369187675070032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305</v>
      </c>
      <c r="E46" s="1"/>
      <c r="F46" s="5">
        <f t="shared" ref="F46:F64" si="28">IF(D$12=0,0,D46/D$12)</f>
        <v>6.4035540774893041E-2</v>
      </c>
      <c r="G46" s="1"/>
      <c r="H46" s="1">
        <f>SUM(OSRRefH22_2x_0)</f>
        <v>0</v>
      </c>
      <c r="I46" s="1"/>
      <c r="J46" s="5">
        <f t="shared" ref="J46:J64" si="29">IF(H$12=0,0,H46/H$12)</f>
        <v>0</v>
      </c>
      <c r="K46" s="1"/>
      <c r="L46" s="1">
        <f t="shared" ref="L46:L64" si="30">+D46-H46</f>
        <v>305</v>
      </c>
      <c r="M46" s="1"/>
      <c r="N46" s="5">
        <f t="shared" ref="N46:N64" si="31">IF(H46=0,0,L46/H46)</f>
        <v>0</v>
      </c>
      <c r="O46" s="14"/>
      <c r="P46" s="1">
        <f>SUM(OSRRefP22_2x_0)</f>
        <v>305</v>
      </c>
      <c r="Q46" s="1"/>
      <c r="R46" s="5">
        <f t="shared" ref="R46:R64" si="32">IF(P$12=0,0,P46/P$12)</f>
        <v>6.4035540774893041E-2</v>
      </c>
      <c r="S46" s="1"/>
      <c r="T46" s="1">
        <f>SUM(OSRRefT22_2x_0)</f>
        <v>0</v>
      </c>
      <c r="U46" s="1"/>
      <c r="V46" s="5">
        <f t="shared" ref="V46:V64" si="33">IF(T$12=0,0,T46/T$12)</f>
        <v>0</v>
      </c>
      <c r="W46" s="1"/>
      <c r="X46" s="1">
        <f t="shared" ref="X46:X64" si="34">+P46-T46</f>
        <v>305</v>
      </c>
      <c r="Y46" s="1"/>
      <c r="Z46" s="5">
        <f t="shared" ref="Z46:Z64" si="35">IF(T46=0,0,X46/T46)</f>
        <v>0</v>
      </c>
    </row>
    <row r="47" spans="1:26" s="24" customFormat="1" hidden="1" outlineLevel="2" x14ac:dyDescent="0.25">
      <c r="A47" s="29"/>
      <c r="B47" s="11" t="str">
        <f>CONCATENATE("          ", "6362", " - ", "ADVERTISING EXPENSE")</f>
        <v xml:space="preserve">          6362 - ADVERTISING EXPENSE</v>
      </c>
      <c r="C47" s="11"/>
      <c r="D47" s="7">
        <v>305</v>
      </c>
      <c r="E47" s="2"/>
      <c r="F47" s="6">
        <f t="shared" si="28"/>
        <v>6.4035540774893041E-2</v>
      </c>
      <c r="G47" s="2"/>
      <c r="H47" s="7">
        <v>0</v>
      </c>
      <c r="I47" s="2"/>
      <c r="J47" s="6">
        <f t="shared" si="29"/>
        <v>0</v>
      </c>
      <c r="K47" s="2"/>
      <c r="L47" s="7">
        <f t="shared" si="30"/>
        <v>305</v>
      </c>
      <c r="M47" s="2"/>
      <c r="N47" s="6">
        <f t="shared" si="31"/>
        <v>0</v>
      </c>
      <c r="O47" s="11"/>
      <c r="P47" s="7">
        <v>305</v>
      </c>
      <c r="Q47" s="2"/>
      <c r="R47" s="6">
        <f t="shared" si="32"/>
        <v>6.4035540774893041E-2</v>
      </c>
      <c r="S47" s="2"/>
      <c r="T47" s="7">
        <v>0</v>
      </c>
      <c r="U47" s="2"/>
      <c r="V47" s="6">
        <f t="shared" si="33"/>
        <v>0</v>
      </c>
      <c r="W47" s="2"/>
      <c r="X47" s="7">
        <f t="shared" si="34"/>
        <v>305</v>
      </c>
      <c r="Y47" s="2"/>
      <c r="Z47" s="6">
        <f t="shared" si="35"/>
        <v>0</v>
      </c>
    </row>
    <row r="48" spans="1:26" s="27" customFormat="1" outlineLevel="1" collapsed="1" x14ac:dyDescent="0.25">
      <c r="A48" s="28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-2.61</v>
      </c>
      <c r="E48" s="1"/>
      <c r="F48" s="5">
        <f t="shared" si="28"/>
        <v>-5.4797626695892072E-4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-2.61</v>
      </c>
      <c r="M48" s="1"/>
      <c r="N48" s="5">
        <f t="shared" si="31"/>
        <v>0</v>
      </c>
      <c r="O48" s="14"/>
      <c r="P48" s="1">
        <f>SUM(OSRRefP22_3x_0)</f>
        <v>-2.61</v>
      </c>
      <c r="Q48" s="1"/>
      <c r="R48" s="5">
        <f t="shared" si="32"/>
        <v>-5.4797626695892072E-4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-2.61</v>
      </c>
      <c r="Y48" s="1"/>
      <c r="Z48" s="5">
        <f t="shared" si="35"/>
        <v>0</v>
      </c>
    </row>
    <row r="49" spans="1:26" s="24" customFormat="1" hidden="1" outlineLevel="2" x14ac:dyDescent="0.25">
      <c r="A49" s="29"/>
      <c r="B49" s="11" t="str">
        <f>CONCATENATE("          ", "6272", " - ", "CASH (OVER/SHORT)")</f>
        <v xml:space="preserve">          6272 - CASH (OVER/SHORT)</v>
      </c>
      <c r="C49" s="11"/>
      <c r="D49" s="7">
        <v>-2.61</v>
      </c>
      <c r="E49" s="2"/>
      <c r="F49" s="6">
        <f t="shared" si="28"/>
        <v>-5.4797626695892072E-4</v>
      </c>
      <c r="G49" s="2"/>
      <c r="H49" s="7">
        <v>0</v>
      </c>
      <c r="I49" s="2"/>
      <c r="J49" s="6">
        <f t="shared" si="29"/>
        <v>0</v>
      </c>
      <c r="K49" s="2"/>
      <c r="L49" s="7">
        <f t="shared" si="30"/>
        <v>-2.61</v>
      </c>
      <c r="M49" s="2"/>
      <c r="N49" s="6">
        <f t="shared" si="31"/>
        <v>0</v>
      </c>
      <c r="O49" s="11"/>
      <c r="P49" s="7">
        <v>-2.61</v>
      </c>
      <c r="Q49" s="2"/>
      <c r="R49" s="6">
        <f t="shared" si="32"/>
        <v>-5.4797626695892072E-4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-2.61</v>
      </c>
      <c r="Y49" s="2"/>
      <c r="Z49" s="6">
        <f t="shared" si="35"/>
        <v>0</v>
      </c>
    </row>
    <row r="50" spans="1:26" s="27" customFormat="1" outlineLevel="1" collapsed="1" x14ac:dyDescent="0.25">
      <c r="A50" s="28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127.64</v>
      </c>
      <c r="E50" s="1"/>
      <c r="F50" s="5">
        <f t="shared" si="28"/>
        <v>2.6798348932810974E-2</v>
      </c>
      <c r="G50" s="1"/>
      <c r="H50" s="1">
        <f>SUM(OSRRefH22_4x_0)</f>
        <v>161</v>
      </c>
      <c r="I50" s="1"/>
      <c r="J50" s="5">
        <f t="shared" si="29"/>
        <v>3.1767955801104975E-2</v>
      </c>
      <c r="K50" s="1"/>
      <c r="L50" s="1">
        <f t="shared" si="30"/>
        <v>-33.36</v>
      </c>
      <c r="M50" s="1"/>
      <c r="N50" s="5">
        <f t="shared" si="31"/>
        <v>-0.20720496894409937</v>
      </c>
      <c r="O50" s="14"/>
      <c r="P50" s="1">
        <f>SUM(OSRRefP22_4x_0)</f>
        <v>127.64</v>
      </c>
      <c r="Q50" s="1"/>
      <c r="R50" s="5">
        <f t="shared" si="32"/>
        <v>2.6798348932810974E-2</v>
      </c>
      <c r="S50" s="1"/>
      <c r="T50" s="1">
        <f>SUM(OSRRefT22_4x_0)</f>
        <v>161</v>
      </c>
      <c r="U50" s="1"/>
      <c r="V50" s="5">
        <f t="shared" si="33"/>
        <v>3.1767955801104975E-2</v>
      </c>
      <c r="W50" s="1"/>
      <c r="X50" s="1">
        <f t="shared" si="34"/>
        <v>-33.36</v>
      </c>
      <c r="Y50" s="1"/>
      <c r="Z50" s="5">
        <f t="shared" si="35"/>
        <v>-0.20720496894409937</v>
      </c>
    </row>
    <row r="51" spans="1:26" s="24" customFormat="1" hidden="1" outlineLevel="2" x14ac:dyDescent="0.25">
      <c r="A51" s="29"/>
      <c r="B51" s="11" t="str">
        <f>CONCATENATE("          ", "6381", " - ", "BANK/CREDIT CARD FEES")</f>
        <v xml:space="preserve">          6381 - BANK/CREDIT CARD FEES</v>
      </c>
      <c r="C51" s="11"/>
      <c r="D51" s="7">
        <v>127.64</v>
      </c>
      <c r="E51" s="2"/>
      <c r="F51" s="6">
        <f t="shared" si="28"/>
        <v>2.6798348932810974E-2</v>
      </c>
      <c r="G51" s="2"/>
      <c r="H51" s="7">
        <v>161</v>
      </c>
      <c r="I51" s="2"/>
      <c r="J51" s="6">
        <f t="shared" si="29"/>
        <v>3.1767955801104975E-2</v>
      </c>
      <c r="K51" s="2"/>
      <c r="L51" s="7">
        <f t="shared" si="30"/>
        <v>-33.36</v>
      </c>
      <c r="M51" s="2"/>
      <c r="N51" s="6">
        <f t="shared" si="31"/>
        <v>-0.20720496894409937</v>
      </c>
      <c r="O51" s="11"/>
      <c r="P51" s="7">
        <v>127.64</v>
      </c>
      <c r="Q51" s="2"/>
      <c r="R51" s="6">
        <f t="shared" si="32"/>
        <v>2.6798348932810974E-2</v>
      </c>
      <c r="S51" s="2"/>
      <c r="T51" s="7">
        <v>161</v>
      </c>
      <c r="U51" s="2"/>
      <c r="V51" s="6">
        <f t="shared" si="33"/>
        <v>3.1767955801104975E-2</v>
      </c>
      <c r="W51" s="2"/>
      <c r="X51" s="7">
        <f t="shared" si="34"/>
        <v>-33.36</v>
      </c>
      <c r="Y51" s="2"/>
      <c r="Z51" s="6">
        <f t="shared" si="35"/>
        <v>-0.20720496894409937</v>
      </c>
    </row>
    <row r="52" spans="1:26" s="27" customFormat="1" outlineLevel="1" collapsed="1" x14ac:dyDescent="0.25">
      <c r="A52" s="28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155.66999999999999</v>
      </c>
      <c r="E52" s="1"/>
      <c r="F52" s="5">
        <f t="shared" si="28"/>
        <v>3.2683320106319996E-2</v>
      </c>
      <c r="G52" s="1"/>
      <c r="H52" s="1">
        <f>SUM(OSRRefH22_5x_0)</f>
        <v>0</v>
      </c>
      <c r="I52" s="1"/>
      <c r="J52" s="5">
        <f t="shared" si="29"/>
        <v>0</v>
      </c>
      <c r="K52" s="1"/>
      <c r="L52" s="1">
        <f t="shared" si="30"/>
        <v>155.66999999999999</v>
      </c>
      <c r="M52" s="1"/>
      <c r="N52" s="5">
        <f t="shared" si="31"/>
        <v>0</v>
      </c>
      <c r="O52" s="14"/>
      <c r="P52" s="1">
        <f>SUM(OSRRefP22_5x_0)</f>
        <v>155.66999999999999</v>
      </c>
      <c r="Q52" s="1"/>
      <c r="R52" s="5">
        <f t="shared" si="32"/>
        <v>3.2683320106319996E-2</v>
      </c>
      <c r="S52" s="1"/>
      <c r="T52" s="1">
        <f>SUM(OSRRefT22_5x_0)</f>
        <v>0</v>
      </c>
      <c r="U52" s="1"/>
      <c r="V52" s="5">
        <f t="shared" si="33"/>
        <v>0</v>
      </c>
      <c r="W52" s="1"/>
      <c r="X52" s="1">
        <f t="shared" si="34"/>
        <v>155.66999999999999</v>
      </c>
      <c r="Y52" s="1"/>
      <c r="Z52" s="5">
        <f t="shared" si="35"/>
        <v>0</v>
      </c>
    </row>
    <row r="53" spans="1:26" s="24" customFormat="1" hidden="1" outlineLevel="2" x14ac:dyDescent="0.25">
      <c r="A53" s="29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155.66999999999999</v>
      </c>
      <c r="E53" s="2"/>
      <c r="F53" s="6">
        <f t="shared" si="28"/>
        <v>3.2683320106319996E-2</v>
      </c>
      <c r="G53" s="2"/>
      <c r="H53" s="7"/>
      <c r="I53" s="2"/>
      <c r="J53" s="6">
        <f t="shared" si="29"/>
        <v>0</v>
      </c>
      <c r="K53" s="2"/>
      <c r="L53" s="7">
        <f t="shared" si="30"/>
        <v>155.66999999999999</v>
      </c>
      <c r="M53" s="2"/>
      <c r="N53" s="6">
        <f t="shared" si="31"/>
        <v>0</v>
      </c>
      <c r="O53" s="11"/>
      <c r="P53" s="7">
        <v>155.66999999999999</v>
      </c>
      <c r="Q53" s="2"/>
      <c r="R53" s="6">
        <f t="shared" si="32"/>
        <v>3.2683320106319996E-2</v>
      </c>
      <c r="S53" s="2"/>
      <c r="T53" s="7"/>
      <c r="U53" s="2"/>
      <c r="V53" s="6">
        <f t="shared" si="33"/>
        <v>0</v>
      </c>
      <c r="W53" s="2"/>
      <c r="X53" s="7">
        <f t="shared" si="34"/>
        <v>155.66999999999999</v>
      </c>
      <c r="Y53" s="2"/>
      <c r="Z53" s="6">
        <f t="shared" si="35"/>
        <v>0</v>
      </c>
    </row>
    <row r="54" spans="1:26" s="27" customFormat="1" outlineLevel="1" collapsed="1" x14ac:dyDescent="0.25">
      <c r="A54" s="28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SUM(OSRRefD22_6x_0)</f>
        <v>0</v>
      </c>
      <c r="E54" s="1"/>
      <c r="F54" s="5">
        <f t="shared" si="28"/>
        <v>0</v>
      </c>
      <c r="G54" s="1"/>
      <c r="H54" s="1">
        <f>SUM(OSRRefH22_6x_0)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SUM(OSRRefP22_6x_0)</f>
        <v>0</v>
      </c>
      <c r="Q54" s="1"/>
      <c r="R54" s="5">
        <f t="shared" si="32"/>
        <v>0</v>
      </c>
      <c r="S54" s="1"/>
      <c r="T54" s="1">
        <f>SUM(OSRRefT22_6x_0)</f>
        <v>0</v>
      </c>
      <c r="U54" s="1"/>
      <c r="V54" s="5">
        <f t="shared" si="33"/>
        <v>0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9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0</v>
      </c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/>
      <c r="Q55" s="2"/>
      <c r="R55" s="6">
        <f t="shared" si="32"/>
        <v>0</v>
      </c>
      <c r="S55" s="2"/>
      <c r="T55" s="7">
        <v>0</v>
      </c>
      <c r="U55" s="2"/>
      <c r="V55" s="6">
        <f t="shared" si="33"/>
        <v>0</v>
      </c>
      <c r="W55" s="2"/>
      <c r="X55" s="7">
        <f t="shared" si="34"/>
        <v>0</v>
      </c>
      <c r="Y55" s="2"/>
      <c r="Z55" s="6">
        <f t="shared" si="35"/>
        <v>0</v>
      </c>
    </row>
    <row r="56" spans="1:26" s="27" customFormat="1" outlineLevel="1" collapsed="1" x14ac:dyDescent="0.25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SUM(OSRRefD22_7x_0)</f>
        <v>1458.9</v>
      </c>
      <c r="E56" s="1"/>
      <c r="F56" s="5">
        <f t="shared" si="28"/>
        <v>0.30629983749669332</v>
      </c>
      <c r="G56" s="1"/>
      <c r="H56" s="1">
        <f>SUM(OSRRefH22_7x_0)</f>
        <v>55</v>
      </c>
      <c r="I56" s="1"/>
      <c r="J56" s="5">
        <f t="shared" si="29"/>
        <v>1.0852407261247041E-2</v>
      </c>
      <c r="K56" s="1"/>
      <c r="L56" s="1">
        <f t="shared" si="30"/>
        <v>1403.9</v>
      </c>
      <c r="M56" s="1"/>
      <c r="N56" s="5">
        <f t="shared" si="31"/>
        <v>25.525454545454547</v>
      </c>
      <c r="O56" s="14"/>
      <c r="P56" s="1">
        <f>SUM(OSRRefP22_7x_0)</f>
        <v>1458.9</v>
      </c>
      <c r="Q56" s="1"/>
      <c r="R56" s="5">
        <f t="shared" si="32"/>
        <v>0.30629983749669332</v>
      </c>
      <c r="S56" s="1"/>
      <c r="T56" s="1">
        <f>SUM(OSRRefT22_7x_0)</f>
        <v>55</v>
      </c>
      <c r="U56" s="1"/>
      <c r="V56" s="5">
        <f t="shared" si="33"/>
        <v>1.0852407261247041E-2</v>
      </c>
      <c r="W56" s="1"/>
      <c r="X56" s="1">
        <f t="shared" si="34"/>
        <v>1403.9</v>
      </c>
      <c r="Y56" s="1"/>
      <c r="Z56" s="5">
        <f t="shared" si="35"/>
        <v>25.525454545454547</v>
      </c>
    </row>
    <row r="57" spans="1:26" s="24" customFormat="1" hidden="1" outlineLevel="2" x14ac:dyDescent="0.25">
      <c r="A57" s="29"/>
      <c r="B57" s="11" t="str">
        <f>CONCATENATE("          ", "6279", " - ", "GENERAL EXPENSE")</f>
        <v xml:space="preserve">          6279 - GENERAL EXPENSE</v>
      </c>
      <c r="C57" s="11"/>
      <c r="D57" s="7">
        <v>1458.9</v>
      </c>
      <c r="E57" s="2"/>
      <c r="F57" s="6">
        <f t="shared" si="28"/>
        <v>0.30629983749669332</v>
      </c>
      <c r="G57" s="2"/>
      <c r="H57" s="7">
        <v>55</v>
      </c>
      <c r="I57" s="2"/>
      <c r="J57" s="6">
        <f t="shared" si="29"/>
        <v>1.0852407261247041E-2</v>
      </c>
      <c r="K57" s="2"/>
      <c r="L57" s="7">
        <f t="shared" si="30"/>
        <v>1403.9</v>
      </c>
      <c r="M57" s="2"/>
      <c r="N57" s="6">
        <f t="shared" si="31"/>
        <v>25.525454545454547</v>
      </c>
      <c r="O57" s="11"/>
      <c r="P57" s="7">
        <v>1458.9</v>
      </c>
      <c r="Q57" s="2"/>
      <c r="R57" s="6">
        <f t="shared" si="32"/>
        <v>0.30629983749669332</v>
      </c>
      <c r="S57" s="2"/>
      <c r="T57" s="7">
        <v>55</v>
      </c>
      <c r="U57" s="2"/>
      <c r="V57" s="6">
        <f t="shared" si="33"/>
        <v>1.0852407261247041E-2</v>
      </c>
      <c r="W57" s="2"/>
      <c r="X57" s="7">
        <f t="shared" si="34"/>
        <v>1403.9</v>
      </c>
      <c r="Y57" s="2"/>
      <c r="Z57" s="6">
        <f t="shared" si="35"/>
        <v>25.525454545454547</v>
      </c>
    </row>
    <row r="58" spans="1:26" s="27" customFormat="1" outlineLevel="1" collapsed="1" x14ac:dyDescent="0.25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SUM(OSRRefD22_8x_0)</f>
        <v>843.16</v>
      </c>
      <c r="E58" s="1"/>
      <c r="F58" s="5">
        <f t="shared" si="28"/>
        <v>0.17702362806478297</v>
      </c>
      <c r="G58" s="1"/>
      <c r="H58" s="1">
        <f>SUM(OSRRefH22_8x_0)</f>
        <v>55</v>
      </c>
      <c r="I58" s="1"/>
      <c r="J58" s="5">
        <f t="shared" si="29"/>
        <v>1.0852407261247041E-2</v>
      </c>
      <c r="K58" s="1"/>
      <c r="L58" s="1">
        <f t="shared" si="30"/>
        <v>788.16</v>
      </c>
      <c r="M58" s="1"/>
      <c r="N58" s="5">
        <f t="shared" si="31"/>
        <v>14.330181818181817</v>
      </c>
      <c r="O58" s="14"/>
      <c r="P58" s="1">
        <f>SUM(OSRRefP22_8x_0)</f>
        <v>843.16</v>
      </c>
      <c r="Q58" s="1"/>
      <c r="R58" s="5">
        <f t="shared" si="32"/>
        <v>0.17702362806478297</v>
      </c>
      <c r="S58" s="1"/>
      <c r="T58" s="1">
        <f>SUM(OSRRefT22_8x_0)</f>
        <v>55</v>
      </c>
      <c r="U58" s="1"/>
      <c r="V58" s="5">
        <f t="shared" si="33"/>
        <v>1.0852407261247041E-2</v>
      </c>
      <c r="W58" s="1"/>
      <c r="X58" s="1">
        <f t="shared" si="34"/>
        <v>788.16</v>
      </c>
      <c r="Y58" s="1"/>
      <c r="Z58" s="5">
        <f t="shared" si="35"/>
        <v>14.330181818181817</v>
      </c>
    </row>
    <row r="59" spans="1:26" s="24" customFormat="1" hidden="1" outlineLevel="2" x14ac:dyDescent="0.25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7">
        <v>843.16</v>
      </c>
      <c r="E59" s="2"/>
      <c r="F59" s="6">
        <f t="shared" si="28"/>
        <v>0.17702362806478297</v>
      </c>
      <c r="G59" s="2"/>
      <c r="H59" s="7">
        <v>55</v>
      </c>
      <c r="I59" s="2"/>
      <c r="J59" s="6">
        <f t="shared" si="29"/>
        <v>1.0852407261247041E-2</v>
      </c>
      <c r="K59" s="2"/>
      <c r="L59" s="7">
        <f t="shared" si="30"/>
        <v>788.16</v>
      </c>
      <c r="M59" s="2"/>
      <c r="N59" s="6">
        <f t="shared" si="31"/>
        <v>14.330181818181817</v>
      </c>
      <c r="O59" s="11"/>
      <c r="P59" s="7">
        <v>843.16</v>
      </c>
      <c r="Q59" s="2"/>
      <c r="R59" s="6">
        <f t="shared" si="32"/>
        <v>0.17702362806478297</v>
      </c>
      <c r="S59" s="2"/>
      <c r="T59" s="7">
        <v>55</v>
      </c>
      <c r="U59" s="2"/>
      <c r="V59" s="6">
        <f t="shared" si="33"/>
        <v>1.0852407261247041E-2</v>
      </c>
      <c r="W59" s="2"/>
      <c r="X59" s="7">
        <f t="shared" si="34"/>
        <v>788.16</v>
      </c>
      <c r="Y59" s="2"/>
      <c r="Z59" s="6">
        <f t="shared" si="35"/>
        <v>14.330181818181817</v>
      </c>
    </row>
    <row r="60" spans="1:26" s="27" customFormat="1" outlineLevel="1" collapsed="1" x14ac:dyDescent="0.25">
      <c r="A60" s="28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SUM(OSRRefD22_9x_0)</f>
        <v>327.93</v>
      </c>
      <c r="E60" s="1"/>
      <c r="F60" s="5">
        <f t="shared" si="28"/>
        <v>6.8849753725608767E-2</v>
      </c>
      <c r="G60" s="1"/>
      <c r="H60" s="1">
        <f>SUM(OSRRefH22_9x_0)</f>
        <v>45</v>
      </c>
      <c r="I60" s="1"/>
      <c r="J60" s="5">
        <f t="shared" si="29"/>
        <v>8.8792423046566687E-3</v>
      </c>
      <c r="K60" s="1"/>
      <c r="L60" s="1">
        <f t="shared" si="30"/>
        <v>282.93</v>
      </c>
      <c r="M60" s="1"/>
      <c r="N60" s="5">
        <f t="shared" si="31"/>
        <v>6.2873333333333337</v>
      </c>
      <c r="O60" s="14"/>
      <c r="P60" s="1">
        <f>SUM(OSRRefP22_9x_0)</f>
        <v>327.93</v>
      </c>
      <c r="Q60" s="1"/>
      <c r="R60" s="5">
        <f t="shared" si="32"/>
        <v>6.8849753725608767E-2</v>
      </c>
      <c r="S60" s="1"/>
      <c r="T60" s="1">
        <f>SUM(OSRRefT22_9x_0)</f>
        <v>45</v>
      </c>
      <c r="U60" s="1"/>
      <c r="V60" s="5">
        <f t="shared" si="33"/>
        <v>8.8792423046566687E-3</v>
      </c>
      <c r="W60" s="1"/>
      <c r="X60" s="1">
        <f t="shared" si="34"/>
        <v>282.93</v>
      </c>
      <c r="Y60" s="1"/>
      <c r="Z60" s="5">
        <f t="shared" si="35"/>
        <v>6.2873333333333337</v>
      </c>
    </row>
    <row r="61" spans="1:26" s="24" customFormat="1" hidden="1" outlineLevel="2" x14ac:dyDescent="0.25">
      <c r="A61" s="29"/>
      <c r="B61" s="11" t="str">
        <f>CONCATENATE("          ", "6282", " - ", "JANITORIAL/EXTERMINATOR EXPENS")</f>
        <v xml:space="preserve">          6282 - JANITORIAL/EXTERMINATOR EXPENS</v>
      </c>
      <c r="C61" s="11"/>
      <c r="D61" s="7">
        <v>327.93</v>
      </c>
      <c r="E61" s="2"/>
      <c r="F61" s="6">
        <f t="shared" si="28"/>
        <v>6.8849753725608767E-2</v>
      </c>
      <c r="G61" s="2"/>
      <c r="H61" s="7">
        <v>45</v>
      </c>
      <c r="I61" s="2"/>
      <c r="J61" s="6">
        <f t="shared" si="29"/>
        <v>8.8792423046566687E-3</v>
      </c>
      <c r="K61" s="2"/>
      <c r="L61" s="7">
        <f t="shared" si="30"/>
        <v>282.93</v>
      </c>
      <c r="M61" s="2"/>
      <c r="N61" s="6">
        <f t="shared" si="31"/>
        <v>6.2873333333333337</v>
      </c>
      <c r="O61" s="11"/>
      <c r="P61" s="7">
        <v>327.93</v>
      </c>
      <c r="Q61" s="2"/>
      <c r="R61" s="6">
        <f t="shared" si="32"/>
        <v>6.8849753725608767E-2</v>
      </c>
      <c r="S61" s="2"/>
      <c r="T61" s="7">
        <v>45</v>
      </c>
      <c r="U61" s="2"/>
      <c r="V61" s="6">
        <f t="shared" si="33"/>
        <v>8.8792423046566687E-3</v>
      </c>
      <c r="W61" s="2"/>
      <c r="X61" s="7">
        <f t="shared" si="34"/>
        <v>282.93</v>
      </c>
      <c r="Y61" s="2"/>
      <c r="Z61" s="6">
        <f t="shared" si="35"/>
        <v>6.2873333333333337</v>
      </c>
    </row>
    <row r="62" spans="1:26" s="27" customFormat="1" outlineLevel="1" collapsed="1" x14ac:dyDescent="0.25">
      <c r="A62" s="28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3778.7599999999998</v>
      </c>
      <c r="E62" s="1"/>
      <c r="F62" s="5">
        <f t="shared" si="28"/>
        <v>0.79336045920831078</v>
      </c>
      <c r="G62" s="1"/>
      <c r="H62" s="1">
        <f>SUM(OSRRefH22_10x_0)</f>
        <v>76</v>
      </c>
      <c r="I62" s="1"/>
      <c r="J62" s="5">
        <f t="shared" si="29"/>
        <v>1.499605367008682E-2</v>
      </c>
      <c r="K62" s="1"/>
      <c r="L62" s="1">
        <f t="shared" si="30"/>
        <v>3702.7599999999998</v>
      </c>
      <c r="M62" s="1"/>
      <c r="N62" s="5">
        <f t="shared" si="31"/>
        <v>48.720526315789471</v>
      </c>
      <c r="O62" s="14"/>
      <c r="P62" s="1">
        <f>SUM(OSRRefP22_10x_0)</f>
        <v>3778.7599999999998</v>
      </c>
      <c r="Q62" s="1"/>
      <c r="R62" s="5">
        <f t="shared" si="32"/>
        <v>0.79336045920831078</v>
      </c>
      <c r="S62" s="1"/>
      <c r="T62" s="1">
        <f>SUM(OSRRefT22_10x_0)</f>
        <v>76</v>
      </c>
      <c r="U62" s="1"/>
      <c r="V62" s="5">
        <f t="shared" si="33"/>
        <v>1.499605367008682E-2</v>
      </c>
      <c r="W62" s="1"/>
      <c r="X62" s="1">
        <f t="shared" si="34"/>
        <v>3702.7599999999998</v>
      </c>
      <c r="Y62" s="1"/>
      <c r="Z62" s="5">
        <f t="shared" si="35"/>
        <v>48.720526315789471</v>
      </c>
    </row>
    <row r="63" spans="1:26" s="24" customFormat="1" hidden="1" outlineLevel="2" x14ac:dyDescent="0.25">
      <c r="A63" s="29"/>
      <c r="B63" s="11" t="str">
        <f>CONCATENATE("          ", "6237", " - ", "JANITORIAL SUPPLIES")</f>
        <v xml:space="preserve">          6237 - JANITORIAL SUPPLIES</v>
      </c>
      <c r="C63" s="11"/>
      <c r="D63" s="7">
        <v>220.87</v>
      </c>
      <c r="E63" s="2"/>
      <c r="F63" s="6">
        <f t="shared" si="28"/>
        <v>4.6372229150657786E-2</v>
      </c>
      <c r="G63" s="2"/>
      <c r="H63" s="7"/>
      <c r="I63" s="2"/>
      <c r="J63" s="6">
        <f t="shared" si="29"/>
        <v>0</v>
      </c>
      <c r="K63" s="2"/>
      <c r="L63" s="7">
        <f t="shared" si="30"/>
        <v>220.87</v>
      </c>
      <c r="M63" s="2"/>
      <c r="N63" s="6">
        <f t="shared" si="31"/>
        <v>0</v>
      </c>
      <c r="O63" s="11"/>
      <c r="P63" s="7">
        <v>220.87</v>
      </c>
      <c r="Q63" s="2"/>
      <c r="R63" s="6">
        <f t="shared" si="32"/>
        <v>4.6372229150657786E-2</v>
      </c>
      <c r="S63" s="2"/>
      <c r="T63" s="7"/>
      <c r="U63" s="2"/>
      <c r="V63" s="6">
        <f t="shared" si="33"/>
        <v>0</v>
      </c>
      <c r="W63" s="2"/>
      <c r="X63" s="7">
        <f t="shared" si="34"/>
        <v>220.87</v>
      </c>
      <c r="Y63" s="2"/>
      <c r="Z63" s="6">
        <f t="shared" si="35"/>
        <v>0</v>
      </c>
    </row>
    <row r="64" spans="1:26" s="24" customFormat="1" hidden="1" outlineLevel="2" x14ac:dyDescent="0.25">
      <c r="A64" s="29"/>
      <c r="B64" s="11" t="str">
        <f>CONCATENATE("          ", "6247", " - ", "STORE SUPPLIES")</f>
        <v xml:space="preserve">          6247 - STORE SUPPLIES</v>
      </c>
      <c r="C64" s="11"/>
      <c r="D64" s="7">
        <v>3557.89</v>
      </c>
      <c r="E64" s="2"/>
      <c r="F64" s="6">
        <f t="shared" si="28"/>
        <v>0.74698823005765302</v>
      </c>
      <c r="G64" s="2"/>
      <c r="H64" s="7">
        <v>76</v>
      </c>
      <c r="I64" s="2"/>
      <c r="J64" s="6">
        <f t="shared" si="29"/>
        <v>1.499605367008682E-2</v>
      </c>
      <c r="K64" s="2"/>
      <c r="L64" s="7">
        <f t="shared" si="30"/>
        <v>3481.89</v>
      </c>
      <c r="M64" s="2"/>
      <c r="N64" s="6">
        <f t="shared" si="31"/>
        <v>45.814342105263158</v>
      </c>
      <c r="O64" s="11"/>
      <c r="P64" s="7">
        <v>3557.89</v>
      </c>
      <c r="Q64" s="2"/>
      <c r="R64" s="6">
        <f t="shared" si="32"/>
        <v>0.74698823005765302</v>
      </c>
      <c r="S64" s="2"/>
      <c r="T64" s="7">
        <v>76</v>
      </c>
      <c r="U64" s="2"/>
      <c r="V64" s="6">
        <f t="shared" si="33"/>
        <v>1.499605367008682E-2</v>
      </c>
      <c r="W64" s="2"/>
      <c r="X64" s="7">
        <f t="shared" si="34"/>
        <v>3481.89</v>
      </c>
      <c r="Y64" s="2"/>
      <c r="Z64" s="6">
        <f t="shared" si="35"/>
        <v>45.814342105263158</v>
      </c>
    </row>
    <row r="65" spans="1:26" s="27" customFormat="1" outlineLevel="1" collapsed="1" x14ac:dyDescent="0.25">
      <c r="A65" s="28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69.010000000000005</v>
      </c>
      <c r="E65" s="1"/>
      <c r="F65" s="5">
        <f t="shared" ref="F65:F66" si="36">IF(D$12=0,0,D65/D$12)</f>
        <v>1.4488828422542193E-2</v>
      </c>
      <c r="G65" s="1"/>
      <c r="H65" s="1">
        <f>SUM(OSRRefH22_11x_0)</f>
        <v>75</v>
      </c>
      <c r="I65" s="1"/>
      <c r="J65" s="5">
        <f t="shared" ref="J65:J66" si="37">IF(H$12=0,0,H65/H$12)</f>
        <v>1.4798737174427782E-2</v>
      </c>
      <c r="K65" s="1"/>
      <c r="L65" s="1">
        <f t="shared" ref="L65:L66" si="38">+D65-H65</f>
        <v>-5.9899999999999949</v>
      </c>
      <c r="M65" s="1"/>
      <c r="N65" s="5">
        <f t="shared" ref="N65:N66" si="39">IF(H65=0,0,L65/H65)</f>
        <v>-7.98666666666666E-2</v>
      </c>
      <c r="O65" s="14"/>
      <c r="P65" s="1">
        <f>SUM(OSRRefP22_11x_0)</f>
        <v>69.010000000000005</v>
      </c>
      <c r="Q65" s="1"/>
      <c r="R65" s="5">
        <f t="shared" ref="R65:R66" si="40">IF(P$12=0,0,P65/P$12)</f>
        <v>1.4488828422542193E-2</v>
      </c>
      <c r="S65" s="1"/>
      <c r="T65" s="1">
        <f>SUM(OSRRefT22_11x_0)</f>
        <v>75</v>
      </c>
      <c r="U65" s="1"/>
      <c r="V65" s="5">
        <f t="shared" ref="V65:V66" si="41">IF(T$12=0,0,T65/T$12)</f>
        <v>1.4798737174427782E-2</v>
      </c>
      <c r="W65" s="1"/>
      <c r="X65" s="1">
        <f t="shared" ref="X65:X66" si="42">+P65-T65</f>
        <v>-5.9899999999999949</v>
      </c>
      <c r="Y65" s="1"/>
      <c r="Z65" s="5">
        <f t="shared" ref="Z65:Z66" si="43">IF(T65=0,0,X65/T65)</f>
        <v>-7.98666666666666E-2</v>
      </c>
    </row>
    <row r="66" spans="1:26" s="24" customFormat="1" hidden="1" outlineLevel="2" x14ac:dyDescent="0.25">
      <c r="A66" s="29"/>
      <c r="B66" s="11" t="str">
        <f>CONCATENATE("          ", "6309", " - ", "TELEPHONE")</f>
        <v xml:space="preserve">          6309 - TELEPHONE</v>
      </c>
      <c r="C66" s="11"/>
      <c r="D66" s="7">
        <v>69.010000000000005</v>
      </c>
      <c r="E66" s="2"/>
      <c r="F66" s="6">
        <f t="shared" si="36"/>
        <v>1.4488828422542193E-2</v>
      </c>
      <c r="G66" s="2"/>
      <c r="H66" s="7">
        <v>75</v>
      </c>
      <c r="I66" s="2"/>
      <c r="J66" s="6">
        <f t="shared" si="37"/>
        <v>1.4798737174427782E-2</v>
      </c>
      <c r="K66" s="2"/>
      <c r="L66" s="7">
        <f t="shared" si="38"/>
        <v>-5.9899999999999949</v>
      </c>
      <c r="M66" s="2"/>
      <c r="N66" s="6">
        <f t="shared" si="39"/>
        <v>-7.98666666666666E-2</v>
      </c>
      <c r="O66" s="11"/>
      <c r="P66" s="7">
        <v>69.010000000000005</v>
      </c>
      <c r="Q66" s="2"/>
      <c r="R66" s="6">
        <f t="shared" si="40"/>
        <v>1.4488828422542193E-2</v>
      </c>
      <c r="S66" s="2"/>
      <c r="T66" s="7">
        <v>75</v>
      </c>
      <c r="U66" s="2"/>
      <c r="V66" s="6">
        <f t="shared" si="41"/>
        <v>1.4798737174427782E-2</v>
      </c>
      <c r="W66" s="2"/>
      <c r="X66" s="7">
        <f t="shared" si="42"/>
        <v>-5.9899999999999949</v>
      </c>
      <c r="Y66" s="2"/>
      <c r="Z66" s="6">
        <f t="shared" si="43"/>
        <v>-7.98666666666666E-2</v>
      </c>
    </row>
    <row r="67" spans="1:26" s="57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5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6" t="s">
        <v>3</v>
      </c>
      <c r="C70" s="26"/>
      <c r="D70" s="21">
        <f>+D22-D24+D68</f>
        <v>-11802.86</v>
      </c>
      <c r="E70" s="13"/>
      <c r="F70" s="19">
        <f>IF(D$12=0,0,D70/D$12)</f>
        <v>-2.4780410583290298</v>
      </c>
      <c r="G70" s="13"/>
      <c r="H70" s="21">
        <f>+H22-H24+H68</f>
        <v>-3538.4041817307698</v>
      </c>
      <c r="I70" s="13"/>
      <c r="J70" s="19">
        <f>IF(H$12=0,0,H70/H$12)</f>
        <v>-0.69818551336439816</v>
      </c>
      <c r="K70" s="15"/>
      <c r="L70" s="21">
        <f>+D70-H70</f>
        <v>-8264.4558182692308</v>
      </c>
      <c r="M70" s="15"/>
      <c r="N70" s="19">
        <f>IF(H70=0,0,L70/H70)</f>
        <v>2.3356449387381084</v>
      </c>
      <c r="O70" s="25"/>
      <c r="P70" s="21">
        <f>+P22-P24+P68</f>
        <v>-11802.86</v>
      </c>
      <c r="Q70" s="13"/>
      <c r="R70" s="19">
        <f>IF(P$12=0,0,P70/P$12)</f>
        <v>-2.4780410583290298</v>
      </c>
      <c r="S70" s="13"/>
      <c r="T70" s="21">
        <f>+T22-T24+T68</f>
        <v>-3538.4041817307698</v>
      </c>
      <c r="U70" s="13"/>
      <c r="V70" s="19">
        <f>IF(T$12=0,0,T70/T$12)</f>
        <v>-0.69818551336439816</v>
      </c>
      <c r="W70" s="15"/>
      <c r="X70" s="21">
        <f>+P70-T70</f>
        <v>-8264.4558182692308</v>
      </c>
      <c r="Y70" s="15"/>
      <c r="Z70" s="19">
        <f>IF(T70=0,0,X70/T70)</f>
        <v>2.3356449387381084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>
        <v>990.36</v>
      </c>
      <c r="E72" s="4"/>
      <c r="F72" s="12">
        <f>IF(D$12=0,0,D72/D$12)</f>
        <v>0.20792864971089531</v>
      </c>
      <c r="G72" s="4"/>
      <c r="H72" s="4">
        <v>1235</v>
      </c>
      <c r="I72" s="4"/>
      <c r="J72" s="12">
        <f>IF(H$12=0,0,H72/H$12)</f>
        <v>0.24368587213891083</v>
      </c>
      <c r="K72" s="4"/>
      <c r="L72" s="4">
        <f>+D72-H72</f>
        <v>-244.64</v>
      </c>
      <c r="M72" s="4"/>
      <c r="N72" s="12">
        <f>IF(H72=0,0,L72/H72)</f>
        <v>-0.19808906882591093</v>
      </c>
      <c r="O72" s="10"/>
      <c r="P72" s="4">
        <v>990.36</v>
      </c>
      <c r="Q72" s="4"/>
      <c r="R72" s="12">
        <f>IF(P$12=0,0,P72/P$12)</f>
        <v>0.20792864971089531</v>
      </c>
      <c r="S72" s="4"/>
      <c r="T72" s="4">
        <v>1235</v>
      </c>
      <c r="U72" s="4"/>
      <c r="V72" s="12">
        <f>IF(T$12=0,0,T72/T$12)</f>
        <v>0.24368587213891083</v>
      </c>
      <c r="W72" s="4"/>
      <c r="X72" s="4">
        <f>+P72-T72</f>
        <v>-244.64</v>
      </c>
      <c r="Y72" s="4"/>
      <c r="Z72" s="12">
        <f>IF(T72=0,0,X72/T72)</f>
        <v>-0.19808906882591093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4</v>
      </c>
      <c r="C74" s="26"/>
      <c r="D74" s="32">
        <f>+D70-D72</f>
        <v>-12793.220000000001</v>
      </c>
      <c r="E74" s="13"/>
      <c r="F74" s="31">
        <f>IF(D$12=0,0,D74/D$12)</f>
        <v>-2.685969708039925</v>
      </c>
      <c r="G74" s="13"/>
      <c r="H74" s="32">
        <f>+H70-H72</f>
        <v>-4773.4041817307698</v>
      </c>
      <c r="I74" s="13"/>
      <c r="J74" s="31">
        <f>IF(H$12=0,0,H74/H$12)</f>
        <v>-0.94187138550330896</v>
      </c>
      <c r="K74" s="15"/>
      <c r="L74" s="32">
        <f>D74-H74</f>
        <v>-8019.8158182692314</v>
      </c>
      <c r="M74" s="15"/>
      <c r="N74" s="31">
        <f>IF(H74=0,0,L74/H74)</f>
        <v>1.6801040751930121</v>
      </c>
      <c r="O74" s="25"/>
      <c r="P74" s="32">
        <f>+P70-P72</f>
        <v>-12793.220000000001</v>
      </c>
      <c r="Q74" s="13"/>
      <c r="R74" s="31">
        <f>IF(P$12=0,0,P74/P$12)</f>
        <v>-2.685969708039925</v>
      </c>
      <c r="S74" s="13"/>
      <c r="T74" s="32">
        <f>+T70-T72</f>
        <v>-4773.4041817307698</v>
      </c>
      <c r="U74" s="13"/>
      <c r="V74" s="31">
        <f>IF(T$12=0,0,T74/T$12)</f>
        <v>-0.94187138550330896</v>
      </c>
      <c r="W74" s="15"/>
      <c r="X74" s="32">
        <f>P74-T74</f>
        <v>-8019.8158182692314</v>
      </c>
      <c r="Y74" s="15"/>
      <c r="Z74" s="31">
        <f>IF(T74=0,0,X74/T74)</f>
        <v>1.6801040751930121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5</v>
      </c>
      <c r="C77" s="26"/>
      <c r="D77" s="33">
        <f>SUM(D74:D76)</f>
        <v>-12793.220000000001</v>
      </c>
      <c r="E77" s="13"/>
      <c r="F77" s="34">
        <f>IF(D$12=0,0,D77/D$12)</f>
        <v>-2.685969708039925</v>
      </c>
      <c r="G77" s="13"/>
      <c r="H77" s="33">
        <f>SUM(H74:H76)</f>
        <v>-4773.4041817307698</v>
      </c>
      <c r="I77" s="13"/>
      <c r="J77" s="34">
        <f>IF(H$12=0,0,H77/H$12)</f>
        <v>-0.94187138550330896</v>
      </c>
      <c r="K77" s="15"/>
      <c r="L77" s="33">
        <f>+D77-H77</f>
        <v>-8019.8158182692314</v>
      </c>
      <c r="M77" s="15"/>
      <c r="N77" s="34">
        <f>IF(H77=0,0,L77/H77)</f>
        <v>1.6801040751930121</v>
      </c>
      <c r="O77" s="25"/>
      <c r="P77" s="33">
        <f>SUM(P74:P76)</f>
        <v>-12793.220000000001</v>
      </c>
      <c r="Q77" s="13"/>
      <c r="R77" s="34">
        <f>IF(P$12=0,0,P77/P$12)</f>
        <v>-2.685969708039925</v>
      </c>
      <c r="S77" s="13"/>
      <c r="T77" s="33">
        <f>SUM(T74:T76)</f>
        <v>-4773.4041817307698</v>
      </c>
      <c r="U77" s="13"/>
      <c r="V77" s="34">
        <f>IF(T$12=0,0,T77/T$12)</f>
        <v>-0.94187138550330896</v>
      </c>
      <c r="W77" s="15"/>
      <c r="X77" s="33">
        <f>+P77-T77</f>
        <v>-8019.8158182692314</v>
      </c>
      <c r="Y77" s="15"/>
      <c r="Z77" s="34">
        <f>IF(T77=0,0,X77/T77)</f>
        <v>1.6801040751930121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61">
        <v>43726.678625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6" t="s">
        <v>314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3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299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","313", " - ", "Convenience Store")</f>
        <v>Department 313 - Convenience 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19570.3</v>
      </c>
      <c r="E12" s="4"/>
      <c r="F12" s="12"/>
      <c r="G12" s="4"/>
      <c r="H12" s="4">
        <f>SUM(OSRRefH13x_0)</f>
        <v>16078</v>
      </c>
      <c r="I12" s="4"/>
      <c r="J12" s="12"/>
      <c r="K12" s="4"/>
      <c r="L12" s="4">
        <f t="shared" ref="L12:L18" si="0">+D12-H12</f>
        <v>3492.2999999999993</v>
      </c>
      <c r="M12" s="4"/>
      <c r="N12" s="12">
        <f t="shared" ref="N12:N18" si="1">IF(H12=0,0,L12/H12)</f>
        <v>0.21720985197163822</v>
      </c>
      <c r="O12" s="10"/>
      <c r="P12" s="4">
        <f>SUM(OSRRefP13x_0)</f>
        <v>19570.3</v>
      </c>
      <c r="Q12" s="4"/>
      <c r="R12" s="12"/>
      <c r="S12" s="4"/>
      <c r="T12" s="4">
        <f>SUM(OSRRefT13x_0)</f>
        <v>16078</v>
      </c>
      <c r="U12" s="4"/>
      <c r="V12" s="12"/>
      <c r="W12" s="4"/>
      <c r="X12" s="4">
        <f t="shared" ref="X12:X18" si="2">+P12-T12</f>
        <v>3492.2999999999993</v>
      </c>
      <c r="Y12" s="4"/>
      <c r="Z12" s="12">
        <f t="shared" ref="Z12:Z18" si="3">IF(T12=0,0,X12/T12)</f>
        <v>0.21720985197163822</v>
      </c>
    </row>
    <row r="13" spans="1:26" s="24" customFormat="1" hidden="1" outlineLevel="1" x14ac:dyDescent="0.25">
      <c r="A13" s="51"/>
      <c r="B13" s="11" t="str">
        <f>CONCATENATE("          ", "4032", " - ", "TAXABLE SALES-JUICE")</f>
        <v xml:space="preserve">          4032 - TAXABLE SALES-JUICE</v>
      </c>
      <c r="C13" s="11"/>
      <c r="D13" s="2">
        <f>--3694.52</f>
        <v>3694.52</v>
      </c>
      <c r="E13" s="2"/>
      <c r="F13" s="22"/>
      <c r="G13" s="2"/>
      <c r="H13" s="2"/>
      <c r="I13" s="2"/>
      <c r="J13" s="22"/>
      <c r="K13" s="2"/>
      <c r="L13" s="2">
        <f t="shared" si="0"/>
        <v>3694.52</v>
      </c>
      <c r="M13" s="2"/>
      <c r="N13" s="22">
        <f t="shared" si="1"/>
        <v>0</v>
      </c>
      <c r="O13" s="11"/>
      <c r="P13" s="2">
        <f>--3694.52</f>
        <v>3694.52</v>
      </c>
      <c r="Q13" s="2"/>
      <c r="R13" s="22"/>
      <c r="S13" s="2"/>
      <c r="T13" s="2"/>
      <c r="U13" s="2"/>
      <c r="V13" s="22"/>
      <c r="W13" s="2"/>
      <c r="X13" s="2">
        <f t="shared" si="2"/>
        <v>3694.52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"4034", " - ", "TAXABLE SALES-SODA")</f>
        <v xml:space="preserve">          4034 - TAXABLE SALES-SODA</v>
      </c>
      <c r="C14" s="11"/>
      <c r="D14" s="2">
        <f>--288.75</f>
        <v>288.75</v>
      </c>
      <c r="E14" s="2"/>
      <c r="F14" s="22"/>
      <c r="G14" s="2"/>
      <c r="H14" s="2"/>
      <c r="I14" s="2"/>
      <c r="J14" s="22"/>
      <c r="K14" s="2"/>
      <c r="L14" s="2">
        <f t="shared" si="0"/>
        <v>288.75</v>
      </c>
      <c r="M14" s="2"/>
      <c r="N14" s="22">
        <f t="shared" si="1"/>
        <v>0</v>
      </c>
      <c r="O14" s="11"/>
      <c r="P14" s="2">
        <f>--288.75</f>
        <v>288.75</v>
      </c>
      <c r="Q14" s="2"/>
      <c r="R14" s="22"/>
      <c r="S14" s="2"/>
      <c r="T14" s="2"/>
      <c r="U14" s="2"/>
      <c r="V14" s="22"/>
      <c r="W14" s="2"/>
      <c r="X14" s="2">
        <f t="shared" si="2"/>
        <v>288.75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2"/>
      <c r="G15" s="2"/>
      <c r="H15" s="2">
        <v>16078</v>
      </c>
      <c r="I15" s="2"/>
      <c r="J15" s="22"/>
      <c r="K15" s="2"/>
      <c r="L15" s="2">
        <f t="shared" si="0"/>
        <v>-16078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16078</v>
      </c>
      <c r="U15" s="2"/>
      <c r="V15" s="22"/>
      <c r="W15" s="2"/>
      <c r="X15" s="2">
        <f t="shared" si="2"/>
        <v>-16078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"4132", " - ", "NON-TAXABLE SALES-JUICE")</f>
        <v xml:space="preserve">          4132 - NON-TAXABLE SALES-JUICE</v>
      </c>
      <c r="C16" s="11"/>
      <c r="D16" s="2">
        <f>--15379.92</f>
        <v>15379.92</v>
      </c>
      <c r="E16" s="2"/>
      <c r="F16" s="22"/>
      <c r="G16" s="2"/>
      <c r="H16" s="2"/>
      <c r="I16" s="2"/>
      <c r="J16" s="22"/>
      <c r="K16" s="2"/>
      <c r="L16" s="2">
        <f t="shared" si="0"/>
        <v>15379.92</v>
      </c>
      <c r="M16" s="2"/>
      <c r="N16" s="22">
        <f t="shared" si="1"/>
        <v>0</v>
      </c>
      <c r="O16" s="11"/>
      <c r="P16" s="2">
        <f>--15379.92</f>
        <v>15379.92</v>
      </c>
      <c r="Q16" s="2"/>
      <c r="R16" s="22"/>
      <c r="S16" s="2"/>
      <c r="T16" s="2"/>
      <c r="U16" s="2"/>
      <c r="V16" s="22"/>
      <c r="W16" s="2"/>
      <c r="X16" s="2">
        <f t="shared" si="2"/>
        <v>15379.92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"4134", " - ", "NON-TAXABLE SALES-SODA")</f>
        <v xml:space="preserve">          4134 - NON-TAXABLE SALES-SODA</v>
      </c>
      <c r="C17" s="11"/>
      <c r="D17" s="2">
        <f>-3.39</f>
        <v>-3.39</v>
      </c>
      <c r="E17" s="2"/>
      <c r="F17" s="22"/>
      <c r="G17" s="2"/>
      <c r="H17" s="2"/>
      <c r="I17" s="2"/>
      <c r="J17" s="22"/>
      <c r="K17" s="2"/>
      <c r="L17" s="2">
        <f t="shared" si="0"/>
        <v>-3.39</v>
      </c>
      <c r="M17" s="2"/>
      <c r="N17" s="22">
        <f t="shared" si="1"/>
        <v>0</v>
      </c>
      <c r="O17" s="11"/>
      <c r="P17" s="2">
        <f>-3.39</f>
        <v>-3.39</v>
      </c>
      <c r="Q17" s="2"/>
      <c r="R17" s="22"/>
      <c r="S17" s="2"/>
      <c r="T17" s="2"/>
      <c r="U17" s="2"/>
      <c r="V17" s="22"/>
      <c r="W17" s="2"/>
      <c r="X17" s="2">
        <f t="shared" si="2"/>
        <v>-3.39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"4137", " - ", "NON-TAXABLE SALES-WATER")</f>
        <v xml:space="preserve">          4137 - NON-TAXABLE SALES-WATER</v>
      </c>
      <c r="C18" s="11"/>
      <c r="D18" s="2">
        <f>--210.5</f>
        <v>210.5</v>
      </c>
      <c r="E18" s="2"/>
      <c r="F18" s="22"/>
      <c r="G18" s="2"/>
      <c r="H18" s="2"/>
      <c r="I18" s="2"/>
      <c r="J18" s="22"/>
      <c r="K18" s="2"/>
      <c r="L18" s="2">
        <f t="shared" si="0"/>
        <v>210.5</v>
      </c>
      <c r="M18" s="2"/>
      <c r="N18" s="22">
        <f t="shared" si="1"/>
        <v>0</v>
      </c>
      <c r="O18" s="11"/>
      <c r="P18" s="2">
        <f>--210.5</f>
        <v>210.5</v>
      </c>
      <c r="Q18" s="2"/>
      <c r="R18" s="22"/>
      <c r="S18" s="2"/>
      <c r="T18" s="2"/>
      <c r="U18" s="2"/>
      <c r="V18" s="22"/>
      <c r="W18" s="2"/>
      <c r="X18" s="2">
        <f t="shared" si="2"/>
        <v>210.5</v>
      </c>
      <c r="Y18" s="2"/>
      <c r="Z18" s="22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5" t="s">
        <v>8</v>
      </c>
      <c r="C20" s="10"/>
      <c r="D20" s="4">
        <f>SUM(OSRRefD16x_0)</f>
        <v>9068.3100000000013</v>
      </c>
      <c r="E20" s="4"/>
      <c r="F20" s="12">
        <f t="shared" ref="F20:F23" si="4">IF(D$12=0,0,D20/D$12)</f>
        <v>0.46337102650444817</v>
      </c>
      <c r="G20" s="4"/>
      <c r="H20" s="4">
        <f>SUM(OSRRefH16x_0)</f>
        <v>7718</v>
      </c>
      <c r="I20" s="4"/>
      <c r="J20" s="12">
        <f t="shared" ref="J20:J23" si="5">IF(H$12=0,0,H20/H$12)</f>
        <v>0.48003483020276155</v>
      </c>
      <c r="K20" s="4"/>
      <c r="L20" s="4">
        <f t="shared" ref="L20:L23" si="6">+D20-H20</f>
        <v>1350.3100000000013</v>
      </c>
      <c r="M20" s="4"/>
      <c r="N20" s="12">
        <f t="shared" ref="N20:N23" si="7">IF(H20=0,0,L20/H20)</f>
        <v>0.17495594713656404</v>
      </c>
      <c r="O20" s="10"/>
      <c r="P20" s="4">
        <f>SUM(OSRRefP16x_0)</f>
        <v>9068.3100000000013</v>
      </c>
      <c r="Q20" s="4"/>
      <c r="R20" s="12">
        <f t="shared" ref="R20:R23" si="8">IF(P$12=0,0,P20/P$12)</f>
        <v>0.46337102650444817</v>
      </c>
      <c r="S20" s="4"/>
      <c r="T20" s="4">
        <f>SUM(OSRRefT16x_0)</f>
        <v>7718</v>
      </c>
      <c r="U20" s="4"/>
      <c r="V20" s="12">
        <f t="shared" ref="V20:V23" si="9">IF(T$12=0,0,T20/T$12)</f>
        <v>0.48003483020276155</v>
      </c>
      <c r="W20" s="4"/>
      <c r="X20" s="4">
        <f t="shared" ref="X20:X23" si="10">+P20-T20</f>
        <v>1350.3100000000013</v>
      </c>
      <c r="Y20" s="4"/>
      <c r="Z20" s="12">
        <f t="shared" ref="Z20:Z23" si="11">IF(T20=0,0,X20/T20)</f>
        <v>0.17495594713656404</v>
      </c>
    </row>
    <row r="21" spans="1:26" s="24" customFormat="1" hidden="1" outlineLevel="1" x14ac:dyDescent="0.25">
      <c r="A21" s="51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22">
        <f t="shared" si="4"/>
        <v>0</v>
      </c>
      <c r="G21" s="2"/>
      <c r="H21" s="2">
        <v>7718</v>
      </c>
      <c r="I21" s="2"/>
      <c r="J21" s="22">
        <f t="shared" si="5"/>
        <v>0.48003483020276155</v>
      </c>
      <c r="K21" s="2"/>
      <c r="L21" s="2">
        <f t="shared" si="6"/>
        <v>-7718</v>
      </c>
      <c r="M21" s="2"/>
      <c r="N21" s="22">
        <f t="shared" si="7"/>
        <v>-1</v>
      </c>
      <c r="O21" s="11"/>
      <c r="P21" s="2"/>
      <c r="Q21" s="2"/>
      <c r="R21" s="22">
        <f t="shared" si="8"/>
        <v>0</v>
      </c>
      <c r="S21" s="2"/>
      <c r="T21" s="2">
        <v>7718</v>
      </c>
      <c r="U21" s="2"/>
      <c r="V21" s="22">
        <f t="shared" si="9"/>
        <v>0.48003483020276155</v>
      </c>
      <c r="W21" s="2"/>
      <c r="X21" s="2">
        <f t="shared" si="10"/>
        <v>-7718</v>
      </c>
      <c r="Y21" s="2"/>
      <c r="Z21" s="22">
        <f t="shared" si="11"/>
        <v>-1</v>
      </c>
    </row>
    <row r="22" spans="1:26" s="24" customFormat="1" hidden="1" outlineLevel="1" x14ac:dyDescent="0.25">
      <c r="A22" s="51"/>
      <c r="B22" s="11" t="str">
        <f>CONCATENATE("          ", "5053", " - ", "PURCHASES @ COST-FOOD")</f>
        <v xml:space="preserve">          5053 - PURCHASES @ COST-FOOD</v>
      </c>
      <c r="C22" s="11"/>
      <c r="D22" s="2">
        <v>14156.79</v>
      </c>
      <c r="E22" s="2"/>
      <c r="F22" s="22">
        <f t="shared" si="4"/>
        <v>0.72338134826752787</v>
      </c>
      <c r="G22" s="2"/>
      <c r="H22" s="2"/>
      <c r="I22" s="2"/>
      <c r="J22" s="22">
        <f t="shared" si="5"/>
        <v>0</v>
      </c>
      <c r="K22" s="2"/>
      <c r="L22" s="2">
        <f t="shared" si="6"/>
        <v>14156.79</v>
      </c>
      <c r="M22" s="2"/>
      <c r="N22" s="22">
        <f t="shared" si="7"/>
        <v>0</v>
      </c>
      <c r="O22" s="11"/>
      <c r="P22" s="2">
        <v>14156.79</v>
      </c>
      <c r="Q22" s="2"/>
      <c r="R22" s="22">
        <f t="shared" si="8"/>
        <v>0.72338134826752787</v>
      </c>
      <c r="S22" s="2"/>
      <c r="T22" s="2"/>
      <c r="U22" s="2"/>
      <c r="V22" s="22">
        <f t="shared" si="9"/>
        <v>0</v>
      </c>
      <c r="W22" s="2"/>
      <c r="X22" s="2">
        <f t="shared" si="10"/>
        <v>14156.79</v>
      </c>
      <c r="Y22" s="2"/>
      <c r="Z22" s="22">
        <f t="shared" si="11"/>
        <v>0</v>
      </c>
    </row>
    <row r="23" spans="1:26" s="24" customFormat="1" hidden="1" outlineLevel="1" x14ac:dyDescent="0.25">
      <c r="A23" s="51"/>
      <c r="B23" s="11" t="str">
        <f>CONCATENATE("          ", "5059", " - ", "PURCHASES @ COST-FOOD")</f>
        <v xml:space="preserve">          5059 - PURCHASES @ COST-FOOD</v>
      </c>
      <c r="C23" s="11"/>
      <c r="D23" s="2">
        <v>-5088.4799999999996</v>
      </c>
      <c r="E23" s="2"/>
      <c r="F23" s="22">
        <f t="shared" si="4"/>
        <v>-0.26001032176307975</v>
      </c>
      <c r="G23" s="2"/>
      <c r="H23" s="2"/>
      <c r="I23" s="2"/>
      <c r="J23" s="22">
        <f t="shared" si="5"/>
        <v>0</v>
      </c>
      <c r="K23" s="2"/>
      <c r="L23" s="2">
        <f t="shared" si="6"/>
        <v>-5088.4799999999996</v>
      </c>
      <c r="M23" s="2"/>
      <c r="N23" s="22">
        <f t="shared" si="7"/>
        <v>0</v>
      </c>
      <c r="O23" s="11"/>
      <c r="P23" s="2">
        <v>-5088.4799999999996</v>
      </c>
      <c r="Q23" s="2"/>
      <c r="R23" s="22">
        <f t="shared" si="8"/>
        <v>-0.26001032176307975</v>
      </c>
      <c r="S23" s="2"/>
      <c r="T23" s="2"/>
      <c r="U23" s="2"/>
      <c r="V23" s="22">
        <f t="shared" si="9"/>
        <v>0</v>
      </c>
      <c r="W23" s="2"/>
      <c r="X23" s="2">
        <f t="shared" si="10"/>
        <v>-5088.4799999999996</v>
      </c>
      <c r="Y23" s="2"/>
      <c r="Z23" s="22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6" t="s">
        <v>6</v>
      </c>
      <c r="C25" s="26"/>
      <c r="D25" s="21">
        <f>D12-D20</f>
        <v>10501.989999999998</v>
      </c>
      <c r="E25" s="13"/>
      <c r="F25" s="19">
        <f>IF(D$12=0,0,D25/D$12)</f>
        <v>0.53662897349555183</v>
      </c>
      <c r="G25" s="13"/>
      <c r="H25" s="21">
        <f>H12-H20</f>
        <v>8360</v>
      </c>
      <c r="I25" s="13"/>
      <c r="J25" s="19">
        <f>IF(H$12=0,0,H25/H$12)</f>
        <v>0.5199651697972385</v>
      </c>
      <c r="K25" s="15"/>
      <c r="L25" s="21">
        <f>+D25-H25</f>
        <v>2141.989999999998</v>
      </c>
      <c r="M25" s="15"/>
      <c r="N25" s="19">
        <f>IF(H25=0,0,L25/H25)</f>
        <v>0.25621889952153087</v>
      </c>
      <c r="O25" s="25"/>
      <c r="P25" s="21">
        <f>P12-P20</f>
        <v>10501.989999999998</v>
      </c>
      <c r="Q25" s="13"/>
      <c r="R25" s="19">
        <f>IF(P$12=0,0,P25/P$12)</f>
        <v>0.53662897349555183</v>
      </c>
      <c r="S25" s="13"/>
      <c r="T25" s="21">
        <f>T12-T20</f>
        <v>8360</v>
      </c>
      <c r="U25" s="13"/>
      <c r="V25" s="19">
        <f>IF(T$12=0,0,T25/T$12)</f>
        <v>0.5199651697972385</v>
      </c>
      <c r="W25" s="15"/>
      <c r="X25" s="21">
        <f>+P25-T25</f>
        <v>2141.989999999998</v>
      </c>
      <c r="Y25" s="15"/>
      <c r="Z25" s="19">
        <f>IF(T25=0,0,X25/T25)</f>
        <v>0.25621889952153087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5" t="s">
        <v>9</v>
      </c>
      <c r="C27" s="10"/>
      <c r="D27" s="20">
        <f>SUM(OSRRefD22x_0)</f>
        <v>16689.240000000002</v>
      </c>
      <c r="E27" s="20"/>
      <c r="F27" s="30">
        <f t="shared" ref="F27:F37" si="12">IF(D$12=0,0,D27/D$12)</f>
        <v>0.85278406565050113</v>
      </c>
      <c r="G27" s="20"/>
      <c r="H27" s="20">
        <f>SUM(OSRRefH22x_0)</f>
        <v>16359.786094500001</v>
      </c>
      <c r="I27" s="20"/>
      <c r="J27" s="30">
        <f t="shared" ref="J27:J37" si="13">IF(H$12=0,0,H27/H$12)</f>
        <v>1.0175261907264586</v>
      </c>
      <c r="K27" s="4"/>
      <c r="L27" s="20">
        <f t="shared" ref="L27:L37" si="14">+D27-H27</f>
        <v>329.45390550000047</v>
      </c>
      <c r="M27" s="4"/>
      <c r="N27" s="30">
        <f t="shared" ref="N27:N37" si="15">IF(H27=0,0,L27/H27)</f>
        <v>2.0138032587770791E-2</v>
      </c>
      <c r="O27" s="10"/>
      <c r="P27" s="20">
        <f>SUM(OSRRefP22x_0)</f>
        <v>16689.240000000002</v>
      </c>
      <c r="Q27" s="20"/>
      <c r="R27" s="30">
        <f t="shared" ref="R27:R37" si="16">IF(P$12=0,0,P27/P$12)</f>
        <v>0.85278406565050113</v>
      </c>
      <c r="S27" s="20"/>
      <c r="T27" s="20">
        <f>SUM(OSRRefT22x_0)</f>
        <v>16359.786094500001</v>
      </c>
      <c r="U27" s="20"/>
      <c r="V27" s="30">
        <f t="shared" ref="V27:V37" si="17">IF(T$12=0,0,T27/T$12)</f>
        <v>1.0175261907264586</v>
      </c>
      <c r="W27" s="4"/>
      <c r="X27" s="20">
        <f t="shared" ref="X27:X37" si="18">+P27-T27</f>
        <v>329.45390550000047</v>
      </c>
      <c r="Y27" s="4"/>
      <c r="Z27" s="30">
        <f t="shared" ref="Z27:Z37" si="19">IF(T27=0,0,X27/T27)</f>
        <v>2.0138032587770791E-2</v>
      </c>
    </row>
    <row r="28" spans="1:26" s="27" customFormat="1" outlineLevel="1" collapsed="1" x14ac:dyDescent="0.25">
      <c r="A28" s="28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4667.33</v>
      </c>
      <c r="E28" s="1"/>
      <c r="F28" s="5">
        <f t="shared" si="12"/>
        <v>0.23849046769850232</v>
      </c>
      <c r="G28" s="1"/>
      <c r="H28" s="1">
        <f>SUM(OSRRefH22_0x_0)</f>
        <v>4221.0185945000003</v>
      </c>
      <c r="I28" s="1"/>
      <c r="J28" s="5">
        <f t="shared" si="13"/>
        <v>0.26253380983331259</v>
      </c>
      <c r="K28" s="1"/>
      <c r="L28" s="1">
        <f t="shared" si="14"/>
        <v>446.31140549999964</v>
      </c>
      <c r="M28" s="1"/>
      <c r="N28" s="5">
        <f t="shared" si="15"/>
        <v>0.105735474864182</v>
      </c>
      <c r="O28" s="14"/>
      <c r="P28" s="1">
        <f>SUM(OSRRefP22_0x_0)</f>
        <v>4667.33</v>
      </c>
      <c r="Q28" s="1"/>
      <c r="R28" s="5">
        <f t="shared" si="16"/>
        <v>0.23849046769850232</v>
      </c>
      <c r="S28" s="1"/>
      <c r="T28" s="1">
        <f>SUM(OSRRefT22_0x_0)</f>
        <v>4221.0185945000003</v>
      </c>
      <c r="U28" s="1"/>
      <c r="V28" s="5">
        <f t="shared" si="17"/>
        <v>0.26253380983331259</v>
      </c>
      <c r="W28" s="1"/>
      <c r="X28" s="1">
        <f t="shared" si="18"/>
        <v>446.31140549999964</v>
      </c>
      <c r="Y28" s="1"/>
      <c r="Z28" s="5">
        <f t="shared" si="19"/>
        <v>0.105735474864182</v>
      </c>
    </row>
    <row r="29" spans="1:26" s="24" customFormat="1" hidden="1" outlineLevel="2" x14ac:dyDescent="0.25">
      <c r="A29" s="29"/>
      <c r="B29" s="11" t="str">
        <f>CONCATENATE("          ", "6111", " - ", "F.I.C.A.")</f>
        <v xml:space="preserve">          6111 - F.I.C.A.</v>
      </c>
      <c r="C29" s="11"/>
      <c r="D29" s="7">
        <v>396.06</v>
      </c>
      <c r="E29" s="2"/>
      <c r="F29" s="6">
        <f t="shared" si="12"/>
        <v>2.0237809333530914E-2</v>
      </c>
      <c r="G29" s="2"/>
      <c r="H29" s="7">
        <v>899.81295449999993</v>
      </c>
      <c r="I29" s="2"/>
      <c r="J29" s="6">
        <f t="shared" si="13"/>
        <v>5.5965477951237713E-2</v>
      </c>
      <c r="K29" s="2"/>
      <c r="L29" s="7">
        <f t="shared" si="14"/>
        <v>-503.75295449999993</v>
      </c>
      <c r="M29" s="2"/>
      <c r="N29" s="6">
        <f t="shared" si="15"/>
        <v>-0.55984185599986269</v>
      </c>
      <c r="O29" s="11"/>
      <c r="P29" s="7">
        <v>396.06</v>
      </c>
      <c r="Q29" s="2"/>
      <c r="R29" s="6">
        <f t="shared" si="16"/>
        <v>2.0237809333530914E-2</v>
      </c>
      <c r="S29" s="2"/>
      <c r="T29" s="7">
        <v>899.81295449999993</v>
      </c>
      <c r="U29" s="2"/>
      <c r="V29" s="6">
        <f t="shared" si="17"/>
        <v>5.5965477951237713E-2</v>
      </c>
      <c r="W29" s="2"/>
      <c r="X29" s="7">
        <f t="shared" si="18"/>
        <v>-503.75295449999993</v>
      </c>
      <c r="Y29" s="2"/>
      <c r="Z29" s="6">
        <f t="shared" si="19"/>
        <v>-0.55984185599986269</v>
      </c>
    </row>
    <row r="30" spans="1:26" s="24" customFormat="1" hidden="1" outlineLevel="2" x14ac:dyDescent="0.25">
      <c r="A30" s="29"/>
      <c r="B30" s="11" t="str">
        <f>CONCATENATE("          ", "6112", " - ", "COMPENSATION INSURANCE")</f>
        <v xml:space="preserve">          6112 - COMPENSATION INSURANCE</v>
      </c>
      <c r="C30" s="11"/>
      <c r="D30" s="7">
        <v>136.52000000000001</v>
      </c>
      <c r="E30" s="2"/>
      <c r="F30" s="6">
        <f t="shared" si="12"/>
        <v>6.9758767111388186E-3</v>
      </c>
      <c r="G30" s="2"/>
      <c r="H30" s="7">
        <v>223.39535000000001</v>
      </c>
      <c r="I30" s="2"/>
      <c r="J30" s="6">
        <f t="shared" si="13"/>
        <v>1.3894473815151138E-2</v>
      </c>
      <c r="K30" s="2"/>
      <c r="L30" s="7">
        <f t="shared" si="14"/>
        <v>-86.875349999999997</v>
      </c>
      <c r="M30" s="2"/>
      <c r="N30" s="6">
        <f t="shared" si="15"/>
        <v>-0.38888611602703455</v>
      </c>
      <c r="O30" s="11"/>
      <c r="P30" s="7">
        <v>136.52000000000001</v>
      </c>
      <c r="Q30" s="2"/>
      <c r="R30" s="6">
        <f t="shared" si="16"/>
        <v>6.9758767111388186E-3</v>
      </c>
      <c r="S30" s="2"/>
      <c r="T30" s="7">
        <v>223.39535000000001</v>
      </c>
      <c r="U30" s="2"/>
      <c r="V30" s="6">
        <f t="shared" si="17"/>
        <v>1.3894473815151138E-2</v>
      </c>
      <c r="W30" s="2"/>
      <c r="X30" s="7">
        <f t="shared" si="18"/>
        <v>-86.875349999999997</v>
      </c>
      <c r="Y30" s="2"/>
      <c r="Z30" s="6">
        <f t="shared" si="19"/>
        <v>-0.38888611602703455</v>
      </c>
    </row>
    <row r="31" spans="1:26" s="24" customFormat="1" hidden="1" outlineLevel="2" x14ac:dyDescent="0.25">
      <c r="A31" s="29"/>
      <c r="B31" s="11" t="str">
        <f>CONCATENATE("          ", "6113", " - ", "GROUP INSURANCE")</f>
        <v xml:space="preserve">          6113 - GROUP INSURANCE</v>
      </c>
      <c r="C31" s="11"/>
      <c r="D31" s="7">
        <v>2019.97</v>
      </c>
      <c r="E31" s="2"/>
      <c r="F31" s="6">
        <f t="shared" si="12"/>
        <v>0.10321609786257749</v>
      </c>
      <c r="G31" s="2"/>
      <c r="H31" s="7">
        <v>1977</v>
      </c>
      <c r="I31" s="2"/>
      <c r="J31" s="6">
        <f t="shared" si="13"/>
        <v>0.12296305510635651</v>
      </c>
      <c r="K31" s="2"/>
      <c r="L31" s="7">
        <f t="shared" si="14"/>
        <v>42.970000000000027</v>
      </c>
      <c r="M31" s="2"/>
      <c r="N31" s="6">
        <f t="shared" si="15"/>
        <v>2.1734951947395057E-2</v>
      </c>
      <c r="O31" s="11"/>
      <c r="P31" s="7">
        <v>2019.97</v>
      </c>
      <c r="Q31" s="2"/>
      <c r="R31" s="6">
        <f t="shared" si="16"/>
        <v>0.10321609786257749</v>
      </c>
      <c r="S31" s="2"/>
      <c r="T31" s="7">
        <v>1977</v>
      </c>
      <c r="U31" s="2"/>
      <c r="V31" s="6">
        <f t="shared" si="17"/>
        <v>0.12296305510635651</v>
      </c>
      <c r="W31" s="2"/>
      <c r="X31" s="7">
        <f t="shared" si="18"/>
        <v>42.970000000000027</v>
      </c>
      <c r="Y31" s="2"/>
      <c r="Z31" s="6">
        <f t="shared" si="19"/>
        <v>2.1734951947395057E-2</v>
      </c>
    </row>
    <row r="32" spans="1:26" s="24" customFormat="1" hidden="1" outlineLevel="2" x14ac:dyDescent="0.25">
      <c r="A32" s="29"/>
      <c r="B32" s="11" t="str">
        <f>CONCATENATE("          ", "6114", " - ", "STATE UNEMPLOYMENT INSURANCE")</f>
        <v xml:space="preserve">          6114 - STATE UNEMPLOYMENT INSURANCE</v>
      </c>
      <c r="C32" s="11"/>
      <c r="D32" s="7">
        <v>18.68</v>
      </c>
      <c r="E32" s="2"/>
      <c r="F32" s="6">
        <f t="shared" si="12"/>
        <v>9.5450759569347431E-4</v>
      </c>
      <c r="G32" s="2"/>
      <c r="H32" s="7">
        <v>30.569890000000001</v>
      </c>
      <c r="I32" s="2"/>
      <c r="J32" s="6">
        <f t="shared" si="13"/>
        <v>1.9013490483891031E-3</v>
      </c>
      <c r="K32" s="2"/>
      <c r="L32" s="7">
        <f t="shared" si="14"/>
        <v>-11.889890000000001</v>
      </c>
      <c r="M32" s="2"/>
      <c r="N32" s="6">
        <f t="shared" si="15"/>
        <v>-0.38894120979826885</v>
      </c>
      <c r="O32" s="11"/>
      <c r="P32" s="7">
        <v>18.68</v>
      </c>
      <c r="Q32" s="2"/>
      <c r="R32" s="6">
        <f t="shared" si="16"/>
        <v>9.5450759569347431E-4</v>
      </c>
      <c r="S32" s="2"/>
      <c r="T32" s="7">
        <v>30.569890000000001</v>
      </c>
      <c r="U32" s="2"/>
      <c r="V32" s="6">
        <f t="shared" si="17"/>
        <v>1.9013490483891031E-3</v>
      </c>
      <c r="W32" s="2"/>
      <c r="X32" s="7">
        <f t="shared" si="18"/>
        <v>-11.889890000000001</v>
      </c>
      <c r="Y32" s="2"/>
      <c r="Z32" s="6">
        <f t="shared" si="19"/>
        <v>-0.38894120979826885</v>
      </c>
    </row>
    <row r="33" spans="1:26" s="24" customFormat="1" hidden="1" outlineLevel="2" x14ac:dyDescent="0.25">
      <c r="A33" s="29"/>
      <c r="B33" s="11" t="str">
        <f>CONCATENATE("          ", "6115", " - ", "P.E.R.S.")</f>
        <v xml:space="preserve">          6115 - P.E.R.S.</v>
      </c>
      <c r="C33" s="11"/>
      <c r="D33" s="7">
        <v>568.97</v>
      </c>
      <c r="E33" s="2"/>
      <c r="F33" s="6">
        <f t="shared" si="12"/>
        <v>2.907313633413898E-2</v>
      </c>
      <c r="G33" s="2"/>
      <c r="H33" s="7">
        <v>598.35789999999997</v>
      </c>
      <c r="I33" s="2"/>
      <c r="J33" s="6">
        <f t="shared" si="13"/>
        <v>3.7215941037442468E-2</v>
      </c>
      <c r="K33" s="2"/>
      <c r="L33" s="7">
        <f t="shared" si="14"/>
        <v>-29.387899999999945</v>
      </c>
      <c r="M33" s="2"/>
      <c r="N33" s="6">
        <f t="shared" si="15"/>
        <v>-4.9114250852207261E-2</v>
      </c>
      <c r="O33" s="11"/>
      <c r="P33" s="7">
        <v>568.97</v>
      </c>
      <c r="Q33" s="2"/>
      <c r="R33" s="6">
        <f t="shared" si="16"/>
        <v>2.907313633413898E-2</v>
      </c>
      <c r="S33" s="2"/>
      <c r="T33" s="7">
        <v>598.35789999999997</v>
      </c>
      <c r="U33" s="2"/>
      <c r="V33" s="6">
        <f t="shared" si="17"/>
        <v>3.7215941037442468E-2</v>
      </c>
      <c r="W33" s="2"/>
      <c r="X33" s="7">
        <f t="shared" si="18"/>
        <v>-29.387899999999945</v>
      </c>
      <c r="Y33" s="2"/>
      <c r="Z33" s="6">
        <f t="shared" si="19"/>
        <v>-4.9114250852207261E-2</v>
      </c>
    </row>
    <row r="34" spans="1:26" s="24" customFormat="1" hidden="1" outlineLevel="2" x14ac:dyDescent="0.25">
      <c r="A34" s="29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9"/>
      <c r="B35" s="11" t="str">
        <f>CONCATENATE("          ", "6118", " - ", "VACATION")</f>
        <v xml:space="preserve">          6118 - VACATION</v>
      </c>
      <c r="C35" s="11"/>
      <c r="D35" s="7">
        <v>715.95</v>
      </c>
      <c r="E35" s="2"/>
      <c r="F35" s="6">
        <f t="shared" si="12"/>
        <v>3.6583496420596523E-2</v>
      </c>
      <c r="G35" s="2"/>
      <c r="H35" s="7">
        <v>266.66699999999997</v>
      </c>
      <c r="I35" s="2"/>
      <c r="J35" s="6">
        <f t="shared" si="13"/>
        <v>1.658583157109093E-2</v>
      </c>
      <c r="K35" s="2"/>
      <c r="L35" s="7">
        <f t="shared" si="14"/>
        <v>449.28300000000007</v>
      </c>
      <c r="M35" s="2"/>
      <c r="N35" s="6">
        <f t="shared" si="15"/>
        <v>1.6848091439885704</v>
      </c>
      <c r="O35" s="11"/>
      <c r="P35" s="7">
        <v>715.95</v>
      </c>
      <c r="Q35" s="2"/>
      <c r="R35" s="6">
        <f t="shared" si="16"/>
        <v>3.6583496420596523E-2</v>
      </c>
      <c r="S35" s="2"/>
      <c r="T35" s="7">
        <v>266.66699999999997</v>
      </c>
      <c r="U35" s="2"/>
      <c r="V35" s="6">
        <f t="shared" si="17"/>
        <v>1.658583157109093E-2</v>
      </c>
      <c r="W35" s="2"/>
      <c r="X35" s="7">
        <f t="shared" si="18"/>
        <v>449.28300000000007</v>
      </c>
      <c r="Y35" s="2"/>
      <c r="Z35" s="6">
        <f t="shared" si="19"/>
        <v>1.6848091439885704</v>
      </c>
    </row>
    <row r="36" spans="1:26" s="24" customFormat="1" hidden="1" outlineLevel="2" x14ac:dyDescent="0.25">
      <c r="A36" s="29"/>
      <c r="B36" s="11" t="str">
        <f>CONCATENATE("          ", "6119", " - ", "SICK LEAVE")</f>
        <v xml:space="preserve">          6119 - SICK LEAVE</v>
      </c>
      <c r="C36" s="11"/>
      <c r="D36" s="7">
        <v>661.18</v>
      </c>
      <c r="E36" s="2"/>
      <c r="F36" s="6">
        <f t="shared" si="12"/>
        <v>3.3784867886542364E-2</v>
      </c>
      <c r="G36" s="2"/>
      <c r="H36" s="7">
        <v>225.21549999999999</v>
      </c>
      <c r="I36" s="2"/>
      <c r="J36" s="6">
        <f t="shared" si="13"/>
        <v>1.4007681303644732E-2</v>
      </c>
      <c r="K36" s="2"/>
      <c r="L36" s="7">
        <f t="shared" si="14"/>
        <v>435.96449999999993</v>
      </c>
      <c r="M36" s="2"/>
      <c r="N36" s="6">
        <f t="shared" si="15"/>
        <v>1.9357659663744278</v>
      </c>
      <c r="O36" s="11"/>
      <c r="P36" s="7">
        <v>661.18</v>
      </c>
      <c r="Q36" s="2"/>
      <c r="R36" s="6">
        <f t="shared" si="16"/>
        <v>3.3784867886542364E-2</v>
      </c>
      <c r="S36" s="2"/>
      <c r="T36" s="7">
        <v>225.21549999999999</v>
      </c>
      <c r="U36" s="2"/>
      <c r="V36" s="6">
        <f t="shared" si="17"/>
        <v>1.4007681303644732E-2</v>
      </c>
      <c r="W36" s="2"/>
      <c r="X36" s="7">
        <f t="shared" si="18"/>
        <v>435.96449999999993</v>
      </c>
      <c r="Y36" s="2"/>
      <c r="Z36" s="6">
        <f t="shared" si="19"/>
        <v>1.9357659663744278</v>
      </c>
    </row>
    <row r="37" spans="1:26" s="24" customFormat="1" hidden="1" outlineLevel="2" x14ac:dyDescent="0.25">
      <c r="A37" s="29"/>
      <c r="B37" s="11" t="str">
        <f>CONCATENATE("          ", "6156", " - ", "EMPLOYEE MEALS")</f>
        <v xml:space="preserve">          6156 - EMPLOYEE MEALS</v>
      </c>
      <c r="C37" s="11"/>
      <c r="D37" s="7">
        <v>150</v>
      </c>
      <c r="E37" s="2"/>
      <c r="F37" s="6">
        <f t="shared" si="12"/>
        <v>7.6646755542837874E-3</v>
      </c>
      <c r="G37" s="2"/>
      <c r="H37" s="7"/>
      <c r="I37" s="2"/>
      <c r="J37" s="6">
        <f t="shared" si="13"/>
        <v>0</v>
      </c>
      <c r="K37" s="2"/>
      <c r="L37" s="7">
        <f t="shared" si="14"/>
        <v>150</v>
      </c>
      <c r="M37" s="2"/>
      <c r="N37" s="6">
        <f t="shared" si="15"/>
        <v>0</v>
      </c>
      <c r="O37" s="11"/>
      <c r="P37" s="7">
        <v>150</v>
      </c>
      <c r="Q37" s="2"/>
      <c r="R37" s="6">
        <f t="shared" si="16"/>
        <v>7.6646755542837874E-3</v>
      </c>
      <c r="S37" s="2"/>
      <c r="T37" s="7"/>
      <c r="U37" s="2"/>
      <c r="V37" s="6">
        <f t="shared" si="17"/>
        <v>0</v>
      </c>
      <c r="W37" s="2"/>
      <c r="X37" s="7">
        <f t="shared" si="18"/>
        <v>150</v>
      </c>
      <c r="Y37" s="2"/>
      <c r="Z37" s="6">
        <f t="shared" si="19"/>
        <v>0</v>
      </c>
    </row>
    <row r="38" spans="1:26" s="27" customFormat="1" outlineLevel="1" collapsed="1" x14ac:dyDescent="0.25">
      <c r="A38" s="28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9005.7000000000007</v>
      </c>
      <c r="E38" s="1"/>
      <c r="F38" s="5">
        <f t="shared" ref="F38:F48" si="20">IF(D$12=0,0,D38/D$12)</f>
        <v>0.46017179092809007</v>
      </c>
      <c r="G38" s="1"/>
      <c r="H38" s="1">
        <f>SUM(OSRRefH22_1x_0)</f>
        <v>11409.767500000002</v>
      </c>
      <c r="I38" s="1"/>
      <c r="J38" s="5">
        <f t="shared" ref="J38:J48" si="21">IF(H$12=0,0,H38/H$12)</f>
        <v>0.70965092051250167</v>
      </c>
      <c r="K38" s="1"/>
      <c r="L38" s="1">
        <f t="shared" ref="L38:L48" si="22">+D38-H38</f>
        <v>-2404.067500000001</v>
      </c>
      <c r="M38" s="1"/>
      <c r="N38" s="5">
        <f t="shared" ref="N38:N48" si="23">IF(H38=0,0,L38/H38)</f>
        <v>-0.21070258443040146</v>
      </c>
      <c r="O38" s="14"/>
      <c r="P38" s="1">
        <f>SUM(OSRRefP22_1x_0)</f>
        <v>9005.7000000000007</v>
      </c>
      <c r="Q38" s="1"/>
      <c r="R38" s="5">
        <f t="shared" ref="R38:R48" si="24">IF(P$12=0,0,P38/P$12)</f>
        <v>0.46017179092809007</v>
      </c>
      <c r="S38" s="1"/>
      <c r="T38" s="1">
        <f>SUM(OSRRefT22_1x_0)</f>
        <v>11409.767500000002</v>
      </c>
      <c r="U38" s="1"/>
      <c r="V38" s="5">
        <f t="shared" ref="V38:V48" si="25">IF(T$12=0,0,T38/T$12)</f>
        <v>0.70965092051250167</v>
      </c>
      <c r="W38" s="1"/>
      <c r="X38" s="1">
        <f t="shared" ref="X38:X48" si="26">+P38-T38</f>
        <v>-2404.067500000001</v>
      </c>
      <c r="Y38" s="1"/>
      <c r="Z38" s="5">
        <f t="shared" ref="Z38:Z48" si="27">IF(T38=0,0,X38/T38)</f>
        <v>-0.21070258443040146</v>
      </c>
    </row>
    <row r="39" spans="1:26" s="24" customFormat="1" hidden="1" outlineLevel="2" x14ac:dyDescent="0.25">
      <c r="A39" s="29"/>
      <c r="B39" s="11" t="str">
        <f>CONCATENATE("          ", "6001", " - ", "ADMINISTRATIVE SALARIES")</f>
        <v xml:space="preserve">          6001 - ADMINISTRATIVE SALARIES</v>
      </c>
      <c r="C39" s="11"/>
      <c r="D39" s="7"/>
      <c r="E39" s="2"/>
      <c r="F39" s="6">
        <f t="shared" si="20"/>
        <v>0</v>
      </c>
      <c r="G39" s="2"/>
      <c r="H39" s="7">
        <v>6609.7675000000008</v>
      </c>
      <c r="I39" s="2"/>
      <c r="J39" s="6">
        <f t="shared" si="21"/>
        <v>0.4111063254136087</v>
      </c>
      <c r="K39" s="2"/>
      <c r="L39" s="7">
        <f t="shared" si="22"/>
        <v>-6609.7675000000008</v>
      </c>
      <c r="M39" s="2"/>
      <c r="N39" s="6">
        <f t="shared" si="23"/>
        <v>-1</v>
      </c>
      <c r="O39" s="11"/>
      <c r="P39" s="7"/>
      <c r="Q39" s="2"/>
      <c r="R39" s="6">
        <f t="shared" si="24"/>
        <v>0</v>
      </c>
      <c r="S39" s="2"/>
      <c r="T39" s="7">
        <v>6609.7675000000008</v>
      </c>
      <c r="U39" s="2"/>
      <c r="V39" s="6">
        <f t="shared" si="25"/>
        <v>0.4111063254136087</v>
      </c>
      <c r="W39" s="2"/>
      <c r="X39" s="7">
        <f t="shared" si="26"/>
        <v>-6609.7675000000008</v>
      </c>
      <c r="Y39" s="2"/>
      <c r="Z39" s="6">
        <f t="shared" si="27"/>
        <v>-1</v>
      </c>
    </row>
    <row r="40" spans="1:26" s="24" customFormat="1" hidden="1" outlineLevel="2" x14ac:dyDescent="0.25">
      <c r="A40" s="29"/>
      <c r="B40" s="11" t="str">
        <f>CONCATENATE("          ", "6002", " - ", "STAFF SALARIES")</f>
        <v xml:space="preserve">          6002 - STAFF SALARIES</v>
      </c>
      <c r="C40" s="11"/>
      <c r="D40" s="7">
        <v>6228.04</v>
      </c>
      <c r="E40" s="2"/>
      <c r="F40" s="6">
        <f t="shared" si="20"/>
        <v>0.318239372927344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6228.04</v>
      </c>
      <c r="M40" s="2"/>
      <c r="N40" s="6">
        <f t="shared" si="23"/>
        <v>0</v>
      </c>
      <c r="O40" s="11"/>
      <c r="P40" s="7">
        <v>6228.04</v>
      </c>
      <c r="Q40" s="2"/>
      <c r="R40" s="6">
        <f t="shared" si="24"/>
        <v>0.318239372927344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6228.04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"6003", " - ", "STAFF HOURLY-9 MONTH")</f>
        <v xml:space="preserve">          6003 - STAFF HOURLY-9 MONTH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"6004", " - ", "STAFF HOURLY")</f>
        <v xml:space="preserve">          6004 - STAFF HOURLY</v>
      </c>
      <c r="C42" s="11"/>
      <c r="D42" s="7"/>
      <c r="E42" s="2"/>
      <c r="F42" s="6">
        <f t="shared" si="20"/>
        <v>0</v>
      </c>
      <c r="G42" s="2"/>
      <c r="H42" s="7">
        <v>1931.25</v>
      </c>
      <c r="I42" s="2"/>
      <c r="J42" s="6">
        <f t="shared" si="21"/>
        <v>0.12011755193432019</v>
      </c>
      <c r="K42" s="2"/>
      <c r="L42" s="7">
        <f t="shared" si="22"/>
        <v>-1931.25</v>
      </c>
      <c r="M42" s="2"/>
      <c r="N42" s="6">
        <f t="shared" si="23"/>
        <v>-1</v>
      </c>
      <c r="O42" s="11"/>
      <c r="P42" s="7"/>
      <c r="Q42" s="2"/>
      <c r="R42" s="6">
        <f t="shared" si="24"/>
        <v>0</v>
      </c>
      <c r="S42" s="2"/>
      <c r="T42" s="7">
        <v>1931.25</v>
      </c>
      <c r="U42" s="2"/>
      <c r="V42" s="6">
        <f t="shared" si="25"/>
        <v>0.12011755193432019</v>
      </c>
      <c r="W42" s="2"/>
      <c r="X42" s="7">
        <f t="shared" si="26"/>
        <v>-1931.25</v>
      </c>
      <c r="Y42" s="2"/>
      <c r="Z42" s="6">
        <f t="shared" si="27"/>
        <v>-1</v>
      </c>
    </row>
    <row r="43" spans="1:26" s="24" customFormat="1" hidden="1" outlineLevel="2" x14ac:dyDescent="0.25">
      <c r="A43" s="29"/>
      <c r="B43" s="11" t="str">
        <f>CONCATENATE("          ", "6005", " - ", "TEMPORARY WAGES-HOURLY")</f>
        <v xml:space="preserve">          6005 - TEMPORARY WAGES-HOURLY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"6006", " - ", "TEMPORARY PART TIME")</f>
        <v xml:space="preserve">          6006 - TEMPORARY PART TIME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"6007", " - ", "STUDENT HOURLY")</f>
        <v xml:space="preserve">          6007 - STUDENT HOURLY</v>
      </c>
      <c r="C45" s="11"/>
      <c r="D45" s="7">
        <v>1093.06</v>
      </c>
      <c r="E45" s="2"/>
      <c r="F45" s="6">
        <f t="shared" si="20"/>
        <v>5.5853001742436244E-2</v>
      </c>
      <c r="G45" s="2"/>
      <c r="H45" s="7">
        <v>2868.75</v>
      </c>
      <c r="I45" s="2"/>
      <c r="J45" s="6">
        <f t="shared" si="21"/>
        <v>0.1784270431645727</v>
      </c>
      <c r="K45" s="2"/>
      <c r="L45" s="7">
        <f t="shared" si="22"/>
        <v>-1775.69</v>
      </c>
      <c r="M45" s="2"/>
      <c r="N45" s="6">
        <f t="shared" si="23"/>
        <v>-0.61897690631808278</v>
      </c>
      <c r="O45" s="11"/>
      <c r="P45" s="7">
        <v>1093.06</v>
      </c>
      <c r="Q45" s="2"/>
      <c r="R45" s="6">
        <f t="shared" si="24"/>
        <v>5.5853001742436244E-2</v>
      </c>
      <c r="S45" s="2"/>
      <c r="T45" s="7">
        <v>2868.75</v>
      </c>
      <c r="U45" s="2"/>
      <c r="V45" s="6">
        <f t="shared" si="25"/>
        <v>0.1784270431645727</v>
      </c>
      <c r="W45" s="2"/>
      <c r="X45" s="7">
        <f t="shared" si="26"/>
        <v>-1775.69</v>
      </c>
      <c r="Y45" s="2"/>
      <c r="Z45" s="6">
        <f t="shared" si="27"/>
        <v>-0.61897690631808278</v>
      </c>
    </row>
    <row r="46" spans="1:26" s="24" customFormat="1" hidden="1" outlineLevel="2" x14ac:dyDescent="0.25">
      <c r="A46" s="29"/>
      <c r="B46" s="11" t="str">
        <f>CONCATENATE("          ", "6008", " - ", "STUDENT HOURLY-FICA EXEMPT")</f>
        <v xml:space="preserve">          6008 - STUDENT HOURLY-FICA EXEMPT</v>
      </c>
      <c r="C46" s="11"/>
      <c r="D46" s="7">
        <v>1684.6</v>
      </c>
      <c r="E46" s="2"/>
      <c r="F46" s="6">
        <f t="shared" si="20"/>
        <v>8.6079416258309782E-2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1684.6</v>
      </c>
      <c r="M46" s="2"/>
      <c r="N46" s="6">
        <f t="shared" si="23"/>
        <v>0</v>
      </c>
      <c r="O46" s="11"/>
      <c r="P46" s="7">
        <v>1684.6</v>
      </c>
      <c r="Q46" s="2"/>
      <c r="R46" s="6">
        <f t="shared" si="24"/>
        <v>8.6079416258309782E-2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1684.6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"6009", " - ", "TEMPORARY-SEASONAL")</f>
        <v xml:space="preserve">          6009 - TEMPORARY-SEASONAL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9"/>
      <c r="B48" s="11" t="str">
        <f>CONCATENATE("          ", "6010", " - ", "GRATUITY")</f>
        <v xml:space="preserve">          6010 - GRATUITY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7" customFormat="1" outlineLevel="1" collapsed="1" x14ac:dyDescent="0.25">
      <c r="A49" s="28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94.62</v>
      </c>
      <c r="E49" s="1"/>
      <c r="F49" s="5">
        <f t="shared" ref="F49:F70" si="28">IF(D$12=0,0,D49/D$12)</f>
        <v>4.8348773396422132E-3</v>
      </c>
      <c r="G49" s="1"/>
      <c r="H49" s="1">
        <f>SUM(OSRRefH22_2x_0)</f>
        <v>0</v>
      </c>
      <c r="I49" s="1"/>
      <c r="J49" s="5">
        <f t="shared" ref="J49:J70" si="29">IF(H$12=0,0,H49/H$12)</f>
        <v>0</v>
      </c>
      <c r="K49" s="1"/>
      <c r="L49" s="1">
        <f t="shared" ref="L49:L70" si="30">+D49-H49</f>
        <v>94.62</v>
      </c>
      <c r="M49" s="1"/>
      <c r="N49" s="5">
        <f t="shared" ref="N49:N70" si="31">IF(H49=0,0,L49/H49)</f>
        <v>0</v>
      </c>
      <c r="O49" s="14"/>
      <c r="P49" s="1">
        <f>SUM(OSRRefP22_2x_0)</f>
        <v>94.62</v>
      </c>
      <c r="Q49" s="1"/>
      <c r="R49" s="5">
        <f t="shared" ref="R49:R70" si="32">IF(P$12=0,0,P49/P$12)</f>
        <v>4.8348773396422132E-3</v>
      </c>
      <c r="S49" s="1"/>
      <c r="T49" s="1">
        <f>SUM(OSRRefT22_2x_0)</f>
        <v>0</v>
      </c>
      <c r="U49" s="1"/>
      <c r="V49" s="5">
        <f t="shared" ref="V49:V70" si="33">IF(T$12=0,0,T49/T$12)</f>
        <v>0</v>
      </c>
      <c r="W49" s="1"/>
      <c r="X49" s="1">
        <f t="shared" ref="X49:X70" si="34">+P49-T49</f>
        <v>94.62</v>
      </c>
      <c r="Y49" s="1"/>
      <c r="Z49" s="5">
        <f t="shared" ref="Z49:Z70" si="35">IF(T49=0,0,X49/T49)</f>
        <v>0</v>
      </c>
    </row>
    <row r="50" spans="1:26" s="24" customFormat="1" hidden="1" outlineLevel="2" x14ac:dyDescent="0.25">
      <c r="A50" s="29"/>
      <c r="B50" s="11" t="str">
        <f>CONCATENATE("          ", "6362", " - ", "ADVERTISING EXPENSE")</f>
        <v xml:space="preserve">          6362 - ADVERTISING EXPENSE</v>
      </c>
      <c r="C50" s="11"/>
      <c r="D50" s="7">
        <v>94.62</v>
      </c>
      <c r="E50" s="2"/>
      <c r="F50" s="6">
        <f t="shared" si="28"/>
        <v>4.8348773396422132E-3</v>
      </c>
      <c r="G50" s="2"/>
      <c r="H50" s="7">
        <v>0</v>
      </c>
      <c r="I50" s="2"/>
      <c r="J50" s="6">
        <f t="shared" si="29"/>
        <v>0</v>
      </c>
      <c r="K50" s="2"/>
      <c r="L50" s="7">
        <f t="shared" si="30"/>
        <v>94.62</v>
      </c>
      <c r="M50" s="2"/>
      <c r="N50" s="6">
        <f t="shared" si="31"/>
        <v>0</v>
      </c>
      <c r="O50" s="11"/>
      <c r="P50" s="7">
        <v>94.62</v>
      </c>
      <c r="Q50" s="2"/>
      <c r="R50" s="6">
        <f t="shared" si="32"/>
        <v>4.8348773396422132E-3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94.62</v>
      </c>
      <c r="Y50" s="2"/>
      <c r="Z50" s="6">
        <f t="shared" si="35"/>
        <v>0</v>
      </c>
    </row>
    <row r="51" spans="1:26" s="27" customFormat="1" outlineLevel="1" collapsed="1" x14ac:dyDescent="0.25">
      <c r="A51" s="28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15.11</v>
      </c>
      <c r="E51" s="1"/>
      <c r="F51" s="5">
        <f t="shared" si="28"/>
        <v>7.7208831750152018E-4</v>
      </c>
      <c r="G51" s="1"/>
      <c r="H51" s="1">
        <f>SUM(OSRRefH22_3x_0)</f>
        <v>0</v>
      </c>
      <c r="I51" s="1"/>
      <c r="J51" s="5">
        <f t="shared" si="29"/>
        <v>0</v>
      </c>
      <c r="K51" s="1"/>
      <c r="L51" s="1">
        <f t="shared" si="30"/>
        <v>15.11</v>
      </c>
      <c r="M51" s="1"/>
      <c r="N51" s="5">
        <f t="shared" si="31"/>
        <v>0</v>
      </c>
      <c r="O51" s="14"/>
      <c r="P51" s="1">
        <f>SUM(OSRRefP22_3x_0)</f>
        <v>15.11</v>
      </c>
      <c r="Q51" s="1"/>
      <c r="R51" s="5">
        <f t="shared" si="32"/>
        <v>7.7208831750152018E-4</v>
      </c>
      <c r="S51" s="1"/>
      <c r="T51" s="1">
        <f>SUM(OSRRefT22_3x_0)</f>
        <v>0</v>
      </c>
      <c r="U51" s="1"/>
      <c r="V51" s="5">
        <f t="shared" si="33"/>
        <v>0</v>
      </c>
      <c r="W51" s="1"/>
      <c r="X51" s="1">
        <f t="shared" si="34"/>
        <v>15.11</v>
      </c>
      <c r="Y51" s="1"/>
      <c r="Z51" s="5">
        <f t="shared" si="35"/>
        <v>0</v>
      </c>
    </row>
    <row r="52" spans="1:26" s="24" customFormat="1" hidden="1" outlineLevel="2" x14ac:dyDescent="0.25">
      <c r="A52" s="29"/>
      <c r="B52" s="11" t="str">
        <f>CONCATENATE("          ", "6272", " - ", "CASH (OVER/SHORT)")</f>
        <v xml:space="preserve">          6272 - CASH (OVER/SHORT)</v>
      </c>
      <c r="C52" s="11"/>
      <c r="D52" s="7">
        <v>15.11</v>
      </c>
      <c r="E52" s="2"/>
      <c r="F52" s="6">
        <f t="shared" si="28"/>
        <v>7.7208831750152018E-4</v>
      </c>
      <c r="G52" s="2"/>
      <c r="H52" s="7">
        <v>0</v>
      </c>
      <c r="I52" s="2"/>
      <c r="J52" s="6">
        <f t="shared" si="29"/>
        <v>0</v>
      </c>
      <c r="K52" s="2"/>
      <c r="L52" s="7">
        <f t="shared" si="30"/>
        <v>15.11</v>
      </c>
      <c r="M52" s="2"/>
      <c r="N52" s="6">
        <f t="shared" si="31"/>
        <v>0</v>
      </c>
      <c r="O52" s="11"/>
      <c r="P52" s="7">
        <v>15.11</v>
      </c>
      <c r="Q52" s="2"/>
      <c r="R52" s="6">
        <f t="shared" si="32"/>
        <v>7.7208831750152018E-4</v>
      </c>
      <c r="S52" s="2"/>
      <c r="T52" s="7">
        <v>0</v>
      </c>
      <c r="U52" s="2"/>
      <c r="V52" s="6">
        <f t="shared" si="33"/>
        <v>0</v>
      </c>
      <c r="W52" s="2"/>
      <c r="X52" s="7">
        <f t="shared" si="34"/>
        <v>15.11</v>
      </c>
      <c r="Y52" s="2"/>
      <c r="Z52" s="6">
        <f t="shared" si="35"/>
        <v>0</v>
      </c>
    </row>
    <row r="53" spans="1:26" s="27" customFormat="1" outlineLevel="1" collapsed="1" x14ac:dyDescent="0.25">
      <c r="A53" s="28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471.09</v>
      </c>
      <c r="E53" s="1"/>
      <c r="F53" s="5">
        <f t="shared" si="28"/>
        <v>2.4071680045783663E-2</v>
      </c>
      <c r="G53" s="1"/>
      <c r="H53" s="1">
        <f>SUM(OSRRefH22_4x_0)</f>
        <v>510</v>
      </c>
      <c r="I53" s="1"/>
      <c r="J53" s="5">
        <f t="shared" si="29"/>
        <v>3.1720363229257371E-2</v>
      </c>
      <c r="K53" s="1"/>
      <c r="L53" s="1">
        <f t="shared" si="30"/>
        <v>-38.910000000000025</v>
      </c>
      <c r="M53" s="1"/>
      <c r="N53" s="5">
        <f t="shared" si="31"/>
        <v>-7.6294117647058873E-2</v>
      </c>
      <c r="O53" s="14"/>
      <c r="P53" s="1">
        <f>SUM(OSRRefP22_4x_0)</f>
        <v>471.09</v>
      </c>
      <c r="Q53" s="1"/>
      <c r="R53" s="5">
        <f t="shared" si="32"/>
        <v>2.4071680045783663E-2</v>
      </c>
      <c r="S53" s="1"/>
      <c r="T53" s="1">
        <f>SUM(OSRRefT22_4x_0)</f>
        <v>510</v>
      </c>
      <c r="U53" s="1"/>
      <c r="V53" s="5">
        <f t="shared" si="33"/>
        <v>3.1720363229257371E-2</v>
      </c>
      <c r="W53" s="1"/>
      <c r="X53" s="1">
        <f t="shared" si="34"/>
        <v>-38.910000000000025</v>
      </c>
      <c r="Y53" s="1"/>
      <c r="Z53" s="5">
        <f t="shared" si="35"/>
        <v>-7.6294117647058873E-2</v>
      </c>
    </row>
    <row r="54" spans="1:26" s="24" customFormat="1" hidden="1" outlineLevel="2" x14ac:dyDescent="0.25">
      <c r="A54" s="29"/>
      <c r="B54" s="11" t="str">
        <f>CONCATENATE("          ", "6381", " - ", "BANK/CREDIT CARD FEES")</f>
        <v xml:space="preserve">          6381 - BANK/CREDIT CARD FEES</v>
      </c>
      <c r="C54" s="11"/>
      <c r="D54" s="7">
        <v>471.09</v>
      </c>
      <c r="E54" s="2"/>
      <c r="F54" s="6">
        <f t="shared" si="28"/>
        <v>2.4071680045783663E-2</v>
      </c>
      <c r="G54" s="2"/>
      <c r="H54" s="7">
        <v>510</v>
      </c>
      <c r="I54" s="2"/>
      <c r="J54" s="6">
        <f t="shared" si="29"/>
        <v>3.1720363229257371E-2</v>
      </c>
      <c r="K54" s="2"/>
      <c r="L54" s="7">
        <f t="shared" si="30"/>
        <v>-38.910000000000025</v>
      </c>
      <c r="M54" s="2"/>
      <c r="N54" s="6">
        <f t="shared" si="31"/>
        <v>-7.6294117647058873E-2</v>
      </c>
      <c r="O54" s="11"/>
      <c r="P54" s="7">
        <v>471.09</v>
      </c>
      <c r="Q54" s="2"/>
      <c r="R54" s="6">
        <f t="shared" si="32"/>
        <v>2.4071680045783663E-2</v>
      </c>
      <c r="S54" s="2"/>
      <c r="T54" s="7">
        <v>510</v>
      </c>
      <c r="U54" s="2"/>
      <c r="V54" s="6">
        <f t="shared" si="33"/>
        <v>3.1720363229257371E-2</v>
      </c>
      <c r="W54" s="2"/>
      <c r="X54" s="7">
        <f t="shared" si="34"/>
        <v>-38.910000000000025</v>
      </c>
      <c r="Y54" s="2"/>
      <c r="Z54" s="6">
        <f t="shared" si="35"/>
        <v>-7.6294117647058873E-2</v>
      </c>
    </row>
    <row r="55" spans="1:26" s="27" customFormat="1" outlineLevel="1" collapsed="1" x14ac:dyDescent="0.25">
      <c r="A55" s="28"/>
      <c r="B55" s="14" t="str">
        <f>CONCATENATE("     ","Discounts and Markdowns                           ")</f>
        <v xml:space="preserve">     Discounts and Markdowns                           </v>
      </c>
      <c r="C55" s="14"/>
      <c r="D55" s="1">
        <f>SUM(OSRRefD22_5x_0)</f>
        <v>13.91</v>
      </c>
      <c r="E55" s="1"/>
      <c r="F55" s="5">
        <f t="shared" si="28"/>
        <v>7.1077091306724985E-4</v>
      </c>
      <c r="G55" s="1"/>
      <c r="H55" s="1">
        <f>SUM(OSRRefH22_5x_0)</f>
        <v>0</v>
      </c>
      <c r="I55" s="1"/>
      <c r="J55" s="5">
        <f t="shared" si="29"/>
        <v>0</v>
      </c>
      <c r="K55" s="1"/>
      <c r="L55" s="1">
        <f t="shared" si="30"/>
        <v>13.91</v>
      </c>
      <c r="M55" s="1"/>
      <c r="N55" s="5">
        <f t="shared" si="31"/>
        <v>0</v>
      </c>
      <c r="O55" s="14"/>
      <c r="P55" s="1">
        <f>SUM(OSRRefP22_5x_0)</f>
        <v>13.91</v>
      </c>
      <c r="Q55" s="1"/>
      <c r="R55" s="5">
        <f t="shared" si="32"/>
        <v>7.1077091306724985E-4</v>
      </c>
      <c r="S55" s="1"/>
      <c r="T55" s="1">
        <f>SUM(OSRRefT22_5x_0)</f>
        <v>0</v>
      </c>
      <c r="U55" s="1"/>
      <c r="V55" s="5">
        <f t="shared" si="33"/>
        <v>0</v>
      </c>
      <c r="W55" s="1"/>
      <c r="X55" s="1">
        <f t="shared" si="34"/>
        <v>13.91</v>
      </c>
      <c r="Y55" s="1"/>
      <c r="Z55" s="5">
        <f t="shared" si="35"/>
        <v>0</v>
      </c>
    </row>
    <row r="56" spans="1:26" s="24" customFormat="1" hidden="1" outlineLevel="2" x14ac:dyDescent="0.25">
      <c r="A56" s="29"/>
      <c r="B56" s="11" t="str">
        <f>CONCATENATE("          ", "6382", " - ", "DISCOUNTS/MARK DOWNS")</f>
        <v xml:space="preserve">          6382 - DISCOUNTS/MARK DOWNS</v>
      </c>
      <c r="C56" s="11"/>
      <c r="D56" s="7">
        <v>13.91</v>
      </c>
      <c r="E56" s="2"/>
      <c r="F56" s="6">
        <f t="shared" si="28"/>
        <v>7.1077091306724985E-4</v>
      </c>
      <c r="G56" s="2"/>
      <c r="H56" s="7"/>
      <c r="I56" s="2"/>
      <c r="J56" s="6">
        <f t="shared" si="29"/>
        <v>0</v>
      </c>
      <c r="K56" s="2"/>
      <c r="L56" s="7">
        <f t="shared" si="30"/>
        <v>13.91</v>
      </c>
      <c r="M56" s="2"/>
      <c r="N56" s="6">
        <f t="shared" si="31"/>
        <v>0</v>
      </c>
      <c r="O56" s="11"/>
      <c r="P56" s="7">
        <v>13.91</v>
      </c>
      <c r="Q56" s="2"/>
      <c r="R56" s="6">
        <f t="shared" si="32"/>
        <v>7.1077091306724985E-4</v>
      </c>
      <c r="S56" s="2"/>
      <c r="T56" s="7"/>
      <c r="U56" s="2"/>
      <c r="V56" s="6">
        <f t="shared" si="33"/>
        <v>0</v>
      </c>
      <c r="W56" s="2"/>
      <c r="X56" s="7">
        <f t="shared" si="34"/>
        <v>13.91</v>
      </c>
      <c r="Y56" s="2"/>
      <c r="Z56" s="6">
        <f t="shared" si="35"/>
        <v>0</v>
      </c>
    </row>
    <row r="57" spans="1:26" s="27" customFormat="1" outlineLevel="1" collapsed="1" x14ac:dyDescent="0.25">
      <c r="A57" s="28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0</v>
      </c>
      <c r="E57" s="1"/>
      <c r="F57" s="5">
        <f t="shared" si="28"/>
        <v>0</v>
      </c>
      <c r="G57" s="1"/>
      <c r="H57" s="1">
        <f>SUM(OSRRefH22_6x_0)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4"/>
      <c r="P57" s="1">
        <f>SUM(OSRRefP22_6x_0)</f>
        <v>0</v>
      </c>
      <c r="Q57" s="1"/>
      <c r="R57" s="5">
        <f t="shared" si="32"/>
        <v>0</v>
      </c>
      <c r="S57" s="1"/>
      <c r="T57" s="1">
        <f>SUM(OSRRefT22_6x_0)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9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28"/>
        <v>0</v>
      </c>
      <c r="G58" s="2"/>
      <c r="H58" s="7">
        <v>0</v>
      </c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0</v>
      </c>
      <c r="U58" s="2"/>
      <c r="V58" s="6">
        <f t="shared" si="33"/>
        <v>0</v>
      </c>
      <c r="W58" s="2"/>
      <c r="X58" s="7">
        <f t="shared" si="34"/>
        <v>0</v>
      </c>
      <c r="Y58" s="2"/>
      <c r="Z58" s="6">
        <f t="shared" si="35"/>
        <v>0</v>
      </c>
    </row>
    <row r="59" spans="1:26" s="27" customFormat="1" outlineLevel="1" collapsed="1" x14ac:dyDescent="0.25">
      <c r="A59" s="28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SUM(OSRRefD22_7x_0)</f>
        <v>71.69</v>
      </c>
      <c r="E59" s="1"/>
      <c r="F59" s="5">
        <f t="shared" si="28"/>
        <v>3.6632039365773646E-3</v>
      </c>
      <c r="G59" s="1"/>
      <c r="H59" s="1">
        <f>SUM(OSRRefH22_7x_0)</f>
        <v>0</v>
      </c>
      <c r="I59" s="1"/>
      <c r="J59" s="5">
        <f t="shared" si="29"/>
        <v>0</v>
      </c>
      <c r="K59" s="1"/>
      <c r="L59" s="1">
        <f t="shared" si="30"/>
        <v>71.69</v>
      </c>
      <c r="M59" s="1"/>
      <c r="N59" s="5">
        <f t="shared" si="31"/>
        <v>0</v>
      </c>
      <c r="O59" s="14"/>
      <c r="P59" s="1">
        <f>SUM(OSRRefP22_7x_0)</f>
        <v>71.69</v>
      </c>
      <c r="Q59" s="1"/>
      <c r="R59" s="5">
        <f t="shared" si="32"/>
        <v>3.6632039365773646E-3</v>
      </c>
      <c r="S59" s="1"/>
      <c r="T59" s="1">
        <f>SUM(OSRRefT22_7x_0)</f>
        <v>0</v>
      </c>
      <c r="U59" s="1"/>
      <c r="V59" s="5">
        <f t="shared" si="33"/>
        <v>0</v>
      </c>
      <c r="W59" s="1"/>
      <c r="X59" s="1">
        <f t="shared" si="34"/>
        <v>71.69</v>
      </c>
      <c r="Y59" s="1"/>
      <c r="Z59" s="5">
        <f t="shared" si="35"/>
        <v>0</v>
      </c>
    </row>
    <row r="60" spans="1:26" s="24" customFormat="1" hidden="1" outlineLevel="2" x14ac:dyDescent="0.25">
      <c r="A60" s="29"/>
      <c r="B60" s="11" t="str">
        <f>CONCATENATE("          ", "6305", " - ", "FREIGHT OUT")</f>
        <v xml:space="preserve">          6305 - FREIGHT OUT</v>
      </c>
      <c r="C60" s="11"/>
      <c r="D60" s="7">
        <v>71.69</v>
      </c>
      <c r="E60" s="2"/>
      <c r="F60" s="6">
        <f t="shared" si="28"/>
        <v>3.6632039365773646E-3</v>
      </c>
      <c r="G60" s="2"/>
      <c r="H60" s="7"/>
      <c r="I60" s="2"/>
      <c r="J60" s="6">
        <f t="shared" si="29"/>
        <v>0</v>
      </c>
      <c r="K60" s="2"/>
      <c r="L60" s="7">
        <f t="shared" si="30"/>
        <v>71.69</v>
      </c>
      <c r="M60" s="2"/>
      <c r="N60" s="6">
        <f t="shared" si="31"/>
        <v>0</v>
      </c>
      <c r="O60" s="11"/>
      <c r="P60" s="7">
        <v>71.69</v>
      </c>
      <c r="Q60" s="2"/>
      <c r="R60" s="6">
        <f t="shared" si="32"/>
        <v>3.6632039365773646E-3</v>
      </c>
      <c r="S60" s="2"/>
      <c r="T60" s="7"/>
      <c r="U60" s="2"/>
      <c r="V60" s="6">
        <f t="shared" si="33"/>
        <v>0</v>
      </c>
      <c r="W60" s="2"/>
      <c r="X60" s="7">
        <f t="shared" si="34"/>
        <v>71.69</v>
      </c>
      <c r="Y60" s="2"/>
      <c r="Z60" s="6">
        <f t="shared" si="35"/>
        <v>0</v>
      </c>
    </row>
    <row r="61" spans="1:26" s="27" customFormat="1" outlineLevel="1" collapsed="1" x14ac:dyDescent="0.25">
      <c r="A61" s="28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SUM(OSRRefD22_8x_0)</f>
        <v>750.75</v>
      </c>
      <c r="E61" s="1"/>
      <c r="F61" s="5">
        <f t="shared" si="28"/>
        <v>3.836170114919036E-2</v>
      </c>
      <c r="G61" s="1"/>
      <c r="H61" s="1">
        <f>SUM(OSRRefH22_8x_0)</f>
        <v>48</v>
      </c>
      <c r="I61" s="1"/>
      <c r="J61" s="5">
        <f t="shared" si="29"/>
        <v>2.9854459509889289E-3</v>
      </c>
      <c r="K61" s="1"/>
      <c r="L61" s="1">
        <f t="shared" si="30"/>
        <v>702.75</v>
      </c>
      <c r="M61" s="1"/>
      <c r="N61" s="5">
        <f t="shared" si="31"/>
        <v>14.640625</v>
      </c>
      <c r="O61" s="14"/>
      <c r="P61" s="1">
        <f>SUM(OSRRefP22_8x_0)</f>
        <v>750.75</v>
      </c>
      <c r="Q61" s="1"/>
      <c r="R61" s="5">
        <f t="shared" si="32"/>
        <v>3.836170114919036E-2</v>
      </c>
      <c r="S61" s="1"/>
      <c r="T61" s="1">
        <f>SUM(OSRRefT22_8x_0)</f>
        <v>48</v>
      </c>
      <c r="U61" s="1"/>
      <c r="V61" s="5">
        <f t="shared" si="33"/>
        <v>2.9854459509889289E-3</v>
      </c>
      <c r="W61" s="1"/>
      <c r="X61" s="1">
        <f t="shared" si="34"/>
        <v>702.75</v>
      </c>
      <c r="Y61" s="1"/>
      <c r="Z61" s="5">
        <f t="shared" si="35"/>
        <v>14.640625</v>
      </c>
    </row>
    <row r="62" spans="1:26" s="24" customFormat="1" hidden="1" outlineLevel="2" x14ac:dyDescent="0.25">
      <c r="A62" s="29"/>
      <c r="B62" s="11" t="str">
        <f>CONCATENATE("          ", "6279", " - ", "GENERAL EXPENSE")</f>
        <v xml:space="preserve">          6279 - GENERAL EXPENSE</v>
      </c>
      <c r="C62" s="11"/>
      <c r="D62" s="7">
        <v>750.75</v>
      </c>
      <c r="E62" s="2"/>
      <c r="F62" s="6">
        <f t="shared" si="28"/>
        <v>3.836170114919036E-2</v>
      </c>
      <c r="G62" s="2"/>
      <c r="H62" s="7">
        <v>48</v>
      </c>
      <c r="I62" s="2"/>
      <c r="J62" s="6">
        <f t="shared" si="29"/>
        <v>2.9854459509889289E-3</v>
      </c>
      <c r="K62" s="2"/>
      <c r="L62" s="7">
        <f t="shared" si="30"/>
        <v>702.75</v>
      </c>
      <c r="M62" s="2"/>
      <c r="N62" s="6">
        <f t="shared" si="31"/>
        <v>14.640625</v>
      </c>
      <c r="O62" s="11"/>
      <c r="P62" s="7">
        <v>750.75</v>
      </c>
      <c r="Q62" s="2"/>
      <c r="R62" s="6">
        <f t="shared" si="32"/>
        <v>3.836170114919036E-2</v>
      </c>
      <c r="S62" s="2"/>
      <c r="T62" s="7">
        <v>48</v>
      </c>
      <c r="U62" s="2"/>
      <c r="V62" s="6">
        <f t="shared" si="33"/>
        <v>2.9854459509889289E-3</v>
      </c>
      <c r="W62" s="2"/>
      <c r="X62" s="7">
        <f t="shared" si="34"/>
        <v>702.75</v>
      </c>
      <c r="Y62" s="2"/>
      <c r="Z62" s="6">
        <f t="shared" si="35"/>
        <v>14.640625</v>
      </c>
    </row>
    <row r="63" spans="1:26" s="27" customFormat="1" outlineLevel="1" collapsed="1" x14ac:dyDescent="0.25">
      <c r="A63" s="28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SUM(OSRRefD22_9x_0)</f>
        <v>243.08</v>
      </c>
      <c r="E63" s="1"/>
      <c r="F63" s="5">
        <f t="shared" si="28"/>
        <v>1.242086222490202E-2</v>
      </c>
      <c r="G63" s="1"/>
      <c r="H63" s="1">
        <f>SUM(OSRRefH22_9x_0)</f>
        <v>16</v>
      </c>
      <c r="I63" s="1"/>
      <c r="J63" s="5">
        <f t="shared" si="29"/>
        <v>9.9514865032964295E-4</v>
      </c>
      <c r="K63" s="1"/>
      <c r="L63" s="1">
        <f t="shared" si="30"/>
        <v>227.08</v>
      </c>
      <c r="M63" s="1"/>
      <c r="N63" s="5">
        <f t="shared" si="31"/>
        <v>14.192500000000001</v>
      </c>
      <c r="O63" s="14"/>
      <c r="P63" s="1">
        <f>SUM(OSRRefP22_9x_0)</f>
        <v>243.08</v>
      </c>
      <c r="Q63" s="1"/>
      <c r="R63" s="5">
        <f t="shared" si="32"/>
        <v>1.242086222490202E-2</v>
      </c>
      <c r="S63" s="1"/>
      <c r="T63" s="1">
        <f>SUM(OSRRefT22_9x_0)</f>
        <v>16</v>
      </c>
      <c r="U63" s="1"/>
      <c r="V63" s="5">
        <f t="shared" si="33"/>
        <v>9.9514865032964295E-4</v>
      </c>
      <c r="W63" s="1"/>
      <c r="X63" s="1">
        <f t="shared" si="34"/>
        <v>227.08</v>
      </c>
      <c r="Y63" s="1"/>
      <c r="Z63" s="5">
        <f t="shared" si="35"/>
        <v>14.192500000000001</v>
      </c>
    </row>
    <row r="64" spans="1:26" s="24" customFormat="1" hidden="1" outlineLevel="2" x14ac:dyDescent="0.25">
      <c r="A64" s="29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243.08</v>
      </c>
      <c r="E64" s="2"/>
      <c r="F64" s="6">
        <f t="shared" si="28"/>
        <v>1.242086222490202E-2</v>
      </c>
      <c r="G64" s="2"/>
      <c r="H64" s="7">
        <v>16</v>
      </c>
      <c r="I64" s="2"/>
      <c r="J64" s="6">
        <f t="shared" si="29"/>
        <v>9.9514865032964295E-4</v>
      </c>
      <c r="K64" s="2"/>
      <c r="L64" s="7">
        <f t="shared" si="30"/>
        <v>227.08</v>
      </c>
      <c r="M64" s="2"/>
      <c r="N64" s="6">
        <f t="shared" si="31"/>
        <v>14.192500000000001</v>
      </c>
      <c r="O64" s="11"/>
      <c r="P64" s="7">
        <v>243.08</v>
      </c>
      <c r="Q64" s="2"/>
      <c r="R64" s="6">
        <f t="shared" si="32"/>
        <v>1.242086222490202E-2</v>
      </c>
      <c r="S64" s="2"/>
      <c r="T64" s="7">
        <v>16</v>
      </c>
      <c r="U64" s="2"/>
      <c r="V64" s="6">
        <f t="shared" si="33"/>
        <v>9.9514865032964295E-4</v>
      </c>
      <c r="W64" s="2"/>
      <c r="X64" s="7">
        <f t="shared" si="34"/>
        <v>227.08</v>
      </c>
      <c r="Y64" s="2"/>
      <c r="Z64" s="6">
        <f t="shared" si="35"/>
        <v>14.192500000000001</v>
      </c>
    </row>
    <row r="65" spans="1:26" s="27" customFormat="1" outlineLevel="1" collapsed="1" x14ac:dyDescent="0.25">
      <c r="A65" s="28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SUM(OSRRefD22_10x_0)</f>
        <v>156.35</v>
      </c>
      <c r="E65" s="1"/>
      <c r="F65" s="5">
        <f t="shared" si="28"/>
        <v>7.9891468194151338E-3</v>
      </c>
      <c r="G65" s="1"/>
      <c r="H65" s="1">
        <f>SUM(OSRRefH22_10x_0)</f>
        <v>0</v>
      </c>
      <c r="I65" s="1"/>
      <c r="J65" s="5">
        <f t="shared" si="29"/>
        <v>0</v>
      </c>
      <c r="K65" s="1"/>
      <c r="L65" s="1">
        <f t="shared" si="30"/>
        <v>156.35</v>
      </c>
      <c r="M65" s="1"/>
      <c r="N65" s="5">
        <f t="shared" si="31"/>
        <v>0</v>
      </c>
      <c r="O65" s="14"/>
      <c r="P65" s="1">
        <f>SUM(OSRRefP22_10x_0)</f>
        <v>156.35</v>
      </c>
      <c r="Q65" s="1"/>
      <c r="R65" s="5">
        <f t="shared" si="32"/>
        <v>7.9891468194151338E-3</v>
      </c>
      <c r="S65" s="1"/>
      <c r="T65" s="1">
        <f>SUM(OSRRefT22_10x_0)</f>
        <v>0</v>
      </c>
      <c r="U65" s="1"/>
      <c r="V65" s="5">
        <f t="shared" si="33"/>
        <v>0</v>
      </c>
      <c r="W65" s="1"/>
      <c r="X65" s="1">
        <f t="shared" si="34"/>
        <v>156.35</v>
      </c>
      <c r="Y65" s="1"/>
      <c r="Z65" s="5">
        <f t="shared" si="35"/>
        <v>0</v>
      </c>
    </row>
    <row r="66" spans="1:26" s="24" customFormat="1" hidden="1" outlineLevel="2" x14ac:dyDescent="0.25">
      <c r="A66" s="29"/>
      <c r="B66" s="11" t="str">
        <f>CONCATENATE("          ", "6286", " - ", "LAUNDRY EXPENSE")</f>
        <v xml:space="preserve">          6286 - LAUNDRY EXPENSE</v>
      </c>
      <c r="C66" s="11"/>
      <c r="D66" s="7">
        <v>156.35</v>
      </c>
      <c r="E66" s="2"/>
      <c r="F66" s="6">
        <f t="shared" si="28"/>
        <v>7.9891468194151338E-3</v>
      </c>
      <c r="G66" s="2"/>
      <c r="H66" s="7"/>
      <c r="I66" s="2"/>
      <c r="J66" s="6">
        <f t="shared" si="29"/>
        <v>0</v>
      </c>
      <c r="K66" s="2"/>
      <c r="L66" s="7">
        <f t="shared" si="30"/>
        <v>156.35</v>
      </c>
      <c r="M66" s="2"/>
      <c r="N66" s="6">
        <f t="shared" si="31"/>
        <v>0</v>
      </c>
      <c r="O66" s="11"/>
      <c r="P66" s="7">
        <v>156.35</v>
      </c>
      <c r="Q66" s="2"/>
      <c r="R66" s="6">
        <f t="shared" si="32"/>
        <v>7.9891468194151338E-3</v>
      </c>
      <c r="S66" s="2"/>
      <c r="T66" s="7"/>
      <c r="U66" s="2"/>
      <c r="V66" s="6">
        <f t="shared" si="33"/>
        <v>0</v>
      </c>
      <c r="W66" s="2"/>
      <c r="X66" s="7">
        <f t="shared" si="34"/>
        <v>156.35</v>
      </c>
      <c r="Y66" s="2"/>
      <c r="Z66" s="6">
        <f t="shared" si="35"/>
        <v>0</v>
      </c>
    </row>
    <row r="67" spans="1:26" s="27" customFormat="1" outlineLevel="1" collapsed="1" x14ac:dyDescent="0.25">
      <c r="A67" s="28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SUM(OSRRefD22_11x_0)</f>
        <v>1126.06</v>
      </c>
      <c r="E67" s="1"/>
      <c r="F67" s="5">
        <f t="shared" si="28"/>
        <v>5.7539230364378677E-2</v>
      </c>
      <c r="G67" s="1"/>
      <c r="H67" s="1">
        <f>SUM(OSRRefH22_11x_0)</f>
        <v>80</v>
      </c>
      <c r="I67" s="1"/>
      <c r="J67" s="5">
        <f t="shared" si="29"/>
        <v>4.9757432516482148E-3</v>
      </c>
      <c r="K67" s="1"/>
      <c r="L67" s="1">
        <f t="shared" si="30"/>
        <v>1046.06</v>
      </c>
      <c r="M67" s="1"/>
      <c r="N67" s="5">
        <f t="shared" si="31"/>
        <v>13.075749999999999</v>
      </c>
      <c r="O67" s="14"/>
      <c r="P67" s="1">
        <f>SUM(OSRRefP22_11x_0)</f>
        <v>1126.06</v>
      </c>
      <c r="Q67" s="1"/>
      <c r="R67" s="5">
        <f t="shared" si="32"/>
        <v>5.7539230364378677E-2</v>
      </c>
      <c r="S67" s="1"/>
      <c r="T67" s="1">
        <f>SUM(OSRRefT22_11x_0)</f>
        <v>80</v>
      </c>
      <c r="U67" s="1"/>
      <c r="V67" s="5">
        <f t="shared" si="33"/>
        <v>4.9757432516482148E-3</v>
      </c>
      <c r="W67" s="1"/>
      <c r="X67" s="1">
        <f t="shared" si="34"/>
        <v>1046.06</v>
      </c>
      <c r="Y67" s="1"/>
      <c r="Z67" s="5">
        <f t="shared" si="35"/>
        <v>13.075749999999999</v>
      </c>
    </row>
    <row r="68" spans="1:26" s="24" customFormat="1" hidden="1" outlineLevel="2" x14ac:dyDescent="0.25">
      <c r="A68" s="29"/>
      <c r="B68" s="11" t="str">
        <f>CONCATENATE("          ", "6237", " - ", "JANITORIAL SUPPLIES")</f>
        <v xml:space="preserve">          6237 - JANITORIAL SUPPLIES</v>
      </c>
      <c r="C68" s="11"/>
      <c r="D68" s="7">
        <v>111.27</v>
      </c>
      <c r="E68" s="2"/>
      <c r="F68" s="6">
        <f t="shared" si="28"/>
        <v>5.6856563261677134E-3</v>
      </c>
      <c r="G68" s="2"/>
      <c r="H68" s="7"/>
      <c r="I68" s="2"/>
      <c r="J68" s="6">
        <f t="shared" si="29"/>
        <v>0</v>
      </c>
      <c r="K68" s="2"/>
      <c r="L68" s="7">
        <f t="shared" si="30"/>
        <v>111.27</v>
      </c>
      <c r="M68" s="2"/>
      <c r="N68" s="6">
        <f t="shared" si="31"/>
        <v>0</v>
      </c>
      <c r="O68" s="11"/>
      <c r="P68" s="7">
        <v>111.27</v>
      </c>
      <c r="Q68" s="2"/>
      <c r="R68" s="6">
        <f t="shared" si="32"/>
        <v>5.6856563261677134E-3</v>
      </c>
      <c r="S68" s="2"/>
      <c r="T68" s="7"/>
      <c r="U68" s="2"/>
      <c r="V68" s="6">
        <f t="shared" si="33"/>
        <v>0</v>
      </c>
      <c r="W68" s="2"/>
      <c r="X68" s="7">
        <f t="shared" si="34"/>
        <v>111.27</v>
      </c>
      <c r="Y68" s="2"/>
      <c r="Z68" s="6">
        <f t="shared" si="35"/>
        <v>0</v>
      </c>
    </row>
    <row r="69" spans="1:26" s="24" customFormat="1" hidden="1" outlineLevel="2" x14ac:dyDescent="0.25">
      <c r="A69" s="29"/>
      <c r="B69" s="11" t="str">
        <f>CONCATENATE("          ", "6241", " - ", "OFFICE EXPENSE")</f>
        <v xml:space="preserve">          6241 - OFFICE EXPENSE</v>
      </c>
      <c r="C69" s="11"/>
      <c r="D69" s="7">
        <v>78.53</v>
      </c>
      <c r="E69" s="2"/>
      <c r="F69" s="6">
        <f t="shared" si="28"/>
        <v>4.012713141852706E-3</v>
      </c>
      <c r="G69" s="2"/>
      <c r="H69" s="7"/>
      <c r="I69" s="2"/>
      <c r="J69" s="6">
        <f t="shared" si="29"/>
        <v>0</v>
      </c>
      <c r="K69" s="2"/>
      <c r="L69" s="7">
        <f t="shared" si="30"/>
        <v>78.53</v>
      </c>
      <c r="M69" s="2"/>
      <c r="N69" s="6">
        <f t="shared" si="31"/>
        <v>0</v>
      </c>
      <c r="O69" s="11"/>
      <c r="P69" s="7">
        <v>78.53</v>
      </c>
      <c r="Q69" s="2"/>
      <c r="R69" s="6">
        <f t="shared" si="32"/>
        <v>4.012713141852706E-3</v>
      </c>
      <c r="S69" s="2"/>
      <c r="T69" s="7"/>
      <c r="U69" s="2"/>
      <c r="V69" s="6">
        <f t="shared" si="33"/>
        <v>0</v>
      </c>
      <c r="W69" s="2"/>
      <c r="X69" s="7">
        <f t="shared" si="34"/>
        <v>78.53</v>
      </c>
      <c r="Y69" s="2"/>
      <c r="Z69" s="6">
        <f t="shared" si="35"/>
        <v>0</v>
      </c>
    </row>
    <row r="70" spans="1:26" s="24" customFormat="1" hidden="1" outlineLevel="2" x14ac:dyDescent="0.25">
      <c r="A70" s="29"/>
      <c r="B70" s="11" t="str">
        <f>CONCATENATE("          ", "6247", " - ", "STORE SUPPLIES")</f>
        <v xml:space="preserve">          6247 - STORE SUPPLIES</v>
      </c>
      <c r="C70" s="11"/>
      <c r="D70" s="7">
        <v>936.26</v>
      </c>
      <c r="E70" s="2"/>
      <c r="F70" s="6">
        <f t="shared" si="28"/>
        <v>4.7840860896358257E-2</v>
      </c>
      <c r="G70" s="2"/>
      <c r="H70" s="7">
        <v>80</v>
      </c>
      <c r="I70" s="2"/>
      <c r="J70" s="6">
        <f t="shared" si="29"/>
        <v>4.9757432516482148E-3</v>
      </c>
      <c r="K70" s="2"/>
      <c r="L70" s="7">
        <f t="shared" si="30"/>
        <v>856.26</v>
      </c>
      <c r="M70" s="2"/>
      <c r="N70" s="6">
        <f t="shared" si="31"/>
        <v>10.703250000000001</v>
      </c>
      <c r="O70" s="11"/>
      <c r="P70" s="7">
        <v>936.26</v>
      </c>
      <c r="Q70" s="2"/>
      <c r="R70" s="6">
        <f t="shared" si="32"/>
        <v>4.7840860896358257E-2</v>
      </c>
      <c r="S70" s="2"/>
      <c r="T70" s="7">
        <v>80</v>
      </c>
      <c r="U70" s="2"/>
      <c r="V70" s="6">
        <f t="shared" si="33"/>
        <v>4.9757432516482148E-3</v>
      </c>
      <c r="W70" s="2"/>
      <c r="X70" s="7">
        <f t="shared" si="34"/>
        <v>856.26</v>
      </c>
      <c r="Y70" s="2"/>
      <c r="Z70" s="6">
        <f t="shared" si="35"/>
        <v>10.703250000000001</v>
      </c>
    </row>
    <row r="71" spans="1:26" s="27" customFormat="1" outlineLevel="1" collapsed="1" x14ac:dyDescent="0.25">
      <c r="A71" s="28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SUM(OSRRefD22_12x_0)</f>
        <v>73.55</v>
      </c>
      <c r="E71" s="1"/>
      <c r="F71" s="5">
        <f t="shared" ref="F71:F72" si="36">IF(D$12=0,0,D71/D$12)</f>
        <v>3.7582459134504836E-3</v>
      </c>
      <c r="G71" s="1"/>
      <c r="H71" s="1">
        <f>SUM(OSRRefH22_12x_0)</f>
        <v>75</v>
      </c>
      <c r="I71" s="1"/>
      <c r="J71" s="5">
        <f t="shared" ref="J71:J72" si="37">IF(H$12=0,0,H71/H$12)</f>
        <v>4.6647592984202018E-3</v>
      </c>
      <c r="K71" s="1"/>
      <c r="L71" s="1">
        <f t="shared" ref="L71:L72" si="38">+D71-H71</f>
        <v>-1.4500000000000028</v>
      </c>
      <c r="M71" s="1"/>
      <c r="N71" s="5">
        <f t="shared" ref="N71:N72" si="39">IF(H71=0,0,L71/H71)</f>
        <v>-1.9333333333333372E-2</v>
      </c>
      <c r="O71" s="14"/>
      <c r="P71" s="1">
        <f>SUM(OSRRefP22_12x_0)</f>
        <v>73.55</v>
      </c>
      <c r="Q71" s="1"/>
      <c r="R71" s="5">
        <f t="shared" ref="R71:R72" si="40">IF(P$12=0,0,P71/P$12)</f>
        <v>3.7582459134504836E-3</v>
      </c>
      <c r="S71" s="1"/>
      <c r="T71" s="1">
        <f>SUM(OSRRefT22_12x_0)</f>
        <v>75</v>
      </c>
      <c r="U71" s="1"/>
      <c r="V71" s="5">
        <f t="shared" ref="V71:V72" si="41">IF(T$12=0,0,T71/T$12)</f>
        <v>4.6647592984202018E-3</v>
      </c>
      <c r="W71" s="1"/>
      <c r="X71" s="1">
        <f t="shared" ref="X71:X72" si="42">+P71-T71</f>
        <v>-1.4500000000000028</v>
      </c>
      <c r="Y71" s="1"/>
      <c r="Z71" s="5">
        <f t="shared" ref="Z71:Z72" si="43">IF(T71=0,0,X71/T71)</f>
        <v>-1.9333333333333372E-2</v>
      </c>
    </row>
    <row r="72" spans="1:26" s="24" customFormat="1" hidden="1" outlineLevel="2" x14ac:dyDescent="0.25">
      <c r="A72" s="29"/>
      <c r="B72" s="11" t="str">
        <f>CONCATENATE("          ", "6309", " - ", "TELEPHONE")</f>
        <v xml:space="preserve">          6309 - TELEPHONE</v>
      </c>
      <c r="C72" s="11"/>
      <c r="D72" s="7">
        <v>73.55</v>
      </c>
      <c r="E72" s="2"/>
      <c r="F72" s="6">
        <f t="shared" si="36"/>
        <v>3.7582459134504836E-3</v>
      </c>
      <c r="G72" s="2"/>
      <c r="H72" s="7">
        <v>75</v>
      </c>
      <c r="I72" s="2"/>
      <c r="J72" s="6">
        <f t="shared" si="37"/>
        <v>4.6647592984202018E-3</v>
      </c>
      <c r="K72" s="2"/>
      <c r="L72" s="7">
        <f t="shared" si="38"/>
        <v>-1.4500000000000028</v>
      </c>
      <c r="M72" s="2"/>
      <c r="N72" s="6">
        <f t="shared" si="39"/>
        <v>-1.9333333333333372E-2</v>
      </c>
      <c r="O72" s="11"/>
      <c r="P72" s="7">
        <v>73.55</v>
      </c>
      <c r="Q72" s="2"/>
      <c r="R72" s="6">
        <f t="shared" si="40"/>
        <v>3.7582459134504836E-3</v>
      </c>
      <c r="S72" s="2"/>
      <c r="T72" s="7">
        <v>75</v>
      </c>
      <c r="U72" s="2"/>
      <c r="V72" s="6">
        <f t="shared" si="41"/>
        <v>4.6647592984202018E-3</v>
      </c>
      <c r="W72" s="2"/>
      <c r="X72" s="7">
        <f t="shared" si="42"/>
        <v>-1.4500000000000028</v>
      </c>
      <c r="Y72" s="2"/>
      <c r="Z72" s="6">
        <f t="shared" si="43"/>
        <v>-1.9333333333333372E-2</v>
      </c>
    </row>
    <row r="73" spans="1:26" s="57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5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6" t="s">
        <v>3</v>
      </c>
      <c r="C76" s="26"/>
      <c r="D76" s="21">
        <f>+D25-D27+D74</f>
        <v>-6187.2500000000036</v>
      </c>
      <c r="E76" s="13"/>
      <c r="F76" s="19">
        <f>IF(D$12=0,0,D76/D$12)</f>
        <v>-0.3161550921549493</v>
      </c>
      <c r="G76" s="13"/>
      <c r="H76" s="21">
        <f>+H25-H27+H74</f>
        <v>-7999.7860945000011</v>
      </c>
      <c r="I76" s="13"/>
      <c r="J76" s="19">
        <f>IF(H$12=0,0,H76/H$12)</f>
        <v>-0.49756102092922011</v>
      </c>
      <c r="K76" s="15"/>
      <c r="L76" s="21">
        <f>+D76-H76</f>
        <v>1812.5360944999975</v>
      </c>
      <c r="M76" s="15"/>
      <c r="N76" s="19">
        <f>IF(H76=0,0,L76/H76)</f>
        <v>-0.22657306996572685</v>
      </c>
      <c r="O76" s="25"/>
      <c r="P76" s="21">
        <f>+P25-P27+P74</f>
        <v>-6187.2500000000036</v>
      </c>
      <c r="Q76" s="13"/>
      <c r="R76" s="19">
        <f>IF(P$12=0,0,P76/P$12)</f>
        <v>-0.3161550921549493</v>
      </c>
      <c r="S76" s="13"/>
      <c r="T76" s="21">
        <f>+T25-T27+T74</f>
        <v>-7999.7860945000011</v>
      </c>
      <c r="U76" s="13"/>
      <c r="V76" s="19">
        <f>IF(T$12=0,0,T76/T$12)</f>
        <v>-0.49756102092922011</v>
      </c>
      <c r="W76" s="15"/>
      <c r="X76" s="21">
        <f>+P76-T76</f>
        <v>1812.5360944999975</v>
      </c>
      <c r="Y76" s="15"/>
      <c r="Z76" s="19">
        <f>IF(T76=0,0,X76/T76)</f>
        <v>-0.22657306996572685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4069.24</v>
      </c>
      <c r="E78" s="4"/>
      <c r="F78" s="12">
        <f>IF(D$12=0,0,D78/D$12)</f>
        <v>0.20792936235009171</v>
      </c>
      <c r="G78" s="4"/>
      <c r="H78" s="4">
        <v>3918</v>
      </c>
      <c r="I78" s="4"/>
      <c r="J78" s="12">
        <f>IF(H$12=0,0,H78/H$12)</f>
        <v>0.24368702574947132</v>
      </c>
      <c r="K78" s="4"/>
      <c r="L78" s="4">
        <f>+D78-H78</f>
        <v>151.23999999999978</v>
      </c>
      <c r="M78" s="4"/>
      <c r="N78" s="12">
        <f>IF(H78=0,0,L78/H78)</f>
        <v>3.8601327207759002E-2</v>
      </c>
      <c r="O78" s="10"/>
      <c r="P78" s="4">
        <v>4069.24</v>
      </c>
      <c r="Q78" s="4"/>
      <c r="R78" s="12">
        <f>IF(P$12=0,0,P78/P$12)</f>
        <v>0.20792936235009171</v>
      </c>
      <c r="S78" s="4"/>
      <c r="T78" s="4">
        <v>3918</v>
      </c>
      <c r="U78" s="4"/>
      <c r="V78" s="12">
        <f>IF(T$12=0,0,T78/T$12)</f>
        <v>0.24368702574947132</v>
      </c>
      <c r="W78" s="4"/>
      <c r="X78" s="4">
        <f>+P78-T78</f>
        <v>151.23999999999978</v>
      </c>
      <c r="Y78" s="4"/>
      <c r="Z78" s="12">
        <f>IF(T78=0,0,X78/T78)</f>
        <v>3.8601327207759002E-2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4</v>
      </c>
      <c r="C80" s="26"/>
      <c r="D80" s="32">
        <f>+D76-D78</f>
        <v>-10256.490000000003</v>
      </c>
      <c r="E80" s="13"/>
      <c r="F80" s="31">
        <f>IF(D$12=0,0,D80/D$12)</f>
        <v>-0.52408445450504104</v>
      </c>
      <c r="G80" s="13"/>
      <c r="H80" s="32">
        <f>+H76-H78</f>
        <v>-11917.786094500001</v>
      </c>
      <c r="I80" s="13"/>
      <c r="J80" s="31">
        <f>IF(H$12=0,0,H80/H$12)</f>
        <v>-0.74124804667869149</v>
      </c>
      <c r="K80" s="15"/>
      <c r="L80" s="32">
        <f>D80-H80</f>
        <v>1661.2960944999977</v>
      </c>
      <c r="M80" s="15"/>
      <c r="N80" s="31">
        <f>IF(H80=0,0,L80/H80)</f>
        <v>-0.13939636785952028</v>
      </c>
      <c r="O80" s="25"/>
      <c r="P80" s="32">
        <f>+P76-P78</f>
        <v>-10256.490000000003</v>
      </c>
      <c r="Q80" s="13"/>
      <c r="R80" s="31">
        <f>IF(P$12=0,0,P80/P$12)</f>
        <v>-0.52408445450504104</v>
      </c>
      <c r="S80" s="13"/>
      <c r="T80" s="32">
        <f>+T76-T78</f>
        <v>-11917.786094500001</v>
      </c>
      <c r="U80" s="13"/>
      <c r="V80" s="31">
        <f>IF(T$12=0,0,T80/T$12)</f>
        <v>-0.74124804667869149</v>
      </c>
      <c r="W80" s="15"/>
      <c r="X80" s="32">
        <f>P80-T80</f>
        <v>1661.2960944999977</v>
      </c>
      <c r="Y80" s="15"/>
      <c r="Z80" s="31">
        <f>IF(T80=0,0,X80/T80)</f>
        <v>-0.13939636785952028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5</v>
      </c>
      <c r="C83" s="26"/>
      <c r="D83" s="33">
        <f>SUM(D80:D82)</f>
        <v>-10256.490000000003</v>
      </c>
      <c r="E83" s="13"/>
      <c r="F83" s="34">
        <f>IF(D$12=0,0,D83/D$12)</f>
        <v>-0.52408445450504104</v>
      </c>
      <c r="G83" s="13"/>
      <c r="H83" s="33">
        <f>SUM(H80:H82)</f>
        <v>-11917.786094500001</v>
      </c>
      <c r="I83" s="13"/>
      <c r="J83" s="34">
        <f>IF(H$12=0,0,H83/H$12)</f>
        <v>-0.74124804667869149</v>
      </c>
      <c r="K83" s="15"/>
      <c r="L83" s="33">
        <f>+D83-H83</f>
        <v>1661.2960944999977</v>
      </c>
      <c r="M83" s="15"/>
      <c r="N83" s="34">
        <f>IF(H83=0,0,L83/H83)</f>
        <v>-0.13939636785952028</v>
      </c>
      <c r="O83" s="25"/>
      <c r="P83" s="33">
        <f>SUM(P80:P82)</f>
        <v>-10256.490000000003</v>
      </c>
      <c r="Q83" s="13"/>
      <c r="R83" s="34">
        <f>IF(P$12=0,0,P83/P$12)</f>
        <v>-0.52408445450504104</v>
      </c>
      <c r="S83" s="13"/>
      <c r="T83" s="33">
        <f>SUM(T80:T82)</f>
        <v>-11917.786094500001</v>
      </c>
      <c r="U83" s="13"/>
      <c r="V83" s="34">
        <f>IF(T$12=0,0,T83/T$12)</f>
        <v>-0.74124804667869149</v>
      </c>
      <c r="W83" s="15"/>
      <c r="X83" s="33">
        <f>+P83-T83</f>
        <v>1661.2960944999977</v>
      </c>
      <c r="Y83" s="15"/>
      <c r="Z83" s="34">
        <f>IF(T83=0,0,X83/T83)</f>
        <v>-0.13939636785952028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61">
        <v>43726.678672685186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6" t="s">
        <v>314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3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","321", " - ", "Student Union C-Store")</f>
        <v>Department 321 - Student Union C-Store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5401.75</v>
      </c>
      <c r="E12" s="4"/>
      <c r="F12" s="12"/>
      <c r="G12" s="4"/>
      <c r="H12" s="4">
        <f>SUM(OSRRefH13x_0)</f>
        <v>5985</v>
      </c>
      <c r="I12" s="4"/>
      <c r="J12" s="12"/>
      <c r="K12" s="4"/>
      <c r="L12" s="4">
        <f t="shared" ref="L12:L15" si="0">+D12-H12</f>
        <v>-583.25</v>
      </c>
      <c r="M12" s="4"/>
      <c r="N12" s="12">
        <f t="shared" ref="N12:N15" si="1">IF(H12=0,0,L12/H12)</f>
        <v>-9.7451963241436929E-2</v>
      </c>
      <c r="O12" s="10"/>
      <c r="P12" s="4">
        <f>SUM(OSRRefP13x_0)</f>
        <v>5401.75</v>
      </c>
      <c r="Q12" s="4"/>
      <c r="R12" s="12"/>
      <c r="S12" s="4"/>
      <c r="T12" s="4">
        <f>SUM(OSRRefT13x_0)</f>
        <v>5985</v>
      </c>
      <c r="U12" s="4"/>
      <c r="V12" s="12"/>
      <c r="W12" s="4"/>
      <c r="X12" s="4">
        <f t="shared" ref="X12:X15" si="2">+P12-T12</f>
        <v>-583.25</v>
      </c>
      <c r="Y12" s="4"/>
      <c r="Z12" s="12">
        <f t="shared" ref="Z12:Z15" si="3">IF(T12=0,0,X12/T12)</f>
        <v>-9.7451963241436929E-2</v>
      </c>
    </row>
    <row r="13" spans="1:26" s="24" customFormat="1" hidden="1" outlineLevel="1" x14ac:dyDescent="0.25">
      <c r="A13" s="51"/>
      <c r="B13" s="11" t="str">
        <f>CONCATENATE("          ", "4032", " - ", "TAXABLE SALES-JUICE")</f>
        <v xml:space="preserve">          4032 - TAXABLE SALES-JUICE</v>
      </c>
      <c r="C13" s="11"/>
      <c r="D13" s="2">
        <f>--1053.37</f>
        <v>1053.3699999999999</v>
      </c>
      <c r="E13" s="2"/>
      <c r="F13" s="22"/>
      <c r="G13" s="2"/>
      <c r="H13" s="2"/>
      <c r="I13" s="2"/>
      <c r="J13" s="22"/>
      <c r="K13" s="2"/>
      <c r="L13" s="2">
        <f t="shared" si="0"/>
        <v>1053.3699999999999</v>
      </c>
      <c r="M13" s="2"/>
      <c r="N13" s="22">
        <f t="shared" si="1"/>
        <v>0</v>
      </c>
      <c r="O13" s="11"/>
      <c r="P13" s="2">
        <f>--1053.37</f>
        <v>1053.3699999999999</v>
      </c>
      <c r="Q13" s="2"/>
      <c r="R13" s="22"/>
      <c r="S13" s="2"/>
      <c r="T13" s="2"/>
      <c r="U13" s="2"/>
      <c r="V13" s="22"/>
      <c r="W13" s="2"/>
      <c r="X13" s="2">
        <f t="shared" si="2"/>
        <v>1053.3699999999999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5985</v>
      </c>
      <c r="I14" s="2"/>
      <c r="J14" s="22"/>
      <c r="K14" s="2"/>
      <c r="L14" s="2">
        <f t="shared" si="0"/>
        <v>-5985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5985</v>
      </c>
      <c r="U14" s="2"/>
      <c r="V14" s="22"/>
      <c r="W14" s="2"/>
      <c r="X14" s="2">
        <f t="shared" si="2"/>
        <v>-5985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"4132", " - ", "NON-TAXABLE SALES-JUICE")</f>
        <v xml:space="preserve">          4132 - NON-TAXABLE SALES-JUICE</v>
      </c>
      <c r="C15" s="11"/>
      <c r="D15" s="2">
        <f>--4348.38</f>
        <v>4348.38</v>
      </c>
      <c r="E15" s="2"/>
      <c r="F15" s="22"/>
      <c r="G15" s="2"/>
      <c r="H15" s="2"/>
      <c r="I15" s="2"/>
      <c r="J15" s="22"/>
      <c r="K15" s="2"/>
      <c r="L15" s="2">
        <f t="shared" si="0"/>
        <v>4348.38</v>
      </c>
      <c r="M15" s="2"/>
      <c r="N15" s="22">
        <f t="shared" si="1"/>
        <v>0</v>
      </c>
      <c r="O15" s="11"/>
      <c r="P15" s="2">
        <f>--4348.38</f>
        <v>4348.38</v>
      </c>
      <c r="Q15" s="2"/>
      <c r="R15" s="22"/>
      <c r="S15" s="2"/>
      <c r="T15" s="2"/>
      <c r="U15" s="2"/>
      <c r="V15" s="22"/>
      <c r="W15" s="2"/>
      <c r="X15" s="2">
        <f t="shared" si="2"/>
        <v>4348.38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2695.7300000000005</v>
      </c>
      <c r="E17" s="4"/>
      <c r="F17" s="12">
        <f t="shared" ref="F17:F20" si="4">IF(D$12=0,0,D17/D$12)</f>
        <v>0.49904753089276632</v>
      </c>
      <c r="G17" s="4"/>
      <c r="H17" s="4">
        <f>SUM(OSRRefH16x_0)</f>
        <v>2861</v>
      </c>
      <c r="I17" s="4"/>
      <c r="J17" s="12">
        <f t="shared" ref="J17:J20" si="5">IF(H$12=0,0,H17/H$12)</f>
        <v>0.4780284043441938</v>
      </c>
      <c r="K17" s="4"/>
      <c r="L17" s="4">
        <f t="shared" ref="L17:L20" si="6">+D17-H17</f>
        <v>-165.26999999999953</v>
      </c>
      <c r="M17" s="4"/>
      <c r="N17" s="12">
        <f t="shared" ref="N17:N20" si="7">IF(H17=0,0,L17/H17)</f>
        <v>-5.7766515204473796E-2</v>
      </c>
      <c r="O17" s="10"/>
      <c r="P17" s="4">
        <f>SUM(OSRRefP16x_0)</f>
        <v>2695.7300000000005</v>
      </c>
      <c r="Q17" s="4"/>
      <c r="R17" s="12">
        <f t="shared" ref="R17:R20" si="8">IF(P$12=0,0,P17/P$12)</f>
        <v>0.49904753089276632</v>
      </c>
      <c r="S17" s="4"/>
      <c r="T17" s="4">
        <f>SUM(OSRRefT16x_0)</f>
        <v>2861</v>
      </c>
      <c r="U17" s="4"/>
      <c r="V17" s="12">
        <f t="shared" ref="V17:V20" si="9">IF(T$12=0,0,T17/T$12)</f>
        <v>0.4780284043441938</v>
      </c>
      <c r="W17" s="4"/>
      <c r="X17" s="4">
        <f t="shared" ref="X17:X20" si="10">+P17-T17</f>
        <v>-165.26999999999953</v>
      </c>
      <c r="Y17" s="4"/>
      <c r="Z17" s="12">
        <f t="shared" ref="Z17:Z20" si="11">IF(T17=0,0,X17/T17)</f>
        <v>-5.7766515204473796E-2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4"/>
        <v>0</v>
      </c>
      <c r="G18" s="2"/>
      <c r="H18" s="2">
        <v>2861</v>
      </c>
      <c r="I18" s="2"/>
      <c r="J18" s="22">
        <f t="shared" si="5"/>
        <v>0.4780284043441938</v>
      </c>
      <c r="K18" s="2"/>
      <c r="L18" s="2">
        <f t="shared" si="6"/>
        <v>-2861</v>
      </c>
      <c r="M18" s="2"/>
      <c r="N18" s="22">
        <f t="shared" si="7"/>
        <v>-1</v>
      </c>
      <c r="O18" s="11"/>
      <c r="P18" s="2"/>
      <c r="Q18" s="2"/>
      <c r="R18" s="22">
        <f t="shared" si="8"/>
        <v>0</v>
      </c>
      <c r="S18" s="2"/>
      <c r="T18" s="2">
        <v>2861</v>
      </c>
      <c r="U18" s="2"/>
      <c r="V18" s="22">
        <f t="shared" si="9"/>
        <v>0.4780284043441938</v>
      </c>
      <c r="W18" s="2"/>
      <c r="X18" s="2">
        <f t="shared" si="10"/>
        <v>-2861</v>
      </c>
      <c r="Y18" s="2"/>
      <c r="Z18" s="22">
        <f t="shared" si="11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4361.68</v>
      </c>
      <c r="E19" s="2"/>
      <c r="F19" s="22">
        <f t="shared" si="4"/>
        <v>0.80745684268986906</v>
      </c>
      <c r="G19" s="2"/>
      <c r="H19" s="2"/>
      <c r="I19" s="2"/>
      <c r="J19" s="22">
        <f t="shared" si="5"/>
        <v>0</v>
      </c>
      <c r="K19" s="2"/>
      <c r="L19" s="2">
        <f t="shared" si="6"/>
        <v>4361.68</v>
      </c>
      <c r="M19" s="2"/>
      <c r="N19" s="22">
        <f t="shared" si="7"/>
        <v>0</v>
      </c>
      <c r="O19" s="11"/>
      <c r="P19" s="2">
        <v>4361.68</v>
      </c>
      <c r="Q19" s="2"/>
      <c r="R19" s="22">
        <f t="shared" si="8"/>
        <v>0.80745684268986906</v>
      </c>
      <c r="S19" s="2"/>
      <c r="T19" s="2"/>
      <c r="U19" s="2"/>
      <c r="V19" s="22">
        <f t="shared" si="9"/>
        <v>0</v>
      </c>
      <c r="W19" s="2"/>
      <c r="X19" s="2">
        <f t="shared" si="10"/>
        <v>4361.68</v>
      </c>
      <c r="Y19" s="2"/>
      <c r="Z19" s="22">
        <f t="shared" si="11"/>
        <v>0</v>
      </c>
    </row>
    <row r="20" spans="1:26" s="24" customFormat="1" hidden="1" outlineLevel="1" x14ac:dyDescent="0.25">
      <c r="A20" s="51"/>
      <c r="B20" s="11" t="str">
        <f>CONCATENATE("          ", "5059", " - ", "PURCHASES @ COST-FOOD")</f>
        <v xml:space="preserve">          5059 - PURCHASES @ COST-FOOD</v>
      </c>
      <c r="C20" s="11"/>
      <c r="D20" s="2">
        <v>-1665.95</v>
      </c>
      <c r="E20" s="2"/>
      <c r="F20" s="22">
        <f t="shared" si="4"/>
        <v>-0.30840931179710279</v>
      </c>
      <c r="G20" s="2"/>
      <c r="H20" s="2"/>
      <c r="I20" s="2"/>
      <c r="J20" s="22">
        <f t="shared" si="5"/>
        <v>0</v>
      </c>
      <c r="K20" s="2"/>
      <c r="L20" s="2">
        <f t="shared" si="6"/>
        <v>-1665.95</v>
      </c>
      <c r="M20" s="2"/>
      <c r="N20" s="22">
        <f t="shared" si="7"/>
        <v>0</v>
      </c>
      <c r="O20" s="11"/>
      <c r="P20" s="2">
        <v>-1665.95</v>
      </c>
      <c r="Q20" s="2"/>
      <c r="R20" s="22">
        <f t="shared" si="8"/>
        <v>-0.30840931179710279</v>
      </c>
      <c r="S20" s="2"/>
      <c r="T20" s="2"/>
      <c r="U20" s="2"/>
      <c r="V20" s="22">
        <f t="shared" si="9"/>
        <v>0</v>
      </c>
      <c r="W20" s="2"/>
      <c r="X20" s="2">
        <f t="shared" si="10"/>
        <v>-1665.95</v>
      </c>
      <c r="Y20" s="2"/>
      <c r="Z20" s="22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6</v>
      </c>
      <c r="C22" s="26"/>
      <c r="D22" s="21">
        <f>D12-D17</f>
        <v>2706.0199999999995</v>
      </c>
      <c r="E22" s="13"/>
      <c r="F22" s="19">
        <f>IF(D$12=0,0,D22/D$12)</f>
        <v>0.50095246910723368</v>
      </c>
      <c r="G22" s="13"/>
      <c r="H22" s="21">
        <f>H12-H17</f>
        <v>3124</v>
      </c>
      <c r="I22" s="13"/>
      <c r="J22" s="19">
        <f>IF(H$12=0,0,H22/H$12)</f>
        <v>0.5219715956558062</v>
      </c>
      <c r="K22" s="15"/>
      <c r="L22" s="21">
        <f>+D22-H22</f>
        <v>-417.98000000000047</v>
      </c>
      <c r="M22" s="15"/>
      <c r="N22" s="19">
        <f>IF(H22=0,0,L22/H22)</f>
        <v>-0.13379641485275304</v>
      </c>
      <c r="O22" s="25"/>
      <c r="P22" s="21">
        <f>P12-P17</f>
        <v>2706.0199999999995</v>
      </c>
      <c r="Q22" s="13"/>
      <c r="R22" s="19">
        <f>IF(P$12=0,0,P22/P$12)</f>
        <v>0.50095246910723368</v>
      </c>
      <c r="S22" s="13"/>
      <c r="T22" s="21">
        <f>T12-T17</f>
        <v>3124</v>
      </c>
      <c r="U22" s="13"/>
      <c r="V22" s="19">
        <f>IF(T$12=0,0,T22/T$12)</f>
        <v>0.5219715956558062</v>
      </c>
      <c r="W22" s="15"/>
      <c r="X22" s="21">
        <f>+P22-T22</f>
        <v>-417.98000000000047</v>
      </c>
      <c r="Y22" s="15"/>
      <c r="Z22" s="19">
        <f>IF(T22=0,0,X22/T22)</f>
        <v>-0.13379641485275304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9</v>
      </c>
      <c r="C24" s="10"/>
      <c r="D24" s="20">
        <f>SUM(OSRRefD22x_0)</f>
        <v>9642.4000000000015</v>
      </c>
      <c r="E24" s="20"/>
      <c r="F24" s="30">
        <f t="shared" ref="F24:F33" si="12">IF(D$12=0,0,D24/D$12)</f>
        <v>1.7850511408339893</v>
      </c>
      <c r="G24" s="20"/>
      <c r="H24" s="20">
        <f>SUM(OSRRefH22x_0)</f>
        <v>7570.4041817307698</v>
      </c>
      <c r="I24" s="20"/>
      <c r="J24" s="30">
        <f t="shared" ref="J24:J33" si="13">IF(H$12=0,0,H24/H$12)</f>
        <v>1.2648962709658764</v>
      </c>
      <c r="K24" s="4"/>
      <c r="L24" s="20">
        <f t="shared" ref="L24:L33" si="14">+D24-H24</f>
        <v>2071.9958182692317</v>
      </c>
      <c r="M24" s="4"/>
      <c r="N24" s="30">
        <f t="shared" ref="N24:N33" si="15">IF(H24=0,0,L24/H24)</f>
        <v>0.27369685535013605</v>
      </c>
      <c r="O24" s="10"/>
      <c r="P24" s="20">
        <f>SUM(OSRRefP22x_0)</f>
        <v>9642.4000000000015</v>
      </c>
      <c r="Q24" s="20"/>
      <c r="R24" s="30">
        <f t="shared" ref="R24:R33" si="16">IF(P$12=0,0,P24/P$12)</f>
        <v>1.7850511408339893</v>
      </c>
      <c r="S24" s="20"/>
      <c r="T24" s="20">
        <f>SUM(OSRRefT22x_0)</f>
        <v>7570.4041817307698</v>
      </c>
      <c r="U24" s="20"/>
      <c r="V24" s="30">
        <f t="shared" ref="V24:V33" si="17">IF(T$12=0,0,T24/T$12)</f>
        <v>1.2648962709658764</v>
      </c>
      <c r="W24" s="4"/>
      <c r="X24" s="20">
        <f t="shared" ref="X24:X33" si="18">+P24-T24</f>
        <v>2071.9958182692317</v>
      </c>
      <c r="Y24" s="4"/>
      <c r="Z24" s="30">
        <f t="shared" ref="Z24:Z33" si="19">IF(T24=0,0,X24/T24)</f>
        <v>0.27369685535013605</v>
      </c>
    </row>
    <row r="25" spans="1:26" s="27" customFormat="1" outlineLevel="1" collapsed="1" x14ac:dyDescent="0.25">
      <c r="A25" s="28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1425.63</v>
      </c>
      <c r="E25" s="1"/>
      <c r="F25" s="5">
        <f t="shared" si="12"/>
        <v>0.26392002591752672</v>
      </c>
      <c r="G25" s="1"/>
      <c r="H25" s="1">
        <f>SUM(OSRRefH22_0x_0)</f>
        <v>1497.9859125</v>
      </c>
      <c r="I25" s="1"/>
      <c r="J25" s="5">
        <f t="shared" si="13"/>
        <v>0.25029004385964915</v>
      </c>
      <c r="K25" s="1"/>
      <c r="L25" s="1">
        <f t="shared" si="14"/>
        <v>-72.355912499999931</v>
      </c>
      <c r="M25" s="1"/>
      <c r="N25" s="5">
        <f t="shared" si="15"/>
        <v>-4.8302131479490751E-2</v>
      </c>
      <c r="O25" s="14"/>
      <c r="P25" s="1">
        <f>SUM(OSRRefP22_0x_0)</f>
        <v>1425.63</v>
      </c>
      <c r="Q25" s="1"/>
      <c r="R25" s="5">
        <f t="shared" si="16"/>
        <v>0.26392002591752672</v>
      </c>
      <c r="S25" s="1"/>
      <c r="T25" s="1">
        <f>SUM(OSRRefT22_0x_0)</f>
        <v>1497.9859125</v>
      </c>
      <c r="U25" s="1"/>
      <c r="V25" s="5">
        <f t="shared" si="17"/>
        <v>0.25029004385964915</v>
      </c>
      <c r="W25" s="1"/>
      <c r="X25" s="1">
        <f t="shared" si="18"/>
        <v>-72.355912499999931</v>
      </c>
      <c r="Y25" s="1"/>
      <c r="Z25" s="5">
        <f t="shared" si="19"/>
        <v>-4.8302131479490751E-2</v>
      </c>
    </row>
    <row r="26" spans="1:26" s="24" customFormat="1" hidden="1" outlineLevel="2" x14ac:dyDescent="0.25">
      <c r="A26" s="29"/>
      <c r="B26" s="11" t="str">
        <f>CONCATENATE("          ", "6111", " - ", "F.I.C.A.")</f>
        <v xml:space="preserve">          6111 - F.I.C.A.</v>
      </c>
      <c r="C26" s="11"/>
      <c r="D26" s="7">
        <v>325.04000000000002</v>
      </c>
      <c r="E26" s="2"/>
      <c r="F26" s="6">
        <f t="shared" si="12"/>
        <v>6.0173092053501187E-2</v>
      </c>
      <c r="G26" s="2"/>
      <c r="H26" s="7">
        <v>325.78968173076902</v>
      </c>
      <c r="I26" s="2"/>
      <c r="J26" s="6">
        <f t="shared" si="13"/>
        <v>5.4434366203971435E-2</v>
      </c>
      <c r="K26" s="2"/>
      <c r="L26" s="7">
        <f t="shared" si="14"/>
        <v>-0.74968173076899802</v>
      </c>
      <c r="M26" s="2"/>
      <c r="N26" s="6">
        <f t="shared" si="15"/>
        <v>-2.3011217752087411E-3</v>
      </c>
      <c r="O26" s="11"/>
      <c r="P26" s="7">
        <v>325.04000000000002</v>
      </c>
      <c r="Q26" s="2"/>
      <c r="R26" s="6">
        <f t="shared" si="16"/>
        <v>6.0173092053501187E-2</v>
      </c>
      <c r="S26" s="2"/>
      <c r="T26" s="7">
        <v>325.78968173076902</v>
      </c>
      <c r="U26" s="2"/>
      <c r="V26" s="6">
        <f t="shared" si="17"/>
        <v>5.4434366203971435E-2</v>
      </c>
      <c r="W26" s="2"/>
      <c r="X26" s="7">
        <f t="shared" si="18"/>
        <v>-0.74968173076899802</v>
      </c>
      <c r="Y26" s="2"/>
      <c r="Z26" s="6">
        <f t="shared" si="19"/>
        <v>-2.3011217752087411E-3</v>
      </c>
    </row>
    <row r="27" spans="1:26" s="24" customFormat="1" hidden="1" outlineLevel="2" x14ac:dyDescent="0.25">
      <c r="A27" s="29"/>
      <c r="B27" s="11" t="str">
        <f>CONCATENATE("          ", "6112", " - ", "COMPENSATION INSURANCE")</f>
        <v xml:space="preserve">          6112 - COMPENSATION INSURANCE</v>
      </c>
      <c r="C27" s="11"/>
      <c r="D27" s="7">
        <v>27.43</v>
      </c>
      <c r="E27" s="2"/>
      <c r="F27" s="6">
        <f t="shared" si="12"/>
        <v>5.0779839866709866E-3</v>
      </c>
      <c r="G27" s="2"/>
      <c r="H27" s="7">
        <v>80.883365384615402</v>
      </c>
      <c r="I27" s="2"/>
      <c r="J27" s="6">
        <f t="shared" si="13"/>
        <v>1.3514346764346766E-2</v>
      </c>
      <c r="K27" s="2"/>
      <c r="L27" s="7">
        <f t="shared" si="14"/>
        <v>-53.453365384615402</v>
      </c>
      <c r="M27" s="2"/>
      <c r="N27" s="6">
        <f t="shared" si="15"/>
        <v>-0.66086969960306097</v>
      </c>
      <c r="O27" s="11"/>
      <c r="P27" s="7">
        <v>27.43</v>
      </c>
      <c r="Q27" s="2"/>
      <c r="R27" s="6">
        <f t="shared" si="16"/>
        <v>5.0779839866709866E-3</v>
      </c>
      <c r="S27" s="2"/>
      <c r="T27" s="7">
        <v>80.883365384615402</v>
      </c>
      <c r="U27" s="2"/>
      <c r="V27" s="6">
        <f t="shared" si="17"/>
        <v>1.3514346764346766E-2</v>
      </c>
      <c r="W27" s="2"/>
      <c r="X27" s="7">
        <f t="shared" si="18"/>
        <v>-53.453365384615402</v>
      </c>
      <c r="Y27" s="2"/>
      <c r="Z27" s="6">
        <f t="shared" si="19"/>
        <v>-0.66086969960306097</v>
      </c>
    </row>
    <row r="28" spans="1:26" s="24" customFormat="1" hidden="1" outlineLevel="2" x14ac:dyDescent="0.25">
      <c r="A28" s="29"/>
      <c r="B28" s="11" t="str">
        <f>CONCATENATE("          ", "6113", " - ", "GROUP INSURANCE")</f>
        <v xml:space="preserve">          6113 - GROUP INSURANCE</v>
      </c>
      <c r="C28" s="11"/>
      <c r="D28" s="7">
        <v>935.3</v>
      </c>
      <c r="E28" s="2"/>
      <c r="F28" s="6">
        <f t="shared" si="12"/>
        <v>0.17314759105845326</v>
      </c>
      <c r="G28" s="2"/>
      <c r="H28" s="7">
        <v>690.5</v>
      </c>
      <c r="I28" s="2"/>
      <c r="J28" s="6">
        <f t="shared" si="13"/>
        <v>0.11537176274018379</v>
      </c>
      <c r="K28" s="2"/>
      <c r="L28" s="7">
        <f t="shared" si="14"/>
        <v>244.79999999999995</v>
      </c>
      <c r="M28" s="2"/>
      <c r="N28" s="6">
        <f t="shared" si="15"/>
        <v>0.3545257060101375</v>
      </c>
      <c r="O28" s="11"/>
      <c r="P28" s="7">
        <v>935.3</v>
      </c>
      <c r="Q28" s="2"/>
      <c r="R28" s="6">
        <f t="shared" si="16"/>
        <v>0.17314759105845326</v>
      </c>
      <c r="S28" s="2"/>
      <c r="T28" s="7">
        <v>690.5</v>
      </c>
      <c r="U28" s="2"/>
      <c r="V28" s="6">
        <f t="shared" si="17"/>
        <v>0.11537176274018379</v>
      </c>
      <c r="W28" s="2"/>
      <c r="X28" s="7">
        <f t="shared" si="18"/>
        <v>244.79999999999995</v>
      </c>
      <c r="Y28" s="2"/>
      <c r="Z28" s="6">
        <f t="shared" si="19"/>
        <v>0.3545257060101375</v>
      </c>
    </row>
    <row r="29" spans="1:26" s="24" customFormat="1" hidden="1" outlineLevel="2" x14ac:dyDescent="0.25">
      <c r="A29" s="29"/>
      <c r="B29" s="11" t="str">
        <f>CONCATENATE("          ", "6114", " - ", "STATE UNEMPLOYMENT INSURANCE")</f>
        <v xml:space="preserve">          6114 - STATE UNEMPLOYMENT INSURANCE</v>
      </c>
      <c r="C29" s="11"/>
      <c r="D29" s="7">
        <v>3.75</v>
      </c>
      <c r="E29" s="2"/>
      <c r="F29" s="6">
        <f t="shared" si="12"/>
        <v>6.9421946591382427E-4</v>
      </c>
      <c r="G29" s="2"/>
      <c r="H29" s="7">
        <v>11.068250000000001</v>
      </c>
      <c r="I29" s="2"/>
      <c r="J29" s="6">
        <f t="shared" si="13"/>
        <v>1.8493316624895574E-3</v>
      </c>
      <c r="K29" s="2"/>
      <c r="L29" s="7">
        <f t="shared" si="14"/>
        <v>-7.3182500000000008</v>
      </c>
      <c r="M29" s="2"/>
      <c r="N29" s="6">
        <f t="shared" si="15"/>
        <v>-0.66119305219885716</v>
      </c>
      <c r="O29" s="11"/>
      <c r="P29" s="7">
        <v>3.75</v>
      </c>
      <c r="Q29" s="2"/>
      <c r="R29" s="6">
        <f t="shared" si="16"/>
        <v>6.9421946591382427E-4</v>
      </c>
      <c r="S29" s="2"/>
      <c r="T29" s="7">
        <v>11.068250000000001</v>
      </c>
      <c r="U29" s="2"/>
      <c r="V29" s="6">
        <f t="shared" si="17"/>
        <v>1.8493316624895574E-3</v>
      </c>
      <c r="W29" s="2"/>
      <c r="X29" s="7">
        <f t="shared" si="18"/>
        <v>-7.3182500000000008</v>
      </c>
      <c r="Y29" s="2"/>
      <c r="Z29" s="6">
        <f t="shared" si="19"/>
        <v>-0.66119305219885716</v>
      </c>
    </row>
    <row r="30" spans="1:26" s="24" customFormat="1" hidden="1" outlineLevel="2" x14ac:dyDescent="0.25">
      <c r="A30" s="29"/>
      <c r="B30" s="11" t="str">
        <f>CONCATENATE("          ", "6115", " - ", "P.E.R.S.")</f>
        <v xml:space="preserve">          6115 - P.E.R.S.</v>
      </c>
      <c r="C30" s="11"/>
      <c r="D30" s="7">
        <v>134.11000000000001</v>
      </c>
      <c r="E30" s="2"/>
      <c r="F30" s="6">
        <f t="shared" si="12"/>
        <v>2.482713935298746E-2</v>
      </c>
      <c r="G30" s="2"/>
      <c r="H30" s="7">
        <v>212.59365384615401</v>
      </c>
      <c r="I30" s="2"/>
      <c r="J30" s="6">
        <f t="shared" si="13"/>
        <v>3.5521078336867837E-2</v>
      </c>
      <c r="K30" s="2"/>
      <c r="L30" s="7">
        <f t="shared" si="14"/>
        <v>-78.483653846153999</v>
      </c>
      <c r="M30" s="2"/>
      <c r="N30" s="6">
        <f t="shared" si="15"/>
        <v>-0.36917213861402304</v>
      </c>
      <c r="O30" s="11"/>
      <c r="P30" s="7">
        <v>134.11000000000001</v>
      </c>
      <c r="Q30" s="2"/>
      <c r="R30" s="6">
        <f t="shared" si="16"/>
        <v>2.482713935298746E-2</v>
      </c>
      <c r="S30" s="2"/>
      <c r="T30" s="7">
        <v>212.59365384615401</v>
      </c>
      <c r="U30" s="2"/>
      <c r="V30" s="6">
        <f t="shared" si="17"/>
        <v>3.5521078336867837E-2</v>
      </c>
      <c r="W30" s="2"/>
      <c r="X30" s="7">
        <f t="shared" si="18"/>
        <v>-78.483653846153999</v>
      </c>
      <c r="Y30" s="2"/>
      <c r="Z30" s="6">
        <f t="shared" si="19"/>
        <v>-0.36917213861402304</v>
      </c>
    </row>
    <row r="31" spans="1:26" s="24" customFormat="1" hidden="1" outlineLevel="2" x14ac:dyDescent="0.25">
      <c r="A31" s="29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2"/>
        <v>0</v>
      </c>
      <c r="G32" s="2"/>
      <c r="H32" s="7">
        <v>49.440384615384602</v>
      </c>
      <c r="I32" s="2"/>
      <c r="J32" s="6">
        <f t="shared" si="13"/>
        <v>8.260715892294837E-3</v>
      </c>
      <c r="K32" s="2"/>
      <c r="L32" s="7">
        <f t="shared" si="14"/>
        <v>-49.440384615384602</v>
      </c>
      <c r="M32" s="2"/>
      <c r="N32" s="6">
        <f t="shared" si="15"/>
        <v>-1</v>
      </c>
      <c r="O32" s="11"/>
      <c r="P32" s="7"/>
      <c r="Q32" s="2"/>
      <c r="R32" s="6">
        <f t="shared" si="16"/>
        <v>0</v>
      </c>
      <c r="S32" s="2"/>
      <c r="T32" s="7">
        <v>49.440384615384602</v>
      </c>
      <c r="U32" s="2"/>
      <c r="V32" s="6">
        <f t="shared" si="17"/>
        <v>8.260715892294837E-3</v>
      </c>
      <c r="W32" s="2"/>
      <c r="X32" s="7">
        <f t="shared" si="18"/>
        <v>-49.440384615384602</v>
      </c>
      <c r="Y32" s="2"/>
      <c r="Z32" s="6">
        <f t="shared" si="19"/>
        <v>-1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2"/>
        <v>0</v>
      </c>
      <c r="G33" s="2"/>
      <c r="H33" s="7">
        <v>127.71057692307699</v>
      </c>
      <c r="I33" s="2"/>
      <c r="J33" s="6">
        <f t="shared" si="13"/>
        <v>2.13384422594949E-2</v>
      </c>
      <c r="K33" s="2"/>
      <c r="L33" s="7">
        <f t="shared" si="14"/>
        <v>-127.71057692307699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127.71057692307699</v>
      </c>
      <c r="U33" s="2"/>
      <c r="V33" s="6">
        <f t="shared" si="17"/>
        <v>2.13384422594949E-2</v>
      </c>
      <c r="W33" s="2"/>
      <c r="X33" s="7">
        <f t="shared" si="18"/>
        <v>-127.71057692307699</v>
      </c>
      <c r="Y33" s="2"/>
      <c r="Z33" s="6">
        <f t="shared" si="19"/>
        <v>-1</v>
      </c>
    </row>
    <row r="34" spans="1:26" s="27" customFormat="1" outlineLevel="1" collapsed="1" x14ac:dyDescent="0.25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5054.72</v>
      </c>
      <c r="E34" s="1"/>
      <c r="F34" s="5">
        <f t="shared" ref="F34:F44" si="20">IF(D$12=0,0,D34/D$12)</f>
        <v>0.93575600499838019</v>
      </c>
      <c r="G34" s="1"/>
      <c r="H34" s="1">
        <f>SUM(OSRRefH22_1x_0)</f>
        <v>4133.4182692307695</v>
      </c>
      <c r="I34" s="1"/>
      <c r="J34" s="5">
        <f t="shared" ref="J34:J44" si="21">IF(H$12=0,0,H34/H$12)</f>
        <v>0.69062961891909269</v>
      </c>
      <c r="K34" s="1"/>
      <c r="L34" s="1">
        <f t="shared" ref="L34:L44" si="22">+D34-H34</f>
        <v>921.30173076923074</v>
      </c>
      <c r="M34" s="1"/>
      <c r="N34" s="5">
        <f t="shared" ref="N34:N44" si="23">IF(H34=0,0,L34/H34)</f>
        <v>0.222890999835999</v>
      </c>
      <c r="O34" s="14"/>
      <c r="P34" s="1">
        <f>SUM(OSRRefP22_1x_0)</f>
        <v>5054.72</v>
      </c>
      <c r="Q34" s="1"/>
      <c r="R34" s="5">
        <f t="shared" ref="R34:R44" si="24">IF(P$12=0,0,P34/P$12)</f>
        <v>0.93575600499838019</v>
      </c>
      <c r="S34" s="1"/>
      <c r="T34" s="1">
        <f>SUM(OSRRefT22_1x_0)</f>
        <v>4133.4182692307695</v>
      </c>
      <c r="U34" s="1"/>
      <c r="V34" s="5">
        <f t="shared" ref="V34:V44" si="25">IF(T$12=0,0,T34/T$12)</f>
        <v>0.69062961891909269</v>
      </c>
      <c r="W34" s="1"/>
      <c r="X34" s="1">
        <f t="shared" ref="X34:X44" si="26">+P34-T34</f>
        <v>921.30173076923074</v>
      </c>
      <c r="Y34" s="1"/>
      <c r="Z34" s="5">
        <f t="shared" ref="Z34:Z44" si="27">IF(T34=0,0,X34/T34)</f>
        <v>0.222890999835999</v>
      </c>
    </row>
    <row r="35" spans="1:26" s="24" customFormat="1" hidden="1" outlineLevel="2" x14ac:dyDescent="0.25">
      <c r="A35" s="29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0"/>
        <v>0</v>
      </c>
      <c r="G35" s="2"/>
      <c r="H35" s="7">
        <v>2348.41826923077</v>
      </c>
      <c r="I35" s="2"/>
      <c r="J35" s="6">
        <f t="shared" si="21"/>
        <v>0.39238400488400499</v>
      </c>
      <c r="K35" s="2"/>
      <c r="L35" s="7">
        <f t="shared" si="22"/>
        <v>-2348.41826923077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2348.41826923077</v>
      </c>
      <c r="U35" s="2"/>
      <c r="V35" s="6">
        <f t="shared" si="25"/>
        <v>0.39238400488400499</v>
      </c>
      <c r="W35" s="2"/>
      <c r="X35" s="7">
        <f t="shared" si="26"/>
        <v>-2348.41826923077</v>
      </c>
      <c r="Y35" s="2"/>
      <c r="Z35" s="6">
        <f t="shared" si="27"/>
        <v>-1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7">
        <v>2400</v>
      </c>
      <c r="E36" s="2"/>
      <c r="F36" s="6">
        <f t="shared" si="20"/>
        <v>0.44430045818484748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2400</v>
      </c>
      <c r="M36" s="2"/>
      <c r="N36" s="6">
        <f t="shared" si="23"/>
        <v>0</v>
      </c>
      <c r="O36" s="11"/>
      <c r="P36" s="7">
        <v>2400</v>
      </c>
      <c r="Q36" s="2"/>
      <c r="R36" s="6">
        <f t="shared" si="24"/>
        <v>0.44430045818484748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2400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"6005", " - ", "TEMPORARY WAGES-HOURLY")</f>
        <v xml:space="preserve">          6005 - TEMPORARY WAGES-HOURLY</v>
      </c>
      <c r="C39" s="11"/>
      <c r="D39" s="7">
        <v>951.72</v>
      </c>
      <c r="E39" s="2"/>
      <c r="F39" s="6">
        <f t="shared" si="20"/>
        <v>0.17618734669320127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951.72</v>
      </c>
      <c r="M39" s="2"/>
      <c r="N39" s="6">
        <f t="shared" si="23"/>
        <v>0</v>
      </c>
      <c r="O39" s="11"/>
      <c r="P39" s="7">
        <v>951.72</v>
      </c>
      <c r="Q39" s="2"/>
      <c r="R39" s="6">
        <f t="shared" si="24"/>
        <v>0.17618734669320127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951.72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"6006", " - ", "TEMPORARY PART TIME")</f>
        <v xml:space="preserve">          6006 - TEMPORARY PART TIME</v>
      </c>
      <c r="C40" s="11"/>
      <c r="D40" s="7">
        <v>682.12</v>
      </c>
      <c r="E40" s="2"/>
      <c r="F40" s="6">
        <f t="shared" si="20"/>
        <v>0.12627759522377008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682.12</v>
      </c>
      <c r="M40" s="2"/>
      <c r="N40" s="6">
        <f t="shared" si="23"/>
        <v>0</v>
      </c>
      <c r="O40" s="11"/>
      <c r="P40" s="7">
        <v>682.12</v>
      </c>
      <c r="Q40" s="2"/>
      <c r="R40" s="6">
        <f t="shared" si="24"/>
        <v>0.12627759522377008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682.12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"6007", " - ", "STUDENT HOURLY")</f>
        <v xml:space="preserve">          6007 - STUDENT HOURLY</v>
      </c>
      <c r="C41" s="11"/>
      <c r="D41" s="7">
        <v>1020.88</v>
      </c>
      <c r="E41" s="2"/>
      <c r="F41" s="6">
        <f t="shared" si="20"/>
        <v>0.1889906048965613</v>
      </c>
      <c r="G41" s="2"/>
      <c r="H41" s="7">
        <v>1785</v>
      </c>
      <c r="I41" s="2"/>
      <c r="J41" s="6">
        <f t="shared" si="21"/>
        <v>0.2982456140350877</v>
      </c>
      <c r="K41" s="2"/>
      <c r="L41" s="7">
        <f t="shared" si="22"/>
        <v>-764.12</v>
      </c>
      <c r="M41" s="2"/>
      <c r="N41" s="6">
        <f t="shared" si="23"/>
        <v>-0.42807843137254903</v>
      </c>
      <c r="O41" s="11"/>
      <c r="P41" s="7">
        <v>1020.88</v>
      </c>
      <c r="Q41" s="2"/>
      <c r="R41" s="6">
        <f t="shared" si="24"/>
        <v>0.1889906048965613</v>
      </c>
      <c r="S41" s="2"/>
      <c r="T41" s="7">
        <v>1785</v>
      </c>
      <c r="U41" s="2"/>
      <c r="V41" s="6">
        <f t="shared" si="25"/>
        <v>0.2982456140350877</v>
      </c>
      <c r="W41" s="2"/>
      <c r="X41" s="7">
        <f t="shared" si="26"/>
        <v>-764.12</v>
      </c>
      <c r="Y41" s="2"/>
      <c r="Z41" s="6">
        <f t="shared" si="27"/>
        <v>-0.42807843137254903</v>
      </c>
    </row>
    <row r="42" spans="1:26" s="24" customFormat="1" hidden="1" outlineLevel="2" x14ac:dyDescent="0.25">
      <c r="A42" s="29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7" customFormat="1" outlineLevel="1" collapsed="1" x14ac:dyDescent="0.25">
      <c r="A45" s="28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65" si="28">IF(D$12=0,0,D45/D$12)</f>
        <v>0</v>
      </c>
      <c r="G45" s="1"/>
      <c r="H45" s="1">
        <f>SUM(OSRRefH22_2x_0)</f>
        <v>0</v>
      </c>
      <c r="I45" s="1"/>
      <c r="J45" s="5">
        <f t="shared" ref="J45:J65" si="29">IF(H$12=0,0,H45/H$12)</f>
        <v>0</v>
      </c>
      <c r="K45" s="1"/>
      <c r="L45" s="1">
        <f t="shared" ref="L45:L65" si="30">+D45-H45</f>
        <v>0</v>
      </c>
      <c r="M45" s="1"/>
      <c r="N45" s="5">
        <f t="shared" ref="N45:N65" si="31">IF(H45=0,0,L45/H45)</f>
        <v>0</v>
      </c>
      <c r="O45" s="14"/>
      <c r="P45" s="1">
        <f>SUM(OSRRefP22_2x_0)</f>
        <v>0</v>
      </c>
      <c r="Q45" s="1"/>
      <c r="R45" s="5">
        <f t="shared" ref="R45:R65" si="32">IF(P$12=0,0,P45/P$12)</f>
        <v>0</v>
      </c>
      <c r="S45" s="1"/>
      <c r="T45" s="1">
        <f>SUM(OSRRefT22_2x_0)</f>
        <v>0</v>
      </c>
      <c r="U45" s="1"/>
      <c r="V45" s="5">
        <f t="shared" ref="V45:V65" si="33">IF(T$12=0,0,T45/T$12)</f>
        <v>0</v>
      </c>
      <c r="W45" s="1"/>
      <c r="X45" s="1">
        <f t="shared" ref="X45:X65" si="34">+P45-T45</f>
        <v>0</v>
      </c>
      <c r="Y45" s="1"/>
      <c r="Z45" s="5">
        <f t="shared" ref="Z45:Z65" si="35">IF(T45=0,0,X45/T45)</f>
        <v>0</v>
      </c>
    </row>
    <row r="46" spans="1:26" s="24" customFormat="1" hidden="1" outlineLevel="2" x14ac:dyDescent="0.25">
      <c r="A46" s="29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8"/>
        <v>0</v>
      </c>
      <c r="G46" s="2"/>
      <c r="H46" s="7">
        <v>0</v>
      </c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/>
      <c r="Q46" s="2"/>
      <c r="R46" s="6">
        <f t="shared" si="32"/>
        <v>0</v>
      </c>
      <c r="S46" s="2"/>
      <c r="T46" s="7">
        <v>0</v>
      </c>
      <c r="U46" s="2"/>
      <c r="V46" s="6">
        <f t="shared" si="33"/>
        <v>0</v>
      </c>
      <c r="W46" s="2"/>
      <c r="X46" s="7">
        <f t="shared" si="34"/>
        <v>0</v>
      </c>
      <c r="Y46" s="2"/>
      <c r="Z46" s="6">
        <f t="shared" si="35"/>
        <v>0</v>
      </c>
    </row>
    <row r="47" spans="1:26" s="27" customFormat="1" outlineLevel="1" collapsed="1" x14ac:dyDescent="0.25">
      <c r="A47" s="28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4.43</v>
      </c>
      <c r="E47" s="1"/>
      <c r="F47" s="5">
        <f t="shared" si="28"/>
        <v>8.2010459573286429E-4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4.43</v>
      </c>
      <c r="M47" s="1"/>
      <c r="N47" s="5">
        <f t="shared" si="31"/>
        <v>0</v>
      </c>
      <c r="O47" s="14"/>
      <c r="P47" s="1">
        <f>SUM(OSRRefP22_3x_0)</f>
        <v>4.43</v>
      </c>
      <c r="Q47" s="1"/>
      <c r="R47" s="5">
        <f t="shared" si="32"/>
        <v>8.2010459573286429E-4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4.43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"6272", " - ", "CASH (OVER/SHORT)")</f>
        <v xml:space="preserve">          6272 - CASH (OVER/SHORT)</v>
      </c>
      <c r="C48" s="11"/>
      <c r="D48" s="7">
        <v>4.43</v>
      </c>
      <c r="E48" s="2"/>
      <c r="F48" s="6">
        <f t="shared" si="28"/>
        <v>8.2010459573286429E-4</v>
      </c>
      <c r="G48" s="2"/>
      <c r="H48" s="7">
        <v>0</v>
      </c>
      <c r="I48" s="2"/>
      <c r="J48" s="6">
        <f t="shared" si="29"/>
        <v>0</v>
      </c>
      <c r="K48" s="2"/>
      <c r="L48" s="7">
        <f t="shared" si="30"/>
        <v>4.43</v>
      </c>
      <c r="M48" s="2"/>
      <c r="N48" s="6">
        <f t="shared" si="31"/>
        <v>0</v>
      </c>
      <c r="O48" s="11"/>
      <c r="P48" s="7">
        <v>4.43</v>
      </c>
      <c r="Q48" s="2"/>
      <c r="R48" s="6">
        <f t="shared" si="32"/>
        <v>8.2010459573286429E-4</v>
      </c>
      <c r="S48" s="2"/>
      <c r="T48" s="7">
        <v>0</v>
      </c>
      <c r="U48" s="2"/>
      <c r="V48" s="6">
        <f t="shared" si="33"/>
        <v>0</v>
      </c>
      <c r="W48" s="2"/>
      <c r="X48" s="7">
        <f t="shared" si="34"/>
        <v>4.43</v>
      </c>
      <c r="Y48" s="2"/>
      <c r="Z48" s="6">
        <f t="shared" si="35"/>
        <v>0</v>
      </c>
    </row>
    <row r="49" spans="1:26" s="27" customFormat="1" outlineLevel="1" collapsed="1" x14ac:dyDescent="0.25">
      <c r="A49" s="28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133.76</v>
      </c>
      <c r="E49" s="1"/>
      <c r="F49" s="5">
        <f t="shared" si="28"/>
        <v>2.4762345536168833E-2</v>
      </c>
      <c r="G49" s="1"/>
      <c r="H49" s="1">
        <f>SUM(OSRRefH22_4x_0)</f>
        <v>184</v>
      </c>
      <c r="I49" s="1"/>
      <c r="J49" s="5">
        <f t="shared" si="29"/>
        <v>3.0743525480367587E-2</v>
      </c>
      <c r="K49" s="1"/>
      <c r="L49" s="1">
        <f t="shared" si="30"/>
        <v>-50.240000000000009</v>
      </c>
      <c r="M49" s="1"/>
      <c r="N49" s="5">
        <f t="shared" si="31"/>
        <v>-0.27304347826086961</v>
      </c>
      <c r="O49" s="14"/>
      <c r="P49" s="1">
        <f>SUM(OSRRefP22_4x_0)</f>
        <v>133.76</v>
      </c>
      <c r="Q49" s="1"/>
      <c r="R49" s="5">
        <f t="shared" si="32"/>
        <v>2.4762345536168833E-2</v>
      </c>
      <c r="S49" s="1"/>
      <c r="T49" s="1">
        <f>SUM(OSRRefT22_4x_0)</f>
        <v>184</v>
      </c>
      <c r="U49" s="1"/>
      <c r="V49" s="5">
        <f t="shared" si="33"/>
        <v>3.0743525480367587E-2</v>
      </c>
      <c r="W49" s="1"/>
      <c r="X49" s="1">
        <f t="shared" si="34"/>
        <v>-50.240000000000009</v>
      </c>
      <c r="Y49" s="1"/>
      <c r="Z49" s="5">
        <f t="shared" si="35"/>
        <v>-0.27304347826086961</v>
      </c>
    </row>
    <row r="50" spans="1:26" s="24" customFormat="1" hidden="1" outlineLevel="2" x14ac:dyDescent="0.25">
      <c r="A50" s="29"/>
      <c r="B50" s="11" t="str">
        <f>CONCATENATE("          ", "6381", " - ", "BANK/CREDIT CARD FEES")</f>
        <v xml:space="preserve">          6381 - BANK/CREDIT CARD FEES</v>
      </c>
      <c r="C50" s="11"/>
      <c r="D50" s="7">
        <v>133.76</v>
      </c>
      <c r="E50" s="2"/>
      <c r="F50" s="6">
        <f t="shared" si="28"/>
        <v>2.4762345536168833E-2</v>
      </c>
      <c r="G50" s="2"/>
      <c r="H50" s="7">
        <v>184</v>
      </c>
      <c r="I50" s="2"/>
      <c r="J50" s="6">
        <f t="shared" si="29"/>
        <v>3.0743525480367587E-2</v>
      </c>
      <c r="K50" s="2"/>
      <c r="L50" s="7">
        <f t="shared" si="30"/>
        <v>-50.240000000000009</v>
      </c>
      <c r="M50" s="2"/>
      <c r="N50" s="6">
        <f t="shared" si="31"/>
        <v>-0.27304347826086961</v>
      </c>
      <c r="O50" s="11"/>
      <c r="P50" s="7">
        <v>133.76</v>
      </c>
      <c r="Q50" s="2"/>
      <c r="R50" s="6">
        <f t="shared" si="32"/>
        <v>2.4762345536168833E-2</v>
      </c>
      <c r="S50" s="2"/>
      <c r="T50" s="7">
        <v>184</v>
      </c>
      <c r="U50" s="2"/>
      <c r="V50" s="6">
        <f t="shared" si="33"/>
        <v>3.0743525480367587E-2</v>
      </c>
      <c r="W50" s="2"/>
      <c r="X50" s="7">
        <f t="shared" si="34"/>
        <v>-50.240000000000009</v>
      </c>
      <c r="Y50" s="2"/>
      <c r="Z50" s="6">
        <f t="shared" si="35"/>
        <v>-0.27304347826086961</v>
      </c>
    </row>
    <row r="51" spans="1:26" s="27" customFormat="1" outlineLevel="1" collapsed="1" x14ac:dyDescent="0.25">
      <c r="A51" s="28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968.86</v>
      </c>
      <c r="E51" s="1"/>
      <c r="F51" s="5">
        <f t="shared" si="28"/>
        <v>0.17936039246540472</v>
      </c>
      <c r="G51" s="1"/>
      <c r="H51" s="1">
        <f>SUM(OSRRefH22_5x_0)</f>
        <v>969</v>
      </c>
      <c r="I51" s="1"/>
      <c r="J51" s="5">
        <f t="shared" si="29"/>
        <v>0.16190476190476191</v>
      </c>
      <c r="K51" s="1"/>
      <c r="L51" s="1">
        <f t="shared" si="30"/>
        <v>-0.13999999999998636</v>
      </c>
      <c r="M51" s="1"/>
      <c r="N51" s="5">
        <f t="shared" si="31"/>
        <v>-1.4447884416923256E-4</v>
      </c>
      <c r="O51" s="14"/>
      <c r="P51" s="1">
        <f>SUM(OSRRefP22_5x_0)</f>
        <v>968.86</v>
      </c>
      <c r="Q51" s="1"/>
      <c r="R51" s="5">
        <f t="shared" si="32"/>
        <v>0.17936039246540472</v>
      </c>
      <c r="S51" s="1"/>
      <c r="T51" s="1">
        <f>SUM(OSRRefT22_5x_0)</f>
        <v>969</v>
      </c>
      <c r="U51" s="1"/>
      <c r="V51" s="5">
        <f t="shared" si="33"/>
        <v>0.16190476190476191</v>
      </c>
      <c r="W51" s="1"/>
      <c r="X51" s="1">
        <f t="shared" si="34"/>
        <v>-0.13999999999998636</v>
      </c>
      <c r="Y51" s="1"/>
      <c r="Z51" s="5">
        <f t="shared" si="35"/>
        <v>-1.4447884416923256E-4</v>
      </c>
    </row>
    <row r="52" spans="1:26" s="24" customFormat="1" hidden="1" outlineLevel="2" x14ac:dyDescent="0.25">
      <c r="A52" s="29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968.86</v>
      </c>
      <c r="E52" s="2"/>
      <c r="F52" s="6">
        <f t="shared" si="28"/>
        <v>0.17936039246540472</v>
      </c>
      <c r="G52" s="2"/>
      <c r="H52" s="7">
        <v>969</v>
      </c>
      <c r="I52" s="2"/>
      <c r="J52" s="6">
        <f t="shared" si="29"/>
        <v>0.16190476190476191</v>
      </c>
      <c r="K52" s="2"/>
      <c r="L52" s="7">
        <f t="shared" si="30"/>
        <v>-0.13999999999998636</v>
      </c>
      <c r="M52" s="2"/>
      <c r="N52" s="6">
        <f t="shared" si="31"/>
        <v>-1.4447884416923256E-4</v>
      </c>
      <c r="O52" s="11"/>
      <c r="P52" s="7">
        <v>968.86</v>
      </c>
      <c r="Q52" s="2"/>
      <c r="R52" s="6">
        <f t="shared" si="32"/>
        <v>0.17936039246540472</v>
      </c>
      <c r="S52" s="2"/>
      <c r="T52" s="7">
        <v>969</v>
      </c>
      <c r="U52" s="2"/>
      <c r="V52" s="6">
        <f t="shared" si="33"/>
        <v>0.16190476190476191</v>
      </c>
      <c r="W52" s="2"/>
      <c r="X52" s="7">
        <f t="shared" si="34"/>
        <v>-0.13999999999998636</v>
      </c>
      <c r="Y52" s="2"/>
      <c r="Z52" s="6">
        <f t="shared" si="35"/>
        <v>-1.4447884416923256E-4</v>
      </c>
    </row>
    <row r="53" spans="1:26" s="27" customFormat="1" outlineLevel="1" collapsed="1" x14ac:dyDescent="0.25">
      <c r="A53" s="28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4"/>
      <c r="P53" s="1">
        <f>SUM(OSRRefP22_6x_0)</f>
        <v>0</v>
      </c>
      <c r="Q53" s="1"/>
      <c r="R53" s="5">
        <f t="shared" si="32"/>
        <v>0</v>
      </c>
      <c r="S53" s="1"/>
      <c r="T53" s="1">
        <f>SUM(OSRRefT22_6x_0)</f>
        <v>0</v>
      </c>
      <c r="U53" s="1"/>
      <c r="V53" s="5">
        <f t="shared" si="33"/>
        <v>0</v>
      </c>
      <c r="W53" s="1"/>
      <c r="X53" s="1">
        <f t="shared" si="34"/>
        <v>0</v>
      </c>
      <c r="Y53" s="1"/>
      <c r="Z53" s="5">
        <f t="shared" si="35"/>
        <v>0</v>
      </c>
    </row>
    <row r="54" spans="1:26" s="24" customFormat="1" hidden="1" outlineLevel="2" x14ac:dyDescent="0.25">
      <c r="A54" s="29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28"/>
        <v>0</v>
      </c>
      <c r="G54" s="2"/>
      <c r="H54" s="7">
        <v>0</v>
      </c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0</v>
      </c>
      <c r="U54" s="2"/>
      <c r="V54" s="6">
        <f t="shared" si="33"/>
        <v>0</v>
      </c>
      <c r="W54" s="2"/>
      <c r="X54" s="7">
        <f t="shared" si="34"/>
        <v>0</v>
      </c>
      <c r="Y54" s="2"/>
      <c r="Z54" s="6">
        <f t="shared" si="35"/>
        <v>0</v>
      </c>
    </row>
    <row r="55" spans="1:26" s="27" customFormat="1" outlineLevel="1" collapsed="1" x14ac:dyDescent="0.25">
      <c r="A55" s="28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734.05</v>
      </c>
      <c r="E55" s="1"/>
      <c r="F55" s="5">
        <f t="shared" si="28"/>
        <v>0.13589114638774472</v>
      </c>
      <c r="G55" s="1"/>
      <c r="H55" s="1">
        <f>SUM(OSRRefH22_7x_0)</f>
        <v>41</v>
      </c>
      <c r="I55" s="1"/>
      <c r="J55" s="5">
        <f t="shared" si="29"/>
        <v>6.8504594820384297E-3</v>
      </c>
      <c r="K55" s="1"/>
      <c r="L55" s="1">
        <f t="shared" si="30"/>
        <v>693.05</v>
      </c>
      <c r="M55" s="1"/>
      <c r="N55" s="5">
        <f t="shared" si="31"/>
        <v>16.903658536585365</v>
      </c>
      <c r="O55" s="14"/>
      <c r="P55" s="1">
        <f>SUM(OSRRefP22_7x_0)</f>
        <v>734.05</v>
      </c>
      <c r="Q55" s="1"/>
      <c r="R55" s="5">
        <f t="shared" si="32"/>
        <v>0.13589114638774472</v>
      </c>
      <c r="S55" s="1"/>
      <c r="T55" s="1">
        <f>SUM(OSRRefT22_7x_0)</f>
        <v>41</v>
      </c>
      <c r="U55" s="1"/>
      <c r="V55" s="5">
        <f t="shared" si="33"/>
        <v>6.8504594820384297E-3</v>
      </c>
      <c r="W55" s="1"/>
      <c r="X55" s="1">
        <f t="shared" si="34"/>
        <v>693.05</v>
      </c>
      <c r="Y55" s="1"/>
      <c r="Z55" s="5">
        <f t="shared" si="35"/>
        <v>16.903658536585365</v>
      </c>
    </row>
    <row r="56" spans="1:26" s="24" customFormat="1" hidden="1" outlineLevel="2" x14ac:dyDescent="0.25">
      <c r="A56" s="29"/>
      <c r="B56" s="11" t="str">
        <f>CONCATENATE("          ", "6279", " - ", "GENERAL EXPENSE")</f>
        <v xml:space="preserve">          6279 - GENERAL EXPENSE</v>
      </c>
      <c r="C56" s="11"/>
      <c r="D56" s="7">
        <v>734.05</v>
      </c>
      <c r="E56" s="2"/>
      <c r="F56" s="6">
        <f t="shared" si="28"/>
        <v>0.13589114638774472</v>
      </c>
      <c r="G56" s="2"/>
      <c r="H56" s="7">
        <v>41</v>
      </c>
      <c r="I56" s="2"/>
      <c r="J56" s="6">
        <f t="shared" si="29"/>
        <v>6.8504594820384297E-3</v>
      </c>
      <c r="K56" s="2"/>
      <c r="L56" s="7">
        <f t="shared" si="30"/>
        <v>693.05</v>
      </c>
      <c r="M56" s="2"/>
      <c r="N56" s="6">
        <f t="shared" si="31"/>
        <v>16.903658536585365</v>
      </c>
      <c r="O56" s="11"/>
      <c r="P56" s="7">
        <v>734.05</v>
      </c>
      <c r="Q56" s="2"/>
      <c r="R56" s="6">
        <f t="shared" si="32"/>
        <v>0.13589114638774472</v>
      </c>
      <c r="S56" s="2"/>
      <c r="T56" s="7">
        <v>41</v>
      </c>
      <c r="U56" s="2"/>
      <c r="V56" s="6">
        <f t="shared" si="33"/>
        <v>6.8504594820384297E-3</v>
      </c>
      <c r="W56" s="2"/>
      <c r="X56" s="7">
        <f t="shared" si="34"/>
        <v>693.05</v>
      </c>
      <c r="Y56" s="2"/>
      <c r="Z56" s="6">
        <f t="shared" si="35"/>
        <v>16.903658536585365</v>
      </c>
    </row>
    <row r="57" spans="1:26" s="27" customFormat="1" outlineLevel="1" collapsed="1" x14ac:dyDescent="0.25">
      <c r="A57" s="28"/>
      <c r="B57" s="14" t="str">
        <f>CONCATENATE("     ","R/H Commissions                                   ")</f>
        <v xml:space="preserve">     R/H Commissions                                   </v>
      </c>
      <c r="C57" s="14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4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9"/>
      <c r="B58" s="11" t="str">
        <f>CONCATENATE("          ", "6387", " - ", "COMMISSION DUE HOUSING")</f>
        <v xml:space="preserve">          6387 - COMMISSION DUE HOUSING</v>
      </c>
      <c r="C58" s="11"/>
      <c r="D58" s="7"/>
      <c r="E58" s="2"/>
      <c r="F58" s="6">
        <f t="shared" si="28"/>
        <v>0</v>
      </c>
      <c r="G58" s="2"/>
      <c r="H58" s="7">
        <v>0</v>
      </c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0</v>
      </c>
      <c r="U58" s="2"/>
      <c r="V58" s="6">
        <f t="shared" si="33"/>
        <v>0</v>
      </c>
      <c r="W58" s="2"/>
      <c r="X58" s="7">
        <f t="shared" si="34"/>
        <v>0</v>
      </c>
      <c r="Y58" s="2"/>
      <c r="Z58" s="6">
        <f t="shared" si="35"/>
        <v>0</v>
      </c>
    </row>
    <row r="59" spans="1:26" s="27" customFormat="1" outlineLevel="1" collapsed="1" x14ac:dyDescent="0.25">
      <c r="A59" s="28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SUM(OSRRefD22_9x_0)</f>
        <v>36.42</v>
      </c>
      <c r="E59" s="1"/>
      <c r="F59" s="5">
        <f t="shared" si="28"/>
        <v>6.7422594529550611E-3</v>
      </c>
      <c r="G59" s="1"/>
      <c r="H59" s="1">
        <f>SUM(OSRRefH22_9x_0)</f>
        <v>0</v>
      </c>
      <c r="I59" s="1"/>
      <c r="J59" s="5">
        <f t="shared" si="29"/>
        <v>0</v>
      </c>
      <c r="K59" s="1"/>
      <c r="L59" s="1">
        <f t="shared" si="30"/>
        <v>36.42</v>
      </c>
      <c r="M59" s="1"/>
      <c r="N59" s="5">
        <f t="shared" si="31"/>
        <v>0</v>
      </c>
      <c r="O59" s="14"/>
      <c r="P59" s="1">
        <f>SUM(OSRRefP22_9x_0)</f>
        <v>36.42</v>
      </c>
      <c r="Q59" s="1"/>
      <c r="R59" s="5">
        <f t="shared" si="32"/>
        <v>6.7422594529550611E-3</v>
      </c>
      <c r="S59" s="1"/>
      <c r="T59" s="1">
        <f>SUM(OSRRefT22_9x_0)</f>
        <v>0</v>
      </c>
      <c r="U59" s="1"/>
      <c r="V59" s="5">
        <f t="shared" si="33"/>
        <v>0</v>
      </c>
      <c r="W59" s="1"/>
      <c r="X59" s="1">
        <f t="shared" si="34"/>
        <v>36.42</v>
      </c>
      <c r="Y59" s="1"/>
      <c r="Z59" s="5">
        <f t="shared" si="35"/>
        <v>0</v>
      </c>
    </row>
    <row r="60" spans="1:26" s="24" customFormat="1" hidden="1" outlineLevel="2" x14ac:dyDescent="0.25">
      <c r="A60" s="29"/>
      <c r="B60" s="11" t="str">
        <f>CONCATENATE("          ", "6375", " - ", "OUTSIDE REPAIRS &amp; MAINTENANCE")</f>
        <v xml:space="preserve">          6375 - OUTSIDE REPAIRS &amp; MAINTENANCE</v>
      </c>
      <c r="C60" s="11"/>
      <c r="D60" s="7">
        <v>36.42</v>
      </c>
      <c r="E60" s="2"/>
      <c r="F60" s="6">
        <f t="shared" si="28"/>
        <v>6.7422594529550611E-3</v>
      </c>
      <c r="G60" s="2"/>
      <c r="H60" s="7"/>
      <c r="I60" s="2"/>
      <c r="J60" s="6">
        <f t="shared" si="29"/>
        <v>0</v>
      </c>
      <c r="K60" s="2"/>
      <c r="L60" s="7">
        <f t="shared" si="30"/>
        <v>36.42</v>
      </c>
      <c r="M60" s="2"/>
      <c r="N60" s="6">
        <f t="shared" si="31"/>
        <v>0</v>
      </c>
      <c r="O60" s="11"/>
      <c r="P60" s="7">
        <v>36.42</v>
      </c>
      <c r="Q60" s="2"/>
      <c r="R60" s="6">
        <f t="shared" si="32"/>
        <v>6.7422594529550611E-3</v>
      </c>
      <c r="S60" s="2"/>
      <c r="T60" s="7"/>
      <c r="U60" s="2"/>
      <c r="V60" s="6">
        <f t="shared" si="33"/>
        <v>0</v>
      </c>
      <c r="W60" s="2"/>
      <c r="X60" s="7">
        <f t="shared" si="34"/>
        <v>36.42</v>
      </c>
      <c r="Y60" s="2"/>
      <c r="Z60" s="6">
        <f t="shared" si="35"/>
        <v>0</v>
      </c>
    </row>
    <row r="61" spans="1:26" s="27" customFormat="1" outlineLevel="1" collapsed="1" x14ac:dyDescent="0.25">
      <c r="A61" s="28"/>
      <c r="B61" s="14" t="str">
        <f>CONCATENATE("     ","Royalty &amp; Commissions                             ")</f>
        <v xml:space="preserve">     Royalty &amp; Commissions                             </v>
      </c>
      <c r="C61" s="14"/>
      <c r="D61" s="1">
        <f>SUM(OSRRefD22_10x_0)</f>
        <v>0</v>
      </c>
      <c r="E61" s="1"/>
      <c r="F61" s="5">
        <f t="shared" si="28"/>
        <v>0</v>
      </c>
      <c r="G61" s="1"/>
      <c r="H61" s="1">
        <f>SUM(OSRRefH22_10x_0)</f>
        <v>533</v>
      </c>
      <c r="I61" s="1"/>
      <c r="J61" s="5">
        <f t="shared" si="29"/>
        <v>8.9055973266499583E-2</v>
      </c>
      <c r="K61" s="1"/>
      <c r="L61" s="1">
        <f t="shared" si="30"/>
        <v>-533</v>
      </c>
      <c r="M61" s="1"/>
      <c r="N61" s="5">
        <f t="shared" si="31"/>
        <v>-1</v>
      </c>
      <c r="O61" s="14"/>
      <c r="P61" s="1">
        <f>SUM(OSRRefP22_10x_0)</f>
        <v>0</v>
      </c>
      <c r="Q61" s="1"/>
      <c r="R61" s="5">
        <f t="shared" si="32"/>
        <v>0</v>
      </c>
      <c r="S61" s="1"/>
      <c r="T61" s="1">
        <f>SUM(OSRRefT22_10x_0)</f>
        <v>533</v>
      </c>
      <c r="U61" s="1"/>
      <c r="V61" s="5">
        <f t="shared" si="33"/>
        <v>8.9055973266499583E-2</v>
      </c>
      <c r="W61" s="1"/>
      <c r="X61" s="1">
        <f t="shared" si="34"/>
        <v>-533</v>
      </c>
      <c r="Y61" s="1"/>
      <c r="Z61" s="5">
        <f t="shared" si="35"/>
        <v>-1</v>
      </c>
    </row>
    <row r="62" spans="1:26" s="24" customFormat="1" hidden="1" outlineLevel="2" x14ac:dyDescent="0.25">
      <c r="A62" s="29"/>
      <c r="B62" s="11" t="str">
        <f>CONCATENATE("          ", "6259", " - ", "ROYALTY &amp; COMMISSIONS")</f>
        <v xml:space="preserve">          6259 - ROYALTY &amp; COMMISSIONS</v>
      </c>
      <c r="C62" s="11"/>
      <c r="D62" s="7"/>
      <c r="E62" s="2"/>
      <c r="F62" s="6">
        <f t="shared" si="28"/>
        <v>0</v>
      </c>
      <c r="G62" s="2"/>
      <c r="H62" s="7">
        <v>533</v>
      </c>
      <c r="I62" s="2"/>
      <c r="J62" s="6">
        <f t="shared" si="29"/>
        <v>8.9055973266499583E-2</v>
      </c>
      <c r="K62" s="2"/>
      <c r="L62" s="7">
        <f t="shared" si="30"/>
        <v>-533</v>
      </c>
      <c r="M62" s="2"/>
      <c r="N62" s="6">
        <f t="shared" si="31"/>
        <v>-1</v>
      </c>
      <c r="O62" s="11"/>
      <c r="P62" s="7"/>
      <c r="Q62" s="2"/>
      <c r="R62" s="6">
        <f t="shared" si="32"/>
        <v>0</v>
      </c>
      <c r="S62" s="2"/>
      <c r="T62" s="7">
        <v>533</v>
      </c>
      <c r="U62" s="2"/>
      <c r="V62" s="6">
        <f t="shared" si="33"/>
        <v>8.9055973266499583E-2</v>
      </c>
      <c r="W62" s="2"/>
      <c r="X62" s="7">
        <f t="shared" si="34"/>
        <v>-533</v>
      </c>
      <c r="Y62" s="2"/>
      <c r="Z62" s="6">
        <f t="shared" si="35"/>
        <v>-1</v>
      </c>
    </row>
    <row r="63" spans="1:26" s="27" customFormat="1" outlineLevel="1" collapsed="1" x14ac:dyDescent="0.25">
      <c r="A63" s="28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SUM(OSRRefD22_11x_0)</f>
        <v>117</v>
      </c>
      <c r="E63" s="1"/>
      <c r="F63" s="5">
        <f t="shared" si="28"/>
        <v>2.1659647336511316E-2</v>
      </c>
      <c r="G63" s="1"/>
      <c r="H63" s="1">
        <f>SUM(OSRRefH22_11x_0)</f>
        <v>36</v>
      </c>
      <c r="I63" s="1"/>
      <c r="J63" s="5">
        <f t="shared" si="29"/>
        <v>6.0150375939849628E-3</v>
      </c>
      <c r="K63" s="1"/>
      <c r="L63" s="1">
        <f t="shared" si="30"/>
        <v>81</v>
      </c>
      <c r="M63" s="1"/>
      <c r="N63" s="5">
        <f t="shared" si="31"/>
        <v>2.25</v>
      </c>
      <c r="O63" s="14"/>
      <c r="P63" s="1">
        <f>SUM(OSRRefP22_11x_0)</f>
        <v>117</v>
      </c>
      <c r="Q63" s="1"/>
      <c r="R63" s="5">
        <f t="shared" si="32"/>
        <v>2.1659647336511316E-2</v>
      </c>
      <c r="S63" s="1"/>
      <c r="T63" s="1">
        <f>SUM(OSRRefT22_11x_0)</f>
        <v>36</v>
      </c>
      <c r="U63" s="1"/>
      <c r="V63" s="5">
        <f t="shared" si="33"/>
        <v>6.0150375939849628E-3</v>
      </c>
      <c r="W63" s="1"/>
      <c r="X63" s="1">
        <f t="shared" si="34"/>
        <v>81</v>
      </c>
      <c r="Y63" s="1"/>
      <c r="Z63" s="5">
        <f t="shared" si="35"/>
        <v>2.25</v>
      </c>
    </row>
    <row r="64" spans="1:26" s="24" customFormat="1" hidden="1" outlineLevel="2" x14ac:dyDescent="0.25">
      <c r="A64" s="29"/>
      <c r="B64" s="11" t="str">
        <f>CONCATENATE("          ", "6285", " - ", "JANITORIAL SERVICES")</f>
        <v xml:space="preserve">          6285 - JANITORIAL SERVICES</v>
      </c>
      <c r="C64" s="11"/>
      <c r="D64" s="7">
        <v>22.62</v>
      </c>
      <c r="E64" s="2"/>
      <c r="F64" s="6">
        <f t="shared" si="28"/>
        <v>4.1875318183921878E-3</v>
      </c>
      <c r="G64" s="2"/>
      <c r="H64" s="7">
        <v>36</v>
      </c>
      <c r="I64" s="2"/>
      <c r="J64" s="6">
        <f t="shared" si="29"/>
        <v>6.0150375939849628E-3</v>
      </c>
      <c r="K64" s="2"/>
      <c r="L64" s="7">
        <f t="shared" si="30"/>
        <v>-13.379999999999999</v>
      </c>
      <c r="M64" s="2"/>
      <c r="N64" s="6">
        <f t="shared" si="31"/>
        <v>-0.37166666666666665</v>
      </c>
      <c r="O64" s="11"/>
      <c r="P64" s="7">
        <v>22.62</v>
      </c>
      <c r="Q64" s="2"/>
      <c r="R64" s="6">
        <f t="shared" si="32"/>
        <v>4.1875318183921878E-3</v>
      </c>
      <c r="S64" s="2"/>
      <c r="T64" s="7">
        <v>36</v>
      </c>
      <c r="U64" s="2"/>
      <c r="V64" s="6">
        <f t="shared" si="33"/>
        <v>6.0150375939849628E-3</v>
      </c>
      <c r="W64" s="2"/>
      <c r="X64" s="7">
        <f t="shared" si="34"/>
        <v>-13.379999999999999</v>
      </c>
      <c r="Y64" s="2"/>
      <c r="Z64" s="6">
        <f t="shared" si="35"/>
        <v>-0.37166666666666665</v>
      </c>
    </row>
    <row r="65" spans="1:26" s="24" customFormat="1" hidden="1" outlineLevel="2" x14ac:dyDescent="0.25">
      <c r="A65" s="29"/>
      <c r="B65" s="11" t="str">
        <f>CONCATENATE("          ", "6286", " - ", "LAUNDRY EXPENSE")</f>
        <v xml:space="preserve">          6286 - LAUNDRY EXPENSE</v>
      </c>
      <c r="C65" s="11"/>
      <c r="D65" s="7">
        <v>94.38</v>
      </c>
      <c r="E65" s="2"/>
      <c r="F65" s="6">
        <f t="shared" si="28"/>
        <v>1.7472115518119127E-2</v>
      </c>
      <c r="G65" s="2"/>
      <c r="H65" s="7"/>
      <c r="I65" s="2"/>
      <c r="J65" s="6">
        <f t="shared" si="29"/>
        <v>0</v>
      </c>
      <c r="K65" s="2"/>
      <c r="L65" s="7">
        <f t="shared" si="30"/>
        <v>94.38</v>
      </c>
      <c r="M65" s="2"/>
      <c r="N65" s="6">
        <f t="shared" si="31"/>
        <v>0</v>
      </c>
      <c r="O65" s="11"/>
      <c r="P65" s="7">
        <v>94.38</v>
      </c>
      <c r="Q65" s="2"/>
      <c r="R65" s="6">
        <f t="shared" si="32"/>
        <v>1.7472115518119127E-2</v>
      </c>
      <c r="S65" s="2"/>
      <c r="T65" s="7"/>
      <c r="U65" s="2"/>
      <c r="V65" s="6">
        <f t="shared" si="33"/>
        <v>0</v>
      </c>
      <c r="W65" s="2"/>
      <c r="X65" s="7">
        <f t="shared" si="34"/>
        <v>94.38</v>
      </c>
      <c r="Y65" s="2"/>
      <c r="Z65" s="6">
        <f t="shared" si="35"/>
        <v>0</v>
      </c>
    </row>
    <row r="66" spans="1:26" s="27" customFormat="1" outlineLevel="1" collapsed="1" x14ac:dyDescent="0.25">
      <c r="A66" s="28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SUM(OSRRefD22_12x_0)</f>
        <v>1116.53</v>
      </c>
      <c r="E66" s="1"/>
      <c r="F66" s="5">
        <f t="shared" ref="F66:F68" si="36">IF(D$12=0,0,D66/D$12)</f>
        <v>0.20669782940713657</v>
      </c>
      <c r="G66" s="1"/>
      <c r="H66" s="1">
        <f>SUM(OSRRefH22_12x_0)</f>
        <v>95</v>
      </c>
      <c r="I66" s="1"/>
      <c r="J66" s="5">
        <f t="shared" ref="J66:J68" si="37">IF(H$12=0,0,H66/H$12)</f>
        <v>1.5873015873015872E-2</v>
      </c>
      <c r="K66" s="1"/>
      <c r="L66" s="1">
        <f t="shared" ref="L66:L68" si="38">+D66-H66</f>
        <v>1021.53</v>
      </c>
      <c r="M66" s="1"/>
      <c r="N66" s="5">
        <f t="shared" ref="N66:N68" si="39">IF(H66=0,0,L66/H66)</f>
        <v>10.752947368421053</v>
      </c>
      <c r="O66" s="14"/>
      <c r="P66" s="1">
        <f>SUM(OSRRefP22_12x_0)</f>
        <v>1116.53</v>
      </c>
      <c r="Q66" s="1"/>
      <c r="R66" s="5">
        <f t="shared" ref="R66:R68" si="40">IF(P$12=0,0,P66/P$12)</f>
        <v>0.20669782940713657</v>
      </c>
      <c r="S66" s="1"/>
      <c r="T66" s="1">
        <f>SUM(OSRRefT22_12x_0)</f>
        <v>95</v>
      </c>
      <c r="U66" s="1"/>
      <c r="V66" s="5">
        <f t="shared" ref="V66:V68" si="41">IF(T$12=0,0,T66/T$12)</f>
        <v>1.5873015873015872E-2</v>
      </c>
      <c r="W66" s="1"/>
      <c r="X66" s="1">
        <f t="shared" ref="X66:X68" si="42">+P66-T66</f>
        <v>1021.53</v>
      </c>
      <c r="Y66" s="1"/>
      <c r="Z66" s="5">
        <f t="shared" ref="Z66:Z68" si="43">IF(T66=0,0,X66/T66)</f>
        <v>10.752947368421053</v>
      </c>
    </row>
    <row r="67" spans="1:26" s="24" customFormat="1" hidden="1" outlineLevel="2" x14ac:dyDescent="0.25">
      <c r="A67" s="29"/>
      <c r="B67" s="11" t="str">
        <f>CONCATENATE("          ", "6237", " - ", "JANITORIAL SUPPLIES")</f>
        <v xml:space="preserve">          6237 - JANITORIAL SUPPLIES</v>
      </c>
      <c r="C67" s="11"/>
      <c r="D67" s="7">
        <v>20.93</v>
      </c>
      <c r="E67" s="2"/>
      <c r="F67" s="6">
        <f t="shared" si="36"/>
        <v>3.874670245753691E-3</v>
      </c>
      <c r="G67" s="2"/>
      <c r="H67" s="7"/>
      <c r="I67" s="2"/>
      <c r="J67" s="6">
        <f t="shared" si="37"/>
        <v>0</v>
      </c>
      <c r="K67" s="2"/>
      <c r="L67" s="7">
        <f t="shared" si="38"/>
        <v>20.93</v>
      </c>
      <c r="M67" s="2"/>
      <c r="N67" s="6">
        <f t="shared" si="39"/>
        <v>0</v>
      </c>
      <c r="O67" s="11"/>
      <c r="P67" s="7">
        <v>20.93</v>
      </c>
      <c r="Q67" s="2"/>
      <c r="R67" s="6">
        <f t="shared" si="40"/>
        <v>3.874670245753691E-3</v>
      </c>
      <c r="S67" s="2"/>
      <c r="T67" s="7"/>
      <c r="U67" s="2"/>
      <c r="V67" s="6">
        <f t="shared" si="41"/>
        <v>0</v>
      </c>
      <c r="W67" s="2"/>
      <c r="X67" s="7">
        <f t="shared" si="42"/>
        <v>20.93</v>
      </c>
      <c r="Y67" s="2"/>
      <c r="Z67" s="6">
        <f t="shared" si="43"/>
        <v>0</v>
      </c>
    </row>
    <row r="68" spans="1:26" s="24" customFormat="1" hidden="1" outlineLevel="2" x14ac:dyDescent="0.25">
      <c r="A68" s="29"/>
      <c r="B68" s="11" t="str">
        <f>CONCATENATE("          ", "6247", " - ", "STORE SUPPLIES")</f>
        <v xml:space="preserve">          6247 - STORE SUPPLIES</v>
      </c>
      <c r="C68" s="11"/>
      <c r="D68" s="7">
        <v>1095.5999999999999</v>
      </c>
      <c r="E68" s="2"/>
      <c r="F68" s="6">
        <f t="shared" si="36"/>
        <v>0.20282315916138288</v>
      </c>
      <c r="G68" s="2"/>
      <c r="H68" s="7">
        <v>95</v>
      </c>
      <c r="I68" s="2"/>
      <c r="J68" s="6">
        <f t="shared" si="37"/>
        <v>1.5873015873015872E-2</v>
      </c>
      <c r="K68" s="2"/>
      <c r="L68" s="7">
        <f t="shared" si="38"/>
        <v>1000.5999999999999</v>
      </c>
      <c r="M68" s="2"/>
      <c r="N68" s="6">
        <f t="shared" si="39"/>
        <v>10.532631578947367</v>
      </c>
      <c r="O68" s="11"/>
      <c r="P68" s="7">
        <v>1095.5999999999999</v>
      </c>
      <c r="Q68" s="2"/>
      <c r="R68" s="6">
        <f t="shared" si="40"/>
        <v>0.20282315916138288</v>
      </c>
      <c r="S68" s="2"/>
      <c r="T68" s="7">
        <v>95</v>
      </c>
      <c r="U68" s="2"/>
      <c r="V68" s="6">
        <f t="shared" si="41"/>
        <v>1.5873015873015872E-2</v>
      </c>
      <c r="W68" s="2"/>
      <c r="X68" s="7">
        <f t="shared" si="42"/>
        <v>1000.5999999999999</v>
      </c>
      <c r="Y68" s="2"/>
      <c r="Z68" s="6">
        <f t="shared" si="43"/>
        <v>10.532631578947367</v>
      </c>
    </row>
    <row r="69" spans="1:26" s="27" customFormat="1" outlineLevel="1" collapsed="1" x14ac:dyDescent="0.25">
      <c r="A69" s="28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SUM(OSRRefD22_13x_0)</f>
        <v>45</v>
      </c>
      <c r="E69" s="1"/>
      <c r="F69" s="5">
        <f t="shared" ref="F69:F72" si="44">IF(D$12=0,0,D69/D$12)</f>
        <v>8.3306335909658913E-3</v>
      </c>
      <c r="G69" s="1"/>
      <c r="H69" s="1">
        <f>SUM(OSRRefH22_13x_0)</f>
        <v>75</v>
      </c>
      <c r="I69" s="1"/>
      <c r="J69" s="5">
        <f t="shared" ref="J69:J72" si="45">IF(H$12=0,0,H69/H$12)</f>
        <v>1.2531328320802004E-2</v>
      </c>
      <c r="K69" s="1"/>
      <c r="L69" s="1">
        <f t="shared" ref="L69:L72" si="46">+D69-H69</f>
        <v>-30</v>
      </c>
      <c r="M69" s="1"/>
      <c r="N69" s="5">
        <f t="shared" ref="N69:N72" si="47">IF(H69=0,0,L69/H69)</f>
        <v>-0.4</v>
      </c>
      <c r="O69" s="14"/>
      <c r="P69" s="1">
        <f>SUM(OSRRefP22_13x_0)</f>
        <v>45</v>
      </c>
      <c r="Q69" s="1"/>
      <c r="R69" s="5">
        <f t="shared" ref="R69:R72" si="48">IF(P$12=0,0,P69/P$12)</f>
        <v>8.3306335909658913E-3</v>
      </c>
      <c r="S69" s="1"/>
      <c r="T69" s="1">
        <f>SUM(OSRRefT22_13x_0)</f>
        <v>75</v>
      </c>
      <c r="U69" s="1"/>
      <c r="V69" s="5">
        <f t="shared" ref="V69:V72" si="49">IF(T$12=0,0,T69/T$12)</f>
        <v>1.2531328320802004E-2</v>
      </c>
      <c r="W69" s="1"/>
      <c r="X69" s="1">
        <f t="shared" ref="X69:X72" si="50">+P69-T69</f>
        <v>-30</v>
      </c>
      <c r="Y69" s="1"/>
      <c r="Z69" s="5">
        <f t="shared" ref="Z69:Z72" si="51">IF(T69=0,0,X69/T69)</f>
        <v>-0.4</v>
      </c>
    </row>
    <row r="70" spans="1:26" s="24" customFormat="1" hidden="1" outlineLevel="2" x14ac:dyDescent="0.25">
      <c r="A70" s="29"/>
      <c r="B70" s="11" t="str">
        <f>CONCATENATE("          ", "6309", " - ", "TELEPHONE")</f>
        <v xml:space="preserve">          6309 - TELEPHONE</v>
      </c>
      <c r="C70" s="11"/>
      <c r="D70" s="7">
        <v>45</v>
      </c>
      <c r="E70" s="2"/>
      <c r="F70" s="6">
        <f t="shared" si="44"/>
        <v>8.3306335909658913E-3</v>
      </c>
      <c r="G70" s="2"/>
      <c r="H70" s="7">
        <v>75</v>
      </c>
      <c r="I70" s="2"/>
      <c r="J70" s="6">
        <f t="shared" si="45"/>
        <v>1.2531328320802004E-2</v>
      </c>
      <c r="K70" s="2"/>
      <c r="L70" s="7">
        <f t="shared" si="46"/>
        <v>-30</v>
      </c>
      <c r="M70" s="2"/>
      <c r="N70" s="6">
        <f t="shared" si="47"/>
        <v>-0.4</v>
      </c>
      <c r="O70" s="11"/>
      <c r="P70" s="7">
        <v>45</v>
      </c>
      <c r="Q70" s="2"/>
      <c r="R70" s="6">
        <f t="shared" si="48"/>
        <v>8.3306335909658913E-3</v>
      </c>
      <c r="S70" s="2"/>
      <c r="T70" s="7">
        <v>75</v>
      </c>
      <c r="U70" s="2"/>
      <c r="V70" s="6">
        <f t="shared" si="49"/>
        <v>1.2531328320802004E-2</v>
      </c>
      <c r="W70" s="2"/>
      <c r="X70" s="7">
        <f t="shared" si="50"/>
        <v>-30</v>
      </c>
      <c r="Y70" s="2"/>
      <c r="Z70" s="6">
        <f t="shared" si="51"/>
        <v>-0.4</v>
      </c>
    </row>
    <row r="71" spans="1:26" s="27" customFormat="1" outlineLevel="1" collapsed="1" x14ac:dyDescent="0.25">
      <c r="A71" s="28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SUM(OSRRefD22_14x_0)</f>
        <v>6</v>
      </c>
      <c r="E71" s="1"/>
      <c r="F71" s="5">
        <f t="shared" si="44"/>
        <v>1.1107511454621188E-3</v>
      </c>
      <c r="G71" s="1"/>
      <c r="H71" s="1">
        <f>SUM(OSRRefH22_14x_0)</f>
        <v>6</v>
      </c>
      <c r="I71" s="1"/>
      <c r="J71" s="5">
        <f t="shared" si="45"/>
        <v>1.0025062656641604E-3</v>
      </c>
      <c r="K71" s="1"/>
      <c r="L71" s="1">
        <f t="shared" si="46"/>
        <v>0</v>
      </c>
      <c r="M71" s="1"/>
      <c r="N71" s="5">
        <f t="shared" si="47"/>
        <v>0</v>
      </c>
      <c r="O71" s="14"/>
      <c r="P71" s="1">
        <f>SUM(OSRRefP22_14x_0)</f>
        <v>6</v>
      </c>
      <c r="Q71" s="1"/>
      <c r="R71" s="5">
        <f t="shared" si="48"/>
        <v>1.1107511454621188E-3</v>
      </c>
      <c r="S71" s="1"/>
      <c r="T71" s="1">
        <f>SUM(OSRRefT22_14x_0)</f>
        <v>6</v>
      </c>
      <c r="U71" s="1"/>
      <c r="V71" s="5">
        <f t="shared" si="49"/>
        <v>1.0025062656641604E-3</v>
      </c>
      <c r="W71" s="1"/>
      <c r="X71" s="1">
        <f t="shared" si="50"/>
        <v>0</v>
      </c>
      <c r="Y71" s="1"/>
      <c r="Z71" s="5">
        <f t="shared" si="51"/>
        <v>0</v>
      </c>
    </row>
    <row r="72" spans="1:26" s="24" customFormat="1" hidden="1" outlineLevel="2" x14ac:dyDescent="0.25">
      <c r="A72" s="29"/>
      <c r="B72" s="11" t="str">
        <f>CONCATENATE("          ", "6274", " - ", "UTILITIES")</f>
        <v xml:space="preserve">          6274 - UTILITIES</v>
      </c>
      <c r="C72" s="11"/>
      <c r="D72" s="7">
        <v>6</v>
      </c>
      <c r="E72" s="2"/>
      <c r="F72" s="6">
        <f t="shared" si="44"/>
        <v>1.1107511454621188E-3</v>
      </c>
      <c r="G72" s="2"/>
      <c r="H72" s="7">
        <v>6</v>
      </c>
      <c r="I72" s="2"/>
      <c r="J72" s="6">
        <f t="shared" si="45"/>
        <v>1.0025062656641604E-3</v>
      </c>
      <c r="K72" s="2"/>
      <c r="L72" s="7">
        <f t="shared" si="46"/>
        <v>0</v>
      </c>
      <c r="M72" s="2"/>
      <c r="N72" s="6">
        <f t="shared" si="47"/>
        <v>0</v>
      </c>
      <c r="O72" s="11"/>
      <c r="P72" s="7">
        <v>6</v>
      </c>
      <c r="Q72" s="2"/>
      <c r="R72" s="6">
        <f t="shared" si="48"/>
        <v>1.1107511454621188E-3</v>
      </c>
      <c r="S72" s="2"/>
      <c r="T72" s="7">
        <v>6</v>
      </c>
      <c r="U72" s="2"/>
      <c r="V72" s="6">
        <f t="shared" si="49"/>
        <v>1.0025062656641604E-3</v>
      </c>
      <c r="W72" s="2"/>
      <c r="X72" s="7">
        <f t="shared" si="50"/>
        <v>0</v>
      </c>
      <c r="Y72" s="2"/>
      <c r="Z72" s="6">
        <f t="shared" si="51"/>
        <v>0</v>
      </c>
    </row>
    <row r="73" spans="1:26" s="57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5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6" t="s">
        <v>3</v>
      </c>
      <c r="C76" s="26"/>
      <c r="D76" s="21">
        <f>+D22-D24+D74</f>
        <v>-6936.3800000000019</v>
      </c>
      <c r="E76" s="13"/>
      <c r="F76" s="19">
        <f>IF(D$12=0,0,D76/D$12)</f>
        <v>-1.2840986717267555</v>
      </c>
      <c r="G76" s="13"/>
      <c r="H76" s="21">
        <f>+H22-H24+H74</f>
        <v>-4446.4041817307698</v>
      </c>
      <c r="I76" s="13"/>
      <c r="J76" s="19">
        <f>IF(H$12=0,0,H76/H$12)</f>
        <v>-0.74292467531007012</v>
      </c>
      <c r="K76" s="15"/>
      <c r="L76" s="21">
        <f>+D76-H76</f>
        <v>-2489.9758182692321</v>
      </c>
      <c r="M76" s="15"/>
      <c r="N76" s="19">
        <f>IF(H76=0,0,L76/H76)</f>
        <v>0.55999763325609442</v>
      </c>
      <c r="O76" s="25"/>
      <c r="P76" s="21">
        <f>+P22-P24+P74</f>
        <v>-6936.3800000000019</v>
      </c>
      <c r="Q76" s="13"/>
      <c r="R76" s="19">
        <f>IF(P$12=0,0,P76/P$12)</f>
        <v>-1.2840986717267555</v>
      </c>
      <c r="S76" s="13"/>
      <c r="T76" s="21">
        <f>+T22-T24+T74</f>
        <v>-4446.4041817307698</v>
      </c>
      <c r="U76" s="13"/>
      <c r="V76" s="19">
        <f>IF(T$12=0,0,T76/T$12)</f>
        <v>-0.74292467531007012</v>
      </c>
      <c r="W76" s="15"/>
      <c r="X76" s="21">
        <f>+P76-T76</f>
        <v>-2489.9758182692321</v>
      </c>
      <c r="Y76" s="15"/>
      <c r="Z76" s="19">
        <f>IF(T76=0,0,X76/T76)</f>
        <v>0.55999763325609442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1123.18</v>
      </c>
      <c r="E78" s="4"/>
      <c r="F78" s="12">
        <f>IF(D$12=0,0,D78/D$12)</f>
        <v>0.20792891192669044</v>
      </c>
      <c r="G78" s="4"/>
      <c r="H78" s="4">
        <v>1459</v>
      </c>
      <c r="I78" s="4"/>
      <c r="J78" s="12">
        <f>IF(H$12=0,0,H78/H$12)</f>
        <v>0.24377610693400167</v>
      </c>
      <c r="K78" s="4"/>
      <c r="L78" s="4">
        <f>+D78-H78</f>
        <v>-335.81999999999994</v>
      </c>
      <c r="M78" s="4"/>
      <c r="N78" s="12">
        <f>IF(H78=0,0,L78/H78)</f>
        <v>-0.2301713502398903</v>
      </c>
      <c r="O78" s="10"/>
      <c r="P78" s="4">
        <v>1123.18</v>
      </c>
      <c r="Q78" s="4"/>
      <c r="R78" s="12">
        <f>IF(P$12=0,0,P78/P$12)</f>
        <v>0.20792891192669044</v>
      </c>
      <c r="S78" s="4"/>
      <c r="T78" s="4">
        <v>1459</v>
      </c>
      <c r="U78" s="4"/>
      <c r="V78" s="12">
        <f>IF(T$12=0,0,T78/T$12)</f>
        <v>0.24377610693400167</v>
      </c>
      <c r="W78" s="4"/>
      <c r="X78" s="4">
        <f>+P78-T78</f>
        <v>-335.81999999999994</v>
      </c>
      <c r="Y78" s="4"/>
      <c r="Z78" s="12">
        <f>IF(T78=0,0,X78/T78)</f>
        <v>-0.2301713502398903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4</v>
      </c>
      <c r="C80" s="26"/>
      <c r="D80" s="32">
        <f>+D76-D78</f>
        <v>-8059.5600000000022</v>
      </c>
      <c r="E80" s="13"/>
      <c r="F80" s="31">
        <f>IF(D$12=0,0,D80/D$12)</f>
        <v>-1.492027583653446</v>
      </c>
      <c r="G80" s="13"/>
      <c r="H80" s="32">
        <f>+H76-H78</f>
        <v>-5905.4041817307698</v>
      </c>
      <c r="I80" s="13"/>
      <c r="J80" s="31">
        <f>IF(H$12=0,0,H80/H$12)</f>
        <v>-0.98670078224407176</v>
      </c>
      <c r="K80" s="15"/>
      <c r="L80" s="32">
        <f>D80-H80</f>
        <v>-2154.1558182692324</v>
      </c>
      <c r="M80" s="15"/>
      <c r="N80" s="31">
        <f>IF(H80=0,0,L80/H80)</f>
        <v>0.36477703337113282</v>
      </c>
      <c r="O80" s="25"/>
      <c r="P80" s="32">
        <f>+P76-P78</f>
        <v>-8059.5600000000022</v>
      </c>
      <c r="Q80" s="13"/>
      <c r="R80" s="31">
        <f>IF(P$12=0,0,P80/P$12)</f>
        <v>-1.492027583653446</v>
      </c>
      <c r="S80" s="13"/>
      <c r="T80" s="32">
        <f>+T76-T78</f>
        <v>-5905.4041817307698</v>
      </c>
      <c r="U80" s="13"/>
      <c r="V80" s="31">
        <f>IF(T$12=0,0,T80/T$12)</f>
        <v>-0.98670078224407176</v>
      </c>
      <c r="W80" s="15"/>
      <c r="X80" s="32">
        <f>P80-T80</f>
        <v>-2154.1558182692324</v>
      </c>
      <c r="Y80" s="15"/>
      <c r="Z80" s="31">
        <f>IF(T80=0,0,X80/T80)</f>
        <v>0.36477703337113282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5</v>
      </c>
      <c r="C83" s="26"/>
      <c r="D83" s="33">
        <f>SUM(D80:D82)</f>
        <v>-8059.5600000000022</v>
      </c>
      <c r="E83" s="13"/>
      <c r="F83" s="34">
        <f>IF(D$12=0,0,D83/D$12)</f>
        <v>-1.492027583653446</v>
      </c>
      <c r="G83" s="13"/>
      <c r="H83" s="33">
        <f>SUM(H80:H82)</f>
        <v>-5905.4041817307698</v>
      </c>
      <c r="I83" s="13"/>
      <c r="J83" s="34">
        <f>IF(H$12=0,0,H83/H$12)</f>
        <v>-0.98670078224407176</v>
      </c>
      <c r="K83" s="15"/>
      <c r="L83" s="33">
        <f>+D83-H83</f>
        <v>-2154.1558182692324</v>
      </c>
      <c r="M83" s="15"/>
      <c r="N83" s="34">
        <f>IF(H83=0,0,L83/H83)</f>
        <v>0.36477703337113282</v>
      </c>
      <c r="O83" s="25"/>
      <c r="P83" s="33">
        <f>SUM(P80:P82)</f>
        <v>-8059.5600000000022</v>
      </c>
      <c r="Q83" s="13"/>
      <c r="R83" s="34">
        <f>IF(P$12=0,0,P83/P$12)</f>
        <v>-1.492027583653446</v>
      </c>
      <c r="S83" s="13"/>
      <c r="T83" s="33">
        <f>SUM(T80:T82)</f>
        <v>-5905.4041817307698</v>
      </c>
      <c r="U83" s="13"/>
      <c r="V83" s="34">
        <f>IF(T$12=0,0,T83/T$12)</f>
        <v>-0.98670078224407176</v>
      </c>
      <c r="W83" s="15"/>
      <c r="X83" s="33">
        <f>+P83-T83</f>
        <v>-2154.1558182692324</v>
      </c>
      <c r="Y83" s="15"/>
      <c r="Z83" s="34">
        <f>IF(T83=0,0,X83/T83)</f>
        <v>0.36477703337113282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61">
        <v>43726.678798229164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6" t="s">
        <v>314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3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","322", " - ", "Beach Hut")</f>
        <v>Department 322 - Beach Hut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14361.21</v>
      </c>
      <c r="E12" s="4"/>
      <c r="F12" s="12"/>
      <c r="G12" s="4"/>
      <c r="H12" s="4">
        <f>SUM(OSRRefH13x_0)</f>
        <v>18354</v>
      </c>
      <c r="I12" s="4"/>
      <c r="J12" s="12"/>
      <c r="K12" s="4"/>
      <c r="L12" s="4">
        <f t="shared" ref="L12:L15" si="0">+D12-H12</f>
        <v>-3992.7900000000009</v>
      </c>
      <c r="M12" s="4"/>
      <c r="N12" s="12">
        <f t="shared" ref="N12:N15" si="1">IF(H12=0,0,L12/H12)</f>
        <v>-0.21754331480876107</v>
      </c>
      <c r="O12" s="10"/>
      <c r="P12" s="4">
        <f>SUM(OSRRefP13x_0)</f>
        <v>14361.21</v>
      </c>
      <c r="Q12" s="4"/>
      <c r="R12" s="12"/>
      <c r="S12" s="4"/>
      <c r="T12" s="4">
        <f>SUM(OSRRefT13x_0)</f>
        <v>18354</v>
      </c>
      <c r="U12" s="4"/>
      <c r="V12" s="12"/>
      <c r="W12" s="4"/>
      <c r="X12" s="4">
        <f t="shared" ref="X12:X15" si="2">+P12-T12</f>
        <v>-3992.7900000000009</v>
      </c>
      <c r="Y12" s="4"/>
      <c r="Z12" s="12">
        <f t="shared" ref="Z12:Z15" si="3">IF(T12=0,0,X12/T12)</f>
        <v>-0.21754331480876107</v>
      </c>
    </row>
    <row r="13" spans="1:26" s="24" customFormat="1" hidden="1" outlineLevel="1" x14ac:dyDescent="0.25">
      <c r="A13" s="51"/>
      <c r="B13" s="11" t="str">
        <f>CONCATENATE("          ", "4051", " - ", "TAXABLE SALES-FOOD")</f>
        <v xml:space="preserve">          4051 - TAXABLE SALES-FOOD</v>
      </c>
      <c r="C13" s="11"/>
      <c r="D13" s="2">
        <f>--2833.64</f>
        <v>2833.64</v>
      </c>
      <c r="E13" s="2"/>
      <c r="F13" s="22"/>
      <c r="G13" s="2"/>
      <c r="H13" s="2"/>
      <c r="I13" s="2"/>
      <c r="J13" s="22"/>
      <c r="K13" s="2"/>
      <c r="L13" s="2">
        <f t="shared" si="0"/>
        <v>2833.64</v>
      </c>
      <c r="M13" s="2"/>
      <c r="N13" s="22">
        <f t="shared" si="1"/>
        <v>0</v>
      </c>
      <c r="O13" s="11"/>
      <c r="P13" s="2">
        <f>--2833.64</f>
        <v>2833.64</v>
      </c>
      <c r="Q13" s="2"/>
      <c r="R13" s="22"/>
      <c r="S13" s="2"/>
      <c r="T13" s="2"/>
      <c r="U13" s="2"/>
      <c r="V13" s="22"/>
      <c r="W13" s="2"/>
      <c r="X13" s="2">
        <f t="shared" si="2"/>
        <v>2833.64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18354</v>
      </c>
      <c r="I14" s="2"/>
      <c r="J14" s="22"/>
      <c r="K14" s="2"/>
      <c r="L14" s="2">
        <f t="shared" si="0"/>
        <v>-18354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18354</v>
      </c>
      <c r="U14" s="2"/>
      <c r="V14" s="22"/>
      <c r="W14" s="2"/>
      <c r="X14" s="2">
        <f t="shared" si="2"/>
        <v>-18354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--11527.57</f>
        <v>11527.57</v>
      </c>
      <c r="E15" s="2"/>
      <c r="F15" s="22"/>
      <c r="G15" s="2"/>
      <c r="H15" s="2"/>
      <c r="I15" s="2"/>
      <c r="J15" s="22"/>
      <c r="K15" s="2"/>
      <c r="L15" s="2">
        <f t="shared" si="0"/>
        <v>11527.57</v>
      </c>
      <c r="M15" s="2"/>
      <c r="N15" s="22">
        <f t="shared" si="1"/>
        <v>0</v>
      </c>
      <c r="O15" s="11"/>
      <c r="P15" s="2">
        <f>--11527.57</f>
        <v>11527.57</v>
      </c>
      <c r="Q15" s="2"/>
      <c r="R15" s="22"/>
      <c r="S15" s="2"/>
      <c r="T15" s="2"/>
      <c r="U15" s="2"/>
      <c r="V15" s="22"/>
      <c r="W15" s="2"/>
      <c r="X15" s="2">
        <f t="shared" si="2"/>
        <v>11527.57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6791.63</v>
      </c>
      <c r="E17" s="4"/>
      <c r="F17" s="12">
        <f t="shared" ref="F17:F20" si="4">IF(D$12=0,0,D17/D$12)</f>
        <v>0.4729148866982657</v>
      </c>
      <c r="G17" s="4"/>
      <c r="H17" s="4">
        <f>SUM(OSRRefH16x_0)</f>
        <v>8810</v>
      </c>
      <c r="I17" s="4"/>
      <c r="J17" s="12">
        <f t="shared" ref="J17:J20" si="5">IF(H$12=0,0,H17/H$12)</f>
        <v>0.48000435872289421</v>
      </c>
      <c r="K17" s="4"/>
      <c r="L17" s="4">
        <f t="shared" ref="L17:L20" si="6">+D17-H17</f>
        <v>-2018.37</v>
      </c>
      <c r="M17" s="4"/>
      <c r="N17" s="12">
        <f t="shared" ref="N17:N20" si="7">IF(H17=0,0,L17/H17)</f>
        <v>-0.229099886492622</v>
      </c>
      <c r="O17" s="10"/>
      <c r="P17" s="4">
        <f>SUM(OSRRefP16x_0)</f>
        <v>6791.63</v>
      </c>
      <c r="Q17" s="4"/>
      <c r="R17" s="12">
        <f t="shared" ref="R17:R20" si="8">IF(P$12=0,0,P17/P$12)</f>
        <v>0.4729148866982657</v>
      </c>
      <c r="S17" s="4"/>
      <c r="T17" s="4">
        <f>SUM(OSRRefT16x_0)</f>
        <v>8810</v>
      </c>
      <c r="U17" s="4"/>
      <c r="V17" s="12">
        <f t="shared" ref="V17:V20" si="9">IF(T$12=0,0,T17/T$12)</f>
        <v>0.48000435872289421</v>
      </c>
      <c r="W17" s="4"/>
      <c r="X17" s="4">
        <f t="shared" ref="X17:X20" si="10">+P17-T17</f>
        <v>-2018.37</v>
      </c>
      <c r="Y17" s="4"/>
      <c r="Z17" s="12">
        <f t="shared" ref="Z17:Z20" si="11">IF(T17=0,0,X17/T17)</f>
        <v>-0.229099886492622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4"/>
        <v>0</v>
      </c>
      <c r="G18" s="2"/>
      <c r="H18" s="2">
        <v>8810</v>
      </c>
      <c r="I18" s="2"/>
      <c r="J18" s="22">
        <f t="shared" si="5"/>
        <v>0.48000435872289421</v>
      </c>
      <c r="K18" s="2"/>
      <c r="L18" s="2">
        <f t="shared" si="6"/>
        <v>-8810</v>
      </c>
      <c r="M18" s="2"/>
      <c r="N18" s="22">
        <f t="shared" si="7"/>
        <v>-1</v>
      </c>
      <c r="O18" s="11"/>
      <c r="P18" s="2"/>
      <c r="Q18" s="2"/>
      <c r="R18" s="22">
        <f t="shared" si="8"/>
        <v>0</v>
      </c>
      <c r="S18" s="2"/>
      <c r="T18" s="2">
        <v>8810</v>
      </c>
      <c r="U18" s="2"/>
      <c r="V18" s="22">
        <f t="shared" si="9"/>
        <v>0.48000435872289421</v>
      </c>
      <c r="W18" s="2"/>
      <c r="X18" s="2">
        <f t="shared" si="10"/>
        <v>-8810</v>
      </c>
      <c r="Y18" s="2"/>
      <c r="Z18" s="22">
        <f t="shared" si="11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12276.42</v>
      </c>
      <c r="E19" s="2"/>
      <c r="F19" s="22">
        <f t="shared" si="4"/>
        <v>0.85483187001652372</v>
      </c>
      <c r="G19" s="2"/>
      <c r="H19" s="2"/>
      <c r="I19" s="2"/>
      <c r="J19" s="22">
        <f t="shared" si="5"/>
        <v>0</v>
      </c>
      <c r="K19" s="2"/>
      <c r="L19" s="2">
        <f t="shared" si="6"/>
        <v>12276.42</v>
      </c>
      <c r="M19" s="2"/>
      <c r="N19" s="22">
        <f t="shared" si="7"/>
        <v>0</v>
      </c>
      <c r="O19" s="11"/>
      <c r="P19" s="2">
        <v>12276.42</v>
      </c>
      <c r="Q19" s="2"/>
      <c r="R19" s="22">
        <f t="shared" si="8"/>
        <v>0.85483187001652372</v>
      </c>
      <c r="S19" s="2"/>
      <c r="T19" s="2"/>
      <c r="U19" s="2"/>
      <c r="V19" s="22">
        <f t="shared" si="9"/>
        <v>0</v>
      </c>
      <c r="W19" s="2"/>
      <c r="X19" s="2">
        <f t="shared" si="10"/>
        <v>12276.42</v>
      </c>
      <c r="Y19" s="2"/>
      <c r="Z19" s="22">
        <f t="shared" si="11"/>
        <v>0</v>
      </c>
    </row>
    <row r="20" spans="1:26" s="24" customFormat="1" hidden="1" outlineLevel="1" x14ac:dyDescent="0.25">
      <c r="A20" s="51"/>
      <c r="B20" s="11" t="str">
        <f>CONCATENATE("          ", "5059", " - ", "PURCHASES @ COST-FOOD")</f>
        <v xml:space="preserve">          5059 - PURCHASES @ COST-FOOD</v>
      </c>
      <c r="C20" s="11"/>
      <c r="D20" s="2">
        <v>-5484.79</v>
      </c>
      <c r="E20" s="2"/>
      <c r="F20" s="22">
        <f t="shared" si="4"/>
        <v>-0.38191698331825802</v>
      </c>
      <c r="G20" s="2"/>
      <c r="H20" s="2"/>
      <c r="I20" s="2"/>
      <c r="J20" s="22">
        <f t="shared" si="5"/>
        <v>0</v>
      </c>
      <c r="K20" s="2"/>
      <c r="L20" s="2">
        <f t="shared" si="6"/>
        <v>-5484.79</v>
      </c>
      <c r="M20" s="2"/>
      <c r="N20" s="22">
        <f t="shared" si="7"/>
        <v>0</v>
      </c>
      <c r="O20" s="11"/>
      <c r="P20" s="2">
        <v>-5484.79</v>
      </c>
      <c r="Q20" s="2"/>
      <c r="R20" s="22">
        <f t="shared" si="8"/>
        <v>-0.38191698331825802</v>
      </c>
      <c r="S20" s="2"/>
      <c r="T20" s="2"/>
      <c r="U20" s="2"/>
      <c r="V20" s="22">
        <f t="shared" si="9"/>
        <v>0</v>
      </c>
      <c r="W20" s="2"/>
      <c r="X20" s="2">
        <f t="shared" si="10"/>
        <v>-5484.79</v>
      </c>
      <c r="Y20" s="2"/>
      <c r="Z20" s="22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6</v>
      </c>
      <c r="C22" s="26"/>
      <c r="D22" s="21">
        <f>D12-D17</f>
        <v>7569.579999999999</v>
      </c>
      <c r="E22" s="13"/>
      <c r="F22" s="19">
        <f>IF(D$12=0,0,D22/D$12)</f>
        <v>0.52708511330173424</v>
      </c>
      <c r="G22" s="13"/>
      <c r="H22" s="21">
        <f>H12-H17</f>
        <v>9544</v>
      </c>
      <c r="I22" s="13"/>
      <c r="J22" s="19">
        <f>IF(H$12=0,0,H22/H$12)</f>
        <v>0.51999564127710585</v>
      </c>
      <c r="K22" s="15"/>
      <c r="L22" s="21">
        <f>+D22-H22</f>
        <v>-1974.420000000001</v>
      </c>
      <c r="M22" s="15"/>
      <c r="N22" s="19">
        <f>IF(H22=0,0,L22/H22)</f>
        <v>-0.20687552388935468</v>
      </c>
      <c r="O22" s="25"/>
      <c r="P22" s="21">
        <f>P12-P17</f>
        <v>7569.579999999999</v>
      </c>
      <c r="Q22" s="13"/>
      <c r="R22" s="19">
        <f>IF(P$12=0,0,P22/P$12)</f>
        <v>0.52708511330173424</v>
      </c>
      <c r="S22" s="13"/>
      <c r="T22" s="21">
        <f>T12-T17</f>
        <v>9544</v>
      </c>
      <c r="U22" s="13"/>
      <c r="V22" s="19">
        <f>IF(T$12=0,0,T22/T$12)</f>
        <v>0.51999564127710585</v>
      </c>
      <c r="W22" s="15"/>
      <c r="X22" s="21">
        <f>+P22-T22</f>
        <v>-1974.420000000001</v>
      </c>
      <c r="Y22" s="15"/>
      <c r="Z22" s="19">
        <f>IF(T22=0,0,X22/T22)</f>
        <v>-0.20687552388935468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9</v>
      </c>
      <c r="C24" s="10"/>
      <c r="D24" s="20">
        <f>SUM(OSRRefD22x_0)</f>
        <v>20272.43</v>
      </c>
      <c r="E24" s="20"/>
      <c r="F24" s="30">
        <f t="shared" ref="F24:F34" si="12">IF(D$12=0,0,D24/D$12)</f>
        <v>1.4116101637675378</v>
      </c>
      <c r="G24" s="20"/>
      <c r="H24" s="20">
        <f>SUM(OSRRefH22x_0)</f>
        <v>15837.192425961541</v>
      </c>
      <c r="I24" s="20"/>
      <c r="J24" s="30">
        <f t="shared" ref="J24:J34" si="13">IF(H$12=0,0,H24/H$12)</f>
        <v>0.86287416508453418</v>
      </c>
      <c r="K24" s="4"/>
      <c r="L24" s="20">
        <f t="shared" ref="L24:L34" si="14">+D24-H24</f>
        <v>4435.2375740384596</v>
      </c>
      <c r="M24" s="4"/>
      <c r="N24" s="30">
        <f t="shared" ref="N24:N34" si="15">IF(H24=0,0,L24/H24)</f>
        <v>0.28005201015098347</v>
      </c>
      <c r="O24" s="10"/>
      <c r="P24" s="20">
        <f>SUM(OSRRefP22x_0)</f>
        <v>20272.43</v>
      </c>
      <c r="Q24" s="20"/>
      <c r="R24" s="30">
        <f t="shared" ref="R24:R34" si="16">IF(P$12=0,0,P24/P$12)</f>
        <v>1.4116101637675378</v>
      </c>
      <c r="S24" s="20"/>
      <c r="T24" s="20">
        <f>SUM(OSRRefT22x_0)</f>
        <v>15837.192425961541</v>
      </c>
      <c r="U24" s="20"/>
      <c r="V24" s="30">
        <f t="shared" ref="V24:V34" si="17">IF(T$12=0,0,T24/T$12)</f>
        <v>0.86287416508453418</v>
      </c>
      <c r="W24" s="4"/>
      <c r="X24" s="20">
        <f t="shared" ref="X24:X34" si="18">+P24-T24</f>
        <v>4435.2375740384596</v>
      </c>
      <c r="Y24" s="4"/>
      <c r="Z24" s="30">
        <f t="shared" ref="Z24:Z34" si="19">IF(T24=0,0,X24/T24)</f>
        <v>0.28005201015098347</v>
      </c>
    </row>
    <row r="25" spans="1:26" s="27" customFormat="1" outlineLevel="1" collapsed="1" x14ac:dyDescent="0.25">
      <c r="A25" s="28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2332.16</v>
      </c>
      <c r="E25" s="1"/>
      <c r="F25" s="5">
        <f t="shared" si="12"/>
        <v>0.16239300170389542</v>
      </c>
      <c r="G25" s="1"/>
      <c r="H25" s="1">
        <f>SUM(OSRRefH22_0x_0)</f>
        <v>2410.1058875000008</v>
      </c>
      <c r="I25" s="1"/>
      <c r="J25" s="5">
        <f t="shared" si="13"/>
        <v>0.13131229636591482</v>
      </c>
      <c r="K25" s="1"/>
      <c r="L25" s="1">
        <f t="shared" si="14"/>
        <v>-77.945887500000936</v>
      </c>
      <c r="M25" s="1"/>
      <c r="N25" s="5">
        <f t="shared" si="15"/>
        <v>-3.2341270939283955E-2</v>
      </c>
      <c r="O25" s="14"/>
      <c r="P25" s="1">
        <f>SUM(OSRRefP22_0x_0)</f>
        <v>2332.16</v>
      </c>
      <c r="Q25" s="1"/>
      <c r="R25" s="5">
        <f t="shared" si="16"/>
        <v>0.16239300170389542</v>
      </c>
      <c r="S25" s="1"/>
      <c r="T25" s="1">
        <f>SUM(OSRRefT22_0x_0)</f>
        <v>2410.1058875000008</v>
      </c>
      <c r="U25" s="1"/>
      <c r="V25" s="5">
        <f t="shared" si="17"/>
        <v>0.13131229636591482</v>
      </c>
      <c r="W25" s="1"/>
      <c r="X25" s="1">
        <f t="shared" si="18"/>
        <v>-77.945887500000936</v>
      </c>
      <c r="Y25" s="1"/>
      <c r="Z25" s="5">
        <f t="shared" si="19"/>
        <v>-3.2341270939283955E-2</v>
      </c>
    </row>
    <row r="26" spans="1:26" s="24" customFormat="1" hidden="1" outlineLevel="2" x14ac:dyDescent="0.25">
      <c r="A26" s="29"/>
      <c r="B26" s="11" t="str">
        <f>CONCATENATE("          ", "6111", " - ", "F.I.C.A.")</f>
        <v xml:space="preserve">          6111 - F.I.C.A.</v>
      </c>
      <c r="C26" s="11"/>
      <c r="D26" s="7">
        <v>719.78</v>
      </c>
      <c r="E26" s="2"/>
      <c r="F26" s="6">
        <f t="shared" si="12"/>
        <v>5.0119732250973284E-2</v>
      </c>
      <c r="G26" s="2"/>
      <c r="H26" s="7">
        <v>730.500925961539</v>
      </c>
      <c r="I26" s="2"/>
      <c r="J26" s="6">
        <f t="shared" si="13"/>
        <v>3.9800638877712707E-2</v>
      </c>
      <c r="K26" s="2"/>
      <c r="L26" s="7">
        <f t="shared" si="14"/>
        <v>-10.720925961539024</v>
      </c>
      <c r="M26" s="2"/>
      <c r="N26" s="6">
        <f t="shared" si="15"/>
        <v>-1.4676129188237992E-2</v>
      </c>
      <c r="O26" s="11"/>
      <c r="P26" s="7">
        <v>719.78</v>
      </c>
      <c r="Q26" s="2"/>
      <c r="R26" s="6">
        <f t="shared" si="16"/>
        <v>5.0119732250973284E-2</v>
      </c>
      <c r="S26" s="2"/>
      <c r="T26" s="7">
        <v>730.500925961539</v>
      </c>
      <c r="U26" s="2"/>
      <c r="V26" s="6">
        <f t="shared" si="17"/>
        <v>3.9800638877712707E-2</v>
      </c>
      <c r="W26" s="2"/>
      <c r="X26" s="7">
        <f t="shared" si="18"/>
        <v>-10.720925961539024</v>
      </c>
      <c r="Y26" s="2"/>
      <c r="Z26" s="6">
        <f t="shared" si="19"/>
        <v>-1.4676129188237992E-2</v>
      </c>
    </row>
    <row r="27" spans="1:26" s="24" customFormat="1" hidden="1" outlineLevel="2" x14ac:dyDescent="0.25">
      <c r="A27" s="29"/>
      <c r="B27" s="11" t="str">
        <f>CONCATENATE("          ", "6112", " - ", "COMPENSATION INSURANCE")</f>
        <v xml:space="preserve">          6112 - COMPENSATION INSURANCE</v>
      </c>
      <c r="C27" s="11"/>
      <c r="D27" s="7">
        <v>163.33000000000001</v>
      </c>
      <c r="E27" s="2"/>
      <c r="F27" s="6">
        <f t="shared" si="12"/>
        <v>1.1372997122108793E-2</v>
      </c>
      <c r="G27" s="2"/>
      <c r="H27" s="7">
        <v>181.360480769231</v>
      </c>
      <c r="I27" s="2"/>
      <c r="J27" s="6">
        <f t="shared" si="13"/>
        <v>9.8812509953814433E-3</v>
      </c>
      <c r="K27" s="2"/>
      <c r="L27" s="7">
        <f t="shared" si="14"/>
        <v>-18.030480769230991</v>
      </c>
      <c r="M27" s="2"/>
      <c r="N27" s="6">
        <f t="shared" si="15"/>
        <v>-9.9417914491380086E-2</v>
      </c>
      <c r="O27" s="11"/>
      <c r="P27" s="7">
        <v>163.33000000000001</v>
      </c>
      <c r="Q27" s="2"/>
      <c r="R27" s="6">
        <f t="shared" si="16"/>
        <v>1.1372997122108793E-2</v>
      </c>
      <c r="S27" s="2"/>
      <c r="T27" s="7">
        <v>181.360480769231</v>
      </c>
      <c r="U27" s="2"/>
      <c r="V27" s="6">
        <f t="shared" si="17"/>
        <v>9.8812509953814433E-3</v>
      </c>
      <c r="W27" s="2"/>
      <c r="X27" s="7">
        <f t="shared" si="18"/>
        <v>-18.030480769230991</v>
      </c>
      <c r="Y27" s="2"/>
      <c r="Z27" s="6">
        <f t="shared" si="19"/>
        <v>-9.9417914491380086E-2</v>
      </c>
    </row>
    <row r="28" spans="1:26" s="24" customFormat="1" hidden="1" outlineLevel="2" x14ac:dyDescent="0.25">
      <c r="A28" s="29"/>
      <c r="B28" s="11" t="str">
        <f>CONCATENATE("          ", "6113", " - ", "GROUP INSURANCE")</f>
        <v xml:space="preserve">          6113 - GROUP INSURANCE</v>
      </c>
      <c r="C28" s="11"/>
      <c r="D28" s="7">
        <v>641.14</v>
      </c>
      <c r="E28" s="2"/>
      <c r="F28" s="6">
        <f t="shared" si="12"/>
        <v>4.4643870537371157E-2</v>
      </c>
      <c r="G28" s="2"/>
      <c r="H28" s="7">
        <v>663</v>
      </c>
      <c r="I28" s="2"/>
      <c r="J28" s="6">
        <f t="shared" si="13"/>
        <v>3.6122915985616212E-2</v>
      </c>
      <c r="K28" s="2"/>
      <c r="L28" s="7">
        <f t="shared" si="14"/>
        <v>-21.860000000000014</v>
      </c>
      <c r="M28" s="2"/>
      <c r="N28" s="6">
        <f t="shared" si="15"/>
        <v>-3.2971342383107109E-2</v>
      </c>
      <c r="O28" s="11"/>
      <c r="P28" s="7">
        <v>641.14</v>
      </c>
      <c r="Q28" s="2"/>
      <c r="R28" s="6">
        <f t="shared" si="16"/>
        <v>4.4643870537371157E-2</v>
      </c>
      <c r="S28" s="2"/>
      <c r="T28" s="7">
        <v>663</v>
      </c>
      <c r="U28" s="2"/>
      <c r="V28" s="6">
        <f t="shared" si="17"/>
        <v>3.6122915985616212E-2</v>
      </c>
      <c r="W28" s="2"/>
      <c r="X28" s="7">
        <f t="shared" si="18"/>
        <v>-21.860000000000014</v>
      </c>
      <c r="Y28" s="2"/>
      <c r="Z28" s="6">
        <f t="shared" si="19"/>
        <v>-3.2971342383107109E-2</v>
      </c>
    </row>
    <row r="29" spans="1:26" s="24" customFormat="1" hidden="1" outlineLevel="2" x14ac:dyDescent="0.25">
      <c r="A29" s="29"/>
      <c r="B29" s="11" t="str">
        <f>CONCATENATE("          ", "6114", " - ", "STATE UNEMPLOYMENT INSURANCE")</f>
        <v xml:space="preserve">          6114 - STATE UNEMPLOYMENT INSURANCE</v>
      </c>
      <c r="C29" s="11"/>
      <c r="D29" s="7">
        <v>22.35</v>
      </c>
      <c r="E29" s="2"/>
      <c r="F29" s="6">
        <f t="shared" si="12"/>
        <v>1.5562755505977562E-3</v>
      </c>
      <c r="G29" s="2"/>
      <c r="H29" s="7">
        <v>24.81775</v>
      </c>
      <c r="I29" s="2"/>
      <c r="J29" s="6">
        <f t="shared" si="13"/>
        <v>1.3521711888416694E-3</v>
      </c>
      <c r="K29" s="2"/>
      <c r="L29" s="7">
        <f t="shared" si="14"/>
        <v>-2.4677499999999988</v>
      </c>
      <c r="M29" s="2"/>
      <c r="N29" s="6">
        <f t="shared" si="15"/>
        <v>-9.9434880277220888E-2</v>
      </c>
      <c r="O29" s="11"/>
      <c r="P29" s="7">
        <v>22.35</v>
      </c>
      <c r="Q29" s="2"/>
      <c r="R29" s="6">
        <f t="shared" si="16"/>
        <v>1.5562755505977562E-3</v>
      </c>
      <c r="S29" s="2"/>
      <c r="T29" s="7">
        <v>24.81775</v>
      </c>
      <c r="U29" s="2"/>
      <c r="V29" s="6">
        <f t="shared" si="17"/>
        <v>1.3521711888416694E-3</v>
      </c>
      <c r="W29" s="2"/>
      <c r="X29" s="7">
        <f t="shared" si="18"/>
        <v>-2.4677499999999988</v>
      </c>
      <c r="Y29" s="2"/>
      <c r="Z29" s="6">
        <f t="shared" si="19"/>
        <v>-9.9434880277220888E-2</v>
      </c>
    </row>
    <row r="30" spans="1:26" s="24" customFormat="1" hidden="1" outlineLevel="2" x14ac:dyDescent="0.25">
      <c r="A30" s="29"/>
      <c r="B30" s="11" t="str">
        <f>CONCATENATE("          ", "6115", " - ", "P.E.R.S.")</f>
        <v xml:space="preserve">          6115 - P.E.R.S.</v>
      </c>
      <c r="C30" s="11"/>
      <c r="D30" s="7">
        <v>268.22000000000003</v>
      </c>
      <c r="E30" s="2"/>
      <c r="F30" s="6">
        <f t="shared" si="12"/>
        <v>1.867669924748681E-2</v>
      </c>
      <c r="G30" s="2"/>
      <c r="H30" s="7">
        <v>425.18730769230802</v>
      </c>
      <c r="I30" s="2"/>
      <c r="J30" s="6">
        <f t="shared" si="13"/>
        <v>2.3165920654479026E-2</v>
      </c>
      <c r="K30" s="2"/>
      <c r="L30" s="7">
        <f t="shared" si="14"/>
        <v>-156.967307692308</v>
      </c>
      <c r="M30" s="2"/>
      <c r="N30" s="6">
        <f t="shared" si="15"/>
        <v>-0.36917213861402304</v>
      </c>
      <c r="O30" s="11"/>
      <c r="P30" s="7">
        <v>268.22000000000003</v>
      </c>
      <c r="Q30" s="2"/>
      <c r="R30" s="6">
        <f t="shared" si="16"/>
        <v>1.867669924748681E-2</v>
      </c>
      <c r="S30" s="2"/>
      <c r="T30" s="7">
        <v>425.18730769230802</v>
      </c>
      <c r="U30" s="2"/>
      <c r="V30" s="6">
        <f t="shared" si="17"/>
        <v>2.3165920654479026E-2</v>
      </c>
      <c r="W30" s="2"/>
      <c r="X30" s="7">
        <f t="shared" si="18"/>
        <v>-156.967307692308</v>
      </c>
      <c r="Y30" s="2"/>
      <c r="Z30" s="6">
        <f t="shared" si="19"/>
        <v>-0.36917213861402304</v>
      </c>
    </row>
    <row r="31" spans="1:26" s="24" customFormat="1" hidden="1" outlineLevel="2" x14ac:dyDescent="0.25">
      <c r="A31" s="29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221.28</v>
      </c>
      <c r="E32" s="2"/>
      <c r="F32" s="6">
        <f t="shared" si="12"/>
        <v>1.5408172431153087E-2</v>
      </c>
      <c r="G32" s="2"/>
      <c r="H32" s="7">
        <v>148.321153846154</v>
      </c>
      <c r="I32" s="2"/>
      <c r="J32" s="6">
        <f t="shared" si="13"/>
        <v>8.0811351120275692E-3</v>
      </c>
      <c r="K32" s="2"/>
      <c r="L32" s="7">
        <f t="shared" si="14"/>
        <v>72.958846153845997</v>
      </c>
      <c r="M32" s="2"/>
      <c r="N32" s="6">
        <f t="shared" si="15"/>
        <v>0.49189777898790149</v>
      </c>
      <c r="O32" s="11"/>
      <c r="P32" s="7">
        <v>221.28</v>
      </c>
      <c r="Q32" s="2"/>
      <c r="R32" s="6">
        <f t="shared" si="16"/>
        <v>1.5408172431153087E-2</v>
      </c>
      <c r="S32" s="2"/>
      <c r="T32" s="7">
        <v>148.321153846154</v>
      </c>
      <c r="U32" s="2"/>
      <c r="V32" s="6">
        <f t="shared" si="17"/>
        <v>8.0811351120275692E-3</v>
      </c>
      <c r="W32" s="2"/>
      <c r="X32" s="7">
        <f t="shared" si="18"/>
        <v>72.958846153845997</v>
      </c>
      <c r="Y32" s="2"/>
      <c r="Z32" s="6">
        <f t="shared" si="19"/>
        <v>0.49189777898790149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177.12</v>
      </c>
      <c r="E33" s="2"/>
      <c r="F33" s="6">
        <f t="shared" si="12"/>
        <v>1.2333222618428393E-2</v>
      </c>
      <c r="G33" s="2"/>
      <c r="H33" s="7">
        <v>236.918269230769</v>
      </c>
      <c r="I33" s="2"/>
      <c r="J33" s="6">
        <f t="shared" si="13"/>
        <v>1.2908263551856217E-2</v>
      </c>
      <c r="K33" s="2"/>
      <c r="L33" s="7">
        <f t="shared" si="14"/>
        <v>-59.798269230768994</v>
      </c>
      <c r="M33" s="2"/>
      <c r="N33" s="6">
        <f t="shared" si="15"/>
        <v>-0.25240041396943858</v>
      </c>
      <c r="O33" s="11"/>
      <c r="P33" s="7">
        <v>177.12</v>
      </c>
      <c r="Q33" s="2"/>
      <c r="R33" s="6">
        <f t="shared" si="16"/>
        <v>1.2333222618428393E-2</v>
      </c>
      <c r="S33" s="2"/>
      <c r="T33" s="7">
        <v>236.918269230769</v>
      </c>
      <c r="U33" s="2"/>
      <c r="V33" s="6">
        <f t="shared" si="17"/>
        <v>1.2908263551856217E-2</v>
      </c>
      <c r="W33" s="2"/>
      <c r="X33" s="7">
        <f t="shared" si="18"/>
        <v>-59.798269230768994</v>
      </c>
      <c r="Y33" s="2"/>
      <c r="Z33" s="6">
        <f t="shared" si="19"/>
        <v>-0.25240041396943858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118.94</v>
      </c>
      <c r="E34" s="2"/>
      <c r="F34" s="6">
        <f t="shared" si="12"/>
        <v>8.2820319457761575E-3</v>
      </c>
      <c r="G34" s="2"/>
      <c r="H34" s="7"/>
      <c r="I34" s="2"/>
      <c r="J34" s="6">
        <f t="shared" si="13"/>
        <v>0</v>
      </c>
      <c r="K34" s="2"/>
      <c r="L34" s="7">
        <f t="shared" si="14"/>
        <v>118.94</v>
      </c>
      <c r="M34" s="2"/>
      <c r="N34" s="6">
        <f t="shared" si="15"/>
        <v>0</v>
      </c>
      <c r="O34" s="11"/>
      <c r="P34" s="7">
        <v>118.94</v>
      </c>
      <c r="Q34" s="2"/>
      <c r="R34" s="6">
        <f t="shared" si="16"/>
        <v>8.2820319457761575E-3</v>
      </c>
      <c r="S34" s="2"/>
      <c r="T34" s="7"/>
      <c r="U34" s="2"/>
      <c r="V34" s="6">
        <f t="shared" si="17"/>
        <v>0</v>
      </c>
      <c r="W34" s="2"/>
      <c r="X34" s="7">
        <f t="shared" si="18"/>
        <v>118.94</v>
      </c>
      <c r="Y34" s="2"/>
      <c r="Z34" s="6">
        <f t="shared" si="19"/>
        <v>0</v>
      </c>
    </row>
    <row r="35" spans="1:26" s="27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11487.5</v>
      </c>
      <c r="E35" s="1"/>
      <c r="F35" s="5">
        <f t="shared" ref="F35:F45" si="20">IF(D$12=0,0,D35/D$12)</f>
        <v>0.79989778020097202</v>
      </c>
      <c r="G35" s="1"/>
      <c r="H35" s="1">
        <f>SUM(OSRRefH22_1x_0)</f>
        <v>9298.086538461539</v>
      </c>
      <c r="I35" s="1"/>
      <c r="J35" s="5">
        <f t="shared" ref="J35:J45" si="21">IF(H$12=0,0,H35/H$12)</f>
        <v>0.50659728334213461</v>
      </c>
      <c r="K35" s="1"/>
      <c r="L35" s="1">
        <f t="shared" ref="L35:L45" si="22">+D35-H35</f>
        <v>2189.413461538461</v>
      </c>
      <c r="M35" s="1"/>
      <c r="N35" s="5">
        <f t="shared" ref="N35:N45" si="23">IF(H35=0,0,L35/H35)</f>
        <v>0.235469249773268</v>
      </c>
      <c r="O35" s="14"/>
      <c r="P35" s="1">
        <f>SUM(OSRRefP22_1x_0)</f>
        <v>11487.5</v>
      </c>
      <c r="Q35" s="1"/>
      <c r="R35" s="5">
        <f t="shared" ref="R35:R45" si="24">IF(P$12=0,0,P35/P$12)</f>
        <v>0.79989778020097202</v>
      </c>
      <c r="S35" s="1"/>
      <c r="T35" s="1">
        <f>SUM(OSRRefT22_1x_0)</f>
        <v>9298.086538461539</v>
      </c>
      <c r="U35" s="1"/>
      <c r="V35" s="5">
        <f t="shared" ref="V35:V45" si="25">IF(T$12=0,0,T35/T$12)</f>
        <v>0.50659728334213461</v>
      </c>
      <c r="W35" s="1"/>
      <c r="X35" s="1">
        <f t="shared" ref="X35:X45" si="26">+P35-T35</f>
        <v>2189.413461538461</v>
      </c>
      <c r="Y35" s="1"/>
      <c r="Z35" s="5">
        <f t="shared" ref="Z35:Z45" si="27">IF(T35=0,0,X35/T35)</f>
        <v>0.235469249773268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4696.8365384615399</v>
      </c>
      <c r="I36" s="2"/>
      <c r="J36" s="6">
        <f t="shared" si="21"/>
        <v>0.25590261188087282</v>
      </c>
      <c r="K36" s="2"/>
      <c r="L36" s="7">
        <f t="shared" si="22"/>
        <v>-4696.8365384615399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4696.8365384615399</v>
      </c>
      <c r="U36" s="2"/>
      <c r="V36" s="6">
        <f t="shared" si="25"/>
        <v>0.25590261188087282</v>
      </c>
      <c r="W36" s="2"/>
      <c r="X36" s="7">
        <f t="shared" si="26"/>
        <v>-4696.8365384615399</v>
      </c>
      <c r="Y36" s="2"/>
      <c r="Z36" s="6">
        <f t="shared" si="27"/>
        <v>-1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4224</v>
      </c>
      <c r="E37" s="2"/>
      <c r="F37" s="6">
        <f t="shared" si="20"/>
        <v>0.29412563426062288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4224</v>
      </c>
      <c r="M37" s="2"/>
      <c r="N37" s="6">
        <f t="shared" si="23"/>
        <v>0</v>
      </c>
      <c r="O37" s="11"/>
      <c r="P37" s="7">
        <v>4224</v>
      </c>
      <c r="Q37" s="2"/>
      <c r="R37" s="6">
        <f t="shared" si="24"/>
        <v>0.29412563426062288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4224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>
        <v>812</v>
      </c>
      <c r="E40" s="2"/>
      <c r="F40" s="6">
        <f t="shared" si="20"/>
        <v>5.6541196737600802E-2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812</v>
      </c>
      <c r="M40" s="2"/>
      <c r="N40" s="6">
        <f t="shared" si="23"/>
        <v>0</v>
      </c>
      <c r="O40" s="11"/>
      <c r="P40" s="7">
        <v>812</v>
      </c>
      <c r="Q40" s="2"/>
      <c r="R40" s="6">
        <f t="shared" si="24"/>
        <v>5.6541196737600802E-2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812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6451.5</v>
      </c>
      <c r="E42" s="2"/>
      <c r="F42" s="6">
        <f t="shared" si="20"/>
        <v>0.44923094920274825</v>
      </c>
      <c r="G42" s="2"/>
      <c r="H42" s="7">
        <v>4601.25</v>
      </c>
      <c r="I42" s="2"/>
      <c r="J42" s="6">
        <f t="shared" si="21"/>
        <v>0.25069467146126184</v>
      </c>
      <c r="K42" s="2"/>
      <c r="L42" s="7">
        <f t="shared" si="22"/>
        <v>1850.25</v>
      </c>
      <c r="M42" s="2"/>
      <c r="N42" s="6">
        <f t="shared" si="23"/>
        <v>0.40211898940505297</v>
      </c>
      <c r="O42" s="11"/>
      <c r="P42" s="7">
        <v>6451.5</v>
      </c>
      <c r="Q42" s="2"/>
      <c r="R42" s="6">
        <f t="shared" si="24"/>
        <v>0.44923094920274825</v>
      </c>
      <c r="S42" s="2"/>
      <c r="T42" s="7">
        <v>4601.25</v>
      </c>
      <c r="U42" s="2"/>
      <c r="V42" s="6">
        <f t="shared" si="25"/>
        <v>0.25069467146126184</v>
      </c>
      <c r="W42" s="2"/>
      <c r="X42" s="7">
        <f t="shared" si="26"/>
        <v>1850.25</v>
      </c>
      <c r="Y42" s="2"/>
      <c r="Z42" s="6">
        <f t="shared" si="27"/>
        <v>0.40211898940505297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64" si="28">IF(D$12=0,0,D46/D$12)</f>
        <v>0</v>
      </c>
      <c r="G46" s="1"/>
      <c r="H46" s="1">
        <f>SUM(OSRRefH22_2x_0)</f>
        <v>0</v>
      </c>
      <c r="I46" s="1"/>
      <c r="J46" s="5">
        <f t="shared" ref="J46:J64" si="29">IF(H$12=0,0,H46/H$12)</f>
        <v>0</v>
      </c>
      <c r="K46" s="1"/>
      <c r="L46" s="1">
        <f t="shared" ref="L46:L64" si="30">+D46-H46</f>
        <v>0</v>
      </c>
      <c r="M46" s="1"/>
      <c r="N46" s="5">
        <f t="shared" ref="N46:N64" si="31">IF(H46=0,0,L46/H46)</f>
        <v>0</v>
      </c>
      <c r="O46" s="14"/>
      <c r="P46" s="1">
        <f>SUM(OSRRefP22_2x_0)</f>
        <v>0</v>
      </c>
      <c r="Q46" s="1"/>
      <c r="R46" s="5">
        <f t="shared" ref="R46:R64" si="32">IF(P$12=0,0,P46/P$12)</f>
        <v>0</v>
      </c>
      <c r="S46" s="1"/>
      <c r="T46" s="1">
        <f>SUM(OSRRefT22_2x_0)</f>
        <v>0</v>
      </c>
      <c r="U46" s="1"/>
      <c r="V46" s="5">
        <f t="shared" ref="V46:V64" si="33">IF(T$12=0,0,T46/T$12)</f>
        <v>0</v>
      </c>
      <c r="W46" s="1"/>
      <c r="X46" s="1">
        <f t="shared" ref="X46:X64" si="34">+P46-T46</f>
        <v>0</v>
      </c>
      <c r="Y46" s="1"/>
      <c r="Z46" s="5">
        <f t="shared" ref="Z46:Z64" si="35">IF(T46=0,0,X46/T46)</f>
        <v>0</v>
      </c>
    </row>
    <row r="47" spans="1:26" s="24" customFormat="1" hidden="1" outlineLevel="2" x14ac:dyDescent="0.25">
      <c r="A47" s="29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8"/>
        <v>0</v>
      </c>
      <c r="G47" s="2"/>
      <c r="H47" s="7">
        <v>0</v>
      </c>
      <c r="I47" s="2"/>
      <c r="J47" s="6">
        <f t="shared" si="29"/>
        <v>0</v>
      </c>
      <c r="K47" s="2"/>
      <c r="L47" s="7">
        <f t="shared" si="30"/>
        <v>0</v>
      </c>
      <c r="M47" s="2"/>
      <c r="N47" s="6">
        <f t="shared" si="31"/>
        <v>0</v>
      </c>
      <c r="O47" s="11"/>
      <c r="P47" s="7"/>
      <c r="Q47" s="2"/>
      <c r="R47" s="6">
        <f t="shared" si="32"/>
        <v>0</v>
      </c>
      <c r="S47" s="2"/>
      <c r="T47" s="7">
        <v>0</v>
      </c>
      <c r="U47" s="2"/>
      <c r="V47" s="6">
        <f t="shared" si="33"/>
        <v>0</v>
      </c>
      <c r="W47" s="2"/>
      <c r="X47" s="7">
        <f t="shared" si="34"/>
        <v>0</v>
      </c>
      <c r="Y47" s="2"/>
      <c r="Z47" s="6">
        <f t="shared" si="35"/>
        <v>0</v>
      </c>
    </row>
    <row r="48" spans="1:26" s="27" customFormat="1" outlineLevel="1" collapsed="1" x14ac:dyDescent="0.25">
      <c r="A48" s="28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-11.34</v>
      </c>
      <c r="E48" s="1"/>
      <c r="F48" s="5">
        <f t="shared" si="28"/>
        <v>-7.8962705788718365E-4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-11.34</v>
      </c>
      <c r="M48" s="1"/>
      <c r="N48" s="5">
        <f t="shared" si="31"/>
        <v>0</v>
      </c>
      <c r="O48" s="14"/>
      <c r="P48" s="1">
        <f>SUM(OSRRefP22_3x_0)</f>
        <v>-11.34</v>
      </c>
      <c r="Q48" s="1"/>
      <c r="R48" s="5">
        <f t="shared" si="32"/>
        <v>-7.8962705788718365E-4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-11.34</v>
      </c>
      <c r="Y48" s="1"/>
      <c r="Z48" s="5">
        <f t="shared" si="35"/>
        <v>0</v>
      </c>
    </row>
    <row r="49" spans="1:26" s="24" customFormat="1" hidden="1" outlineLevel="2" x14ac:dyDescent="0.25">
      <c r="A49" s="29"/>
      <c r="B49" s="11" t="str">
        <f>CONCATENATE("          ", "6272", " - ", "CASH (OVER/SHORT)")</f>
        <v xml:space="preserve">          6272 - CASH (OVER/SHORT)</v>
      </c>
      <c r="C49" s="11"/>
      <c r="D49" s="7">
        <v>-11.34</v>
      </c>
      <c r="E49" s="2"/>
      <c r="F49" s="6">
        <f t="shared" si="28"/>
        <v>-7.8962705788718365E-4</v>
      </c>
      <c r="G49" s="2"/>
      <c r="H49" s="7">
        <v>0</v>
      </c>
      <c r="I49" s="2"/>
      <c r="J49" s="6">
        <f t="shared" si="29"/>
        <v>0</v>
      </c>
      <c r="K49" s="2"/>
      <c r="L49" s="7">
        <f t="shared" si="30"/>
        <v>-11.34</v>
      </c>
      <c r="M49" s="2"/>
      <c r="N49" s="6">
        <f t="shared" si="31"/>
        <v>0</v>
      </c>
      <c r="O49" s="11"/>
      <c r="P49" s="7">
        <v>-11.34</v>
      </c>
      <c r="Q49" s="2"/>
      <c r="R49" s="6">
        <f t="shared" si="32"/>
        <v>-7.8962705788718365E-4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-11.34</v>
      </c>
      <c r="Y49" s="2"/>
      <c r="Z49" s="6">
        <f t="shared" si="35"/>
        <v>0</v>
      </c>
    </row>
    <row r="50" spans="1:26" s="27" customFormat="1" outlineLevel="1" collapsed="1" x14ac:dyDescent="0.25">
      <c r="A50" s="28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359.26</v>
      </c>
      <c r="E50" s="1"/>
      <c r="F50" s="5">
        <f t="shared" si="28"/>
        <v>2.5015997955604021E-2</v>
      </c>
      <c r="G50" s="1"/>
      <c r="H50" s="1">
        <f>SUM(OSRRefH22_4x_0)</f>
        <v>557</v>
      </c>
      <c r="I50" s="1"/>
      <c r="J50" s="5">
        <f t="shared" si="29"/>
        <v>3.0347608150811813E-2</v>
      </c>
      <c r="K50" s="1"/>
      <c r="L50" s="1">
        <f t="shared" si="30"/>
        <v>-197.74</v>
      </c>
      <c r="M50" s="1"/>
      <c r="N50" s="5">
        <f t="shared" si="31"/>
        <v>-0.35500897666068226</v>
      </c>
      <c r="O50" s="14"/>
      <c r="P50" s="1">
        <f>SUM(OSRRefP22_4x_0)</f>
        <v>359.26</v>
      </c>
      <c r="Q50" s="1"/>
      <c r="R50" s="5">
        <f t="shared" si="32"/>
        <v>2.5015997955604021E-2</v>
      </c>
      <c r="S50" s="1"/>
      <c r="T50" s="1">
        <f>SUM(OSRRefT22_4x_0)</f>
        <v>557</v>
      </c>
      <c r="U50" s="1"/>
      <c r="V50" s="5">
        <f t="shared" si="33"/>
        <v>3.0347608150811813E-2</v>
      </c>
      <c r="W50" s="1"/>
      <c r="X50" s="1">
        <f t="shared" si="34"/>
        <v>-197.74</v>
      </c>
      <c r="Y50" s="1"/>
      <c r="Z50" s="5">
        <f t="shared" si="35"/>
        <v>-0.35500897666068226</v>
      </c>
    </row>
    <row r="51" spans="1:26" s="24" customFormat="1" hidden="1" outlineLevel="2" x14ac:dyDescent="0.25">
      <c r="A51" s="29"/>
      <c r="B51" s="11" t="str">
        <f>CONCATENATE("          ", "6381", " - ", "BANK/CREDIT CARD FEES")</f>
        <v xml:space="preserve">          6381 - BANK/CREDIT CARD FEES</v>
      </c>
      <c r="C51" s="11"/>
      <c r="D51" s="7">
        <v>359.26</v>
      </c>
      <c r="E51" s="2"/>
      <c r="F51" s="6">
        <f t="shared" si="28"/>
        <v>2.5015997955604021E-2</v>
      </c>
      <c r="G51" s="2"/>
      <c r="H51" s="7">
        <v>557</v>
      </c>
      <c r="I51" s="2"/>
      <c r="J51" s="6">
        <f t="shared" si="29"/>
        <v>3.0347608150811813E-2</v>
      </c>
      <c r="K51" s="2"/>
      <c r="L51" s="7">
        <f t="shared" si="30"/>
        <v>-197.74</v>
      </c>
      <c r="M51" s="2"/>
      <c r="N51" s="6">
        <f t="shared" si="31"/>
        <v>-0.35500897666068226</v>
      </c>
      <c r="O51" s="11"/>
      <c r="P51" s="7">
        <v>359.26</v>
      </c>
      <c r="Q51" s="2"/>
      <c r="R51" s="6">
        <f t="shared" si="32"/>
        <v>2.5015997955604021E-2</v>
      </c>
      <c r="S51" s="2"/>
      <c r="T51" s="7">
        <v>557</v>
      </c>
      <c r="U51" s="2"/>
      <c r="V51" s="6">
        <f t="shared" si="33"/>
        <v>3.0347608150811813E-2</v>
      </c>
      <c r="W51" s="2"/>
      <c r="X51" s="7">
        <f t="shared" si="34"/>
        <v>-197.74</v>
      </c>
      <c r="Y51" s="2"/>
      <c r="Z51" s="6">
        <f t="shared" si="35"/>
        <v>-0.35500897666068226</v>
      </c>
    </row>
    <row r="52" spans="1:26" s="27" customFormat="1" outlineLevel="1" collapsed="1" x14ac:dyDescent="0.25">
      <c r="A52" s="28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1857.58</v>
      </c>
      <c r="E52" s="1"/>
      <c r="F52" s="5">
        <f t="shared" si="28"/>
        <v>0.12934703969930111</v>
      </c>
      <c r="G52" s="1"/>
      <c r="H52" s="1">
        <f>SUM(OSRRefH22_5x_0)</f>
        <v>1858</v>
      </c>
      <c r="I52" s="1"/>
      <c r="J52" s="5">
        <f t="shared" si="29"/>
        <v>0.10123133921760924</v>
      </c>
      <c r="K52" s="1"/>
      <c r="L52" s="1">
        <f t="shared" si="30"/>
        <v>-0.42000000000007276</v>
      </c>
      <c r="M52" s="1"/>
      <c r="N52" s="5">
        <f t="shared" si="31"/>
        <v>-2.2604951560822E-4</v>
      </c>
      <c r="O52" s="14"/>
      <c r="P52" s="1">
        <f>SUM(OSRRefP22_5x_0)</f>
        <v>1857.58</v>
      </c>
      <c r="Q52" s="1"/>
      <c r="R52" s="5">
        <f t="shared" si="32"/>
        <v>0.12934703969930111</v>
      </c>
      <c r="S52" s="1"/>
      <c r="T52" s="1">
        <f>SUM(OSRRefT22_5x_0)</f>
        <v>1858</v>
      </c>
      <c r="U52" s="1"/>
      <c r="V52" s="5">
        <f t="shared" si="33"/>
        <v>0.10123133921760924</v>
      </c>
      <c r="W52" s="1"/>
      <c r="X52" s="1">
        <f t="shared" si="34"/>
        <v>-0.42000000000007276</v>
      </c>
      <c r="Y52" s="1"/>
      <c r="Z52" s="5">
        <f t="shared" si="35"/>
        <v>-2.2604951560822E-4</v>
      </c>
    </row>
    <row r="53" spans="1:26" s="24" customFormat="1" hidden="1" outlineLevel="2" x14ac:dyDescent="0.25">
      <c r="A53" s="29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1857.58</v>
      </c>
      <c r="E53" s="2"/>
      <c r="F53" s="6">
        <f t="shared" si="28"/>
        <v>0.12934703969930111</v>
      </c>
      <c r="G53" s="2"/>
      <c r="H53" s="7">
        <v>1858</v>
      </c>
      <c r="I53" s="2"/>
      <c r="J53" s="6">
        <f t="shared" si="29"/>
        <v>0.10123133921760924</v>
      </c>
      <c r="K53" s="2"/>
      <c r="L53" s="7">
        <f t="shared" si="30"/>
        <v>-0.42000000000007276</v>
      </c>
      <c r="M53" s="2"/>
      <c r="N53" s="6">
        <f t="shared" si="31"/>
        <v>-2.2604951560822E-4</v>
      </c>
      <c r="O53" s="11"/>
      <c r="P53" s="7">
        <v>1857.58</v>
      </c>
      <c r="Q53" s="2"/>
      <c r="R53" s="6">
        <f t="shared" si="32"/>
        <v>0.12934703969930111</v>
      </c>
      <c r="S53" s="2"/>
      <c r="T53" s="7">
        <v>1858</v>
      </c>
      <c r="U53" s="2"/>
      <c r="V53" s="6">
        <f t="shared" si="33"/>
        <v>0.10123133921760924</v>
      </c>
      <c r="W53" s="2"/>
      <c r="X53" s="7">
        <f t="shared" si="34"/>
        <v>-0.42000000000007276</v>
      </c>
      <c r="Y53" s="2"/>
      <c r="Z53" s="6">
        <f t="shared" si="35"/>
        <v>-2.2604951560822E-4</v>
      </c>
    </row>
    <row r="54" spans="1:26" s="27" customFormat="1" outlineLevel="1" collapsed="1" x14ac:dyDescent="0.25">
      <c r="A54" s="28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SUM(OSRRefD22_6x_0)</f>
        <v>0</v>
      </c>
      <c r="E54" s="1"/>
      <c r="F54" s="5">
        <f t="shared" si="28"/>
        <v>0</v>
      </c>
      <c r="G54" s="1"/>
      <c r="H54" s="1">
        <f>SUM(OSRRefH22_6x_0)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SUM(OSRRefP22_6x_0)</f>
        <v>0</v>
      </c>
      <c r="Q54" s="1"/>
      <c r="R54" s="5">
        <f t="shared" si="32"/>
        <v>0</v>
      </c>
      <c r="S54" s="1"/>
      <c r="T54" s="1">
        <f>SUM(OSRRefT22_6x_0)</f>
        <v>0</v>
      </c>
      <c r="U54" s="1"/>
      <c r="V54" s="5">
        <f t="shared" si="33"/>
        <v>0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9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0</v>
      </c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/>
      <c r="Q55" s="2"/>
      <c r="R55" s="6">
        <f t="shared" si="32"/>
        <v>0</v>
      </c>
      <c r="S55" s="2"/>
      <c r="T55" s="7">
        <v>0</v>
      </c>
      <c r="U55" s="2"/>
      <c r="V55" s="6">
        <f t="shared" si="33"/>
        <v>0</v>
      </c>
      <c r="W55" s="2"/>
      <c r="X55" s="7">
        <f t="shared" si="34"/>
        <v>0</v>
      </c>
      <c r="Y55" s="2"/>
      <c r="Z55" s="6">
        <f t="shared" si="35"/>
        <v>0</v>
      </c>
    </row>
    <row r="56" spans="1:26" s="27" customFormat="1" outlineLevel="1" collapsed="1" x14ac:dyDescent="0.25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SUM(OSRRefD22_7x_0)</f>
        <v>744.8</v>
      </c>
      <c r="E56" s="1"/>
      <c r="F56" s="5">
        <f t="shared" si="28"/>
        <v>5.1861925283454527E-2</v>
      </c>
      <c r="G56" s="1"/>
      <c r="H56" s="1">
        <f>SUM(OSRRefH22_7x_0)</f>
        <v>51</v>
      </c>
      <c r="I56" s="1"/>
      <c r="J56" s="5">
        <f t="shared" si="29"/>
        <v>2.7786858450474009E-3</v>
      </c>
      <c r="K56" s="1"/>
      <c r="L56" s="1">
        <f t="shared" si="30"/>
        <v>693.8</v>
      </c>
      <c r="M56" s="1"/>
      <c r="N56" s="5">
        <f t="shared" si="31"/>
        <v>13.603921568627451</v>
      </c>
      <c r="O56" s="14"/>
      <c r="P56" s="1">
        <f>SUM(OSRRefP22_7x_0)</f>
        <v>744.8</v>
      </c>
      <c r="Q56" s="1"/>
      <c r="R56" s="5">
        <f t="shared" si="32"/>
        <v>5.1861925283454527E-2</v>
      </c>
      <c r="S56" s="1"/>
      <c r="T56" s="1">
        <f>SUM(OSRRefT22_7x_0)</f>
        <v>51</v>
      </c>
      <c r="U56" s="1"/>
      <c r="V56" s="5">
        <f t="shared" si="33"/>
        <v>2.7786858450474009E-3</v>
      </c>
      <c r="W56" s="1"/>
      <c r="X56" s="1">
        <f t="shared" si="34"/>
        <v>693.8</v>
      </c>
      <c r="Y56" s="1"/>
      <c r="Z56" s="5">
        <f t="shared" si="35"/>
        <v>13.603921568627451</v>
      </c>
    </row>
    <row r="57" spans="1:26" s="24" customFormat="1" hidden="1" outlineLevel="2" x14ac:dyDescent="0.25">
      <c r="A57" s="29"/>
      <c r="B57" s="11" t="str">
        <f>CONCATENATE("          ", "6279", " - ", "GENERAL EXPENSE")</f>
        <v xml:space="preserve">          6279 - GENERAL EXPENSE</v>
      </c>
      <c r="C57" s="11"/>
      <c r="D57" s="7">
        <v>744.8</v>
      </c>
      <c r="E57" s="2"/>
      <c r="F57" s="6">
        <f t="shared" si="28"/>
        <v>5.1861925283454527E-2</v>
      </c>
      <c r="G57" s="2"/>
      <c r="H57" s="7">
        <v>51</v>
      </c>
      <c r="I57" s="2"/>
      <c r="J57" s="6">
        <f t="shared" si="29"/>
        <v>2.7786858450474009E-3</v>
      </c>
      <c r="K57" s="2"/>
      <c r="L57" s="7">
        <f t="shared" si="30"/>
        <v>693.8</v>
      </c>
      <c r="M57" s="2"/>
      <c r="N57" s="6">
        <f t="shared" si="31"/>
        <v>13.603921568627451</v>
      </c>
      <c r="O57" s="11"/>
      <c r="P57" s="7">
        <v>744.8</v>
      </c>
      <c r="Q57" s="2"/>
      <c r="R57" s="6">
        <f t="shared" si="32"/>
        <v>5.1861925283454527E-2</v>
      </c>
      <c r="S57" s="2"/>
      <c r="T57" s="7">
        <v>51</v>
      </c>
      <c r="U57" s="2"/>
      <c r="V57" s="6">
        <f t="shared" si="33"/>
        <v>2.7786858450474009E-3</v>
      </c>
      <c r="W57" s="2"/>
      <c r="X57" s="7">
        <f t="shared" si="34"/>
        <v>693.8</v>
      </c>
      <c r="Y57" s="2"/>
      <c r="Z57" s="6">
        <f t="shared" si="35"/>
        <v>13.603921568627451</v>
      </c>
    </row>
    <row r="58" spans="1:26" s="27" customFormat="1" outlineLevel="1" collapsed="1" x14ac:dyDescent="0.25">
      <c r="A58" s="28"/>
      <c r="B58" s="14" t="str">
        <f>CONCATENATE("     ","Rent                                              ")</f>
        <v xml:space="preserve">     Rent                                              </v>
      </c>
      <c r="C58" s="14"/>
      <c r="D58" s="1">
        <f>SUM(OSRRefD22_8x_0)</f>
        <v>1150</v>
      </c>
      <c r="E58" s="1"/>
      <c r="F58" s="5">
        <f t="shared" si="28"/>
        <v>8.0076818039705566E-2</v>
      </c>
      <c r="G58" s="1"/>
      <c r="H58" s="1">
        <f>SUM(OSRRefH22_8x_0)</f>
        <v>1150</v>
      </c>
      <c r="I58" s="1"/>
      <c r="J58" s="5">
        <f t="shared" si="29"/>
        <v>6.2656641604010022E-2</v>
      </c>
      <c r="K58" s="1"/>
      <c r="L58" s="1">
        <f t="shared" si="30"/>
        <v>0</v>
      </c>
      <c r="M58" s="1"/>
      <c r="N58" s="5">
        <f t="shared" si="31"/>
        <v>0</v>
      </c>
      <c r="O58" s="14"/>
      <c r="P58" s="1">
        <f>SUM(OSRRefP22_8x_0)</f>
        <v>1150</v>
      </c>
      <c r="Q58" s="1"/>
      <c r="R58" s="5">
        <f t="shared" si="32"/>
        <v>8.0076818039705566E-2</v>
      </c>
      <c r="S58" s="1"/>
      <c r="T58" s="1">
        <f>SUM(OSRRefT22_8x_0)</f>
        <v>1150</v>
      </c>
      <c r="U58" s="1"/>
      <c r="V58" s="5">
        <f t="shared" si="33"/>
        <v>6.2656641604010022E-2</v>
      </c>
      <c r="W58" s="1"/>
      <c r="X58" s="1">
        <f t="shared" si="34"/>
        <v>0</v>
      </c>
      <c r="Y58" s="1"/>
      <c r="Z58" s="5">
        <f t="shared" si="35"/>
        <v>0</v>
      </c>
    </row>
    <row r="59" spans="1:26" s="24" customFormat="1" hidden="1" outlineLevel="2" x14ac:dyDescent="0.25">
      <c r="A59" s="29"/>
      <c r="B59" s="11" t="str">
        <f>CONCATENATE("          ", "6273", " - ", "RENT")</f>
        <v xml:space="preserve">          6273 - RENT</v>
      </c>
      <c r="C59" s="11"/>
      <c r="D59" s="7">
        <v>1150</v>
      </c>
      <c r="E59" s="2"/>
      <c r="F59" s="6">
        <f t="shared" si="28"/>
        <v>8.0076818039705566E-2</v>
      </c>
      <c r="G59" s="2"/>
      <c r="H59" s="7">
        <v>1150</v>
      </c>
      <c r="I59" s="2"/>
      <c r="J59" s="6">
        <f t="shared" si="29"/>
        <v>6.2656641604010022E-2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1150</v>
      </c>
      <c r="Q59" s="2"/>
      <c r="R59" s="6">
        <f t="shared" si="32"/>
        <v>8.0076818039705566E-2</v>
      </c>
      <c r="S59" s="2"/>
      <c r="T59" s="7">
        <v>1150</v>
      </c>
      <c r="U59" s="2"/>
      <c r="V59" s="6">
        <f t="shared" si="33"/>
        <v>6.2656641604010022E-2</v>
      </c>
      <c r="W59" s="2"/>
      <c r="X59" s="7">
        <f t="shared" si="34"/>
        <v>0</v>
      </c>
      <c r="Y59" s="2"/>
      <c r="Z59" s="6">
        <f t="shared" si="35"/>
        <v>0</v>
      </c>
    </row>
    <row r="60" spans="1:26" s="27" customFormat="1" outlineLevel="1" collapsed="1" x14ac:dyDescent="0.25">
      <c r="A60" s="28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SUM(OSRRefD22_9x_0)</f>
        <v>640.13</v>
      </c>
      <c r="E60" s="1"/>
      <c r="F60" s="5">
        <f t="shared" si="28"/>
        <v>4.4573542201527587E-2</v>
      </c>
      <c r="G60" s="1"/>
      <c r="H60" s="1">
        <f>SUM(OSRRefH22_9x_0)</f>
        <v>84</v>
      </c>
      <c r="I60" s="1"/>
      <c r="J60" s="5">
        <f t="shared" si="29"/>
        <v>4.5766590389016018E-3</v>
      </c>
      <c r="K60" s="1"/>
      <c r="L60" s="1">
        <f t="shared" si="30"/>
        <v>556.13</v>
      </c>
      <c r="M60" s="1"/>
      <c r="N60" s="5">
        <f t="shared" si="31"/>
        <v>6.6205952380952384</v>
      </c>
      <c r="O60" s="14"/>
      <c r="P60" s="1">
        <f>SUM(OSRRefP22_9x_0)</f>
        <v>640.13</v>
      </c>
      <c r="Q60" s="1"/>
      <c r="R60" s="5">
        <f t="shared" si="32"/>
        <v>4.4573542201527587E-2</v>
      </c>
      <c r="S60" s="1"/>
      <c r="T60" s="1">
        <f>SUM(OSRRefT22_9x_0)</f>
        <v>84</v>
      </c>
      <c r="U60" s="1"/>
      <c r="V60" s="5">
        <f t="shared" si="33"/>
        <v>4.5766590389016018E-3</v>
      </c>
      <c r="W60" s="1"/>
      <c r="X60" s="1">
        <f t="shared" si="34"/>
        <v>556.13</v>
      </c>
      <c r="Y60" s="1"/>
      <c r="Z60" s="5">
        <f t="shared" si="35"/>
        <v>6.6205952380952384</v>
      </c>
    </row>
    <row r="61" spans="1:26" s="24" customFormat="1" hidden="1" outlineLevel="2" x14ac:dyDescent="0.25">
      <c r="A61" s="29"/>
      <c r="B61" s="11" t="str">
        <f>CONCATENATE("          ", "6375", " - ", "OUTSIDE REPAIRS &amp; MAINTENANCE")</f>
        <v xml:space="preserve">          6375 - OUTSIDE REPAIRS &amp; MAINTENANCE</v>
      </c>
      <c r="C61" s="11"/>
      <c r="D61" s="7">
        <v>640.13</v>
      </c>
      <c r="E61" s="2"/>
      <c r="F61" s="6">
        <f t="shared" si="28"/>
        <v>4.4573542201527587E-2</v>
      </c>
      <c r="G61" s="2"/>
      <c r="H61" s="7">
        <v>84</v>
      </c>
      <c r="I61" s="2"/>
      <c r="J61" s="6">
        <f t="shared" si="29"/>
        <v>4.5766590389016018E-3</v>
      </c>
      <c r="K61" s="2"/>
      <c r="L61" s="7">
        <f t="shared" si="30"/>
        <v>556.13</v>
      </c>
      <c r="M61" s="2"/>
      <c r="N61" s="6">
        <f t="shared" si="31"/>
        <v>6.6205952380952384</v>
      </c>
      <c r="O61" s="11"/>
      <c r="P61" s="7">
        <v>640.13</v>
      </c>
      <c r="Q61" s="2"/>
      <c r="R61" s="6">
        <f t="shared" si="32"/>
        <v>4.4573542201527587E-2</v>
      </c>
      <c r="S61" s="2"/>
      <c r="T61" s="7">
        <v>84</v>
      </c>
      <c r="U61" s="2"/>
      <c r="V61" s="6">
        <f t="shared" si="33"/>
        <v>4.5766590389016018E-3</v>
      </c>
      <c r="W61" s="2"/>
      <c r="X61" s="7">
        <f t="shared" si="34"/>
        <v>556.13</v>
      </c>
      <c r="Y61" s="2"/>
      <c r="Z61" s="6">
        <f t="shared" si="35"/>
        <v>6.6205952380952384</v>
      </c>
    </row>
    <row r="62" spans="1:26" s="27" customFormat="1" outlineLevel="1" collapsed="1" x14ac:dyDescent="0.25">
      <c r="A62" s="28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SUM(OSRRefD22_10x_0)</f>
        <v>414.45</v>
      </c>
      <c r="E62" s="1"/>
      <c r="F62" s="5">
        <f t="shared" si="28"/>
        <v>2.8858988901353022E-2</v>
      </c>
      <c r="G62" s="1"/>
      <c r="H62" s="1">
        <f>SUM(OSRRefH22_10x_0)</f>
        <v>0</v>
      </c>
      <c r="I62" s="1"/>
      <c r="J62" s="5">
        <f t="shared" si="29"/>
        <v>0</v>
      </c>
      <c r="K62" s="1"/>
      <c r="L62" s="1">
        <f t="shared" si="30"/>
        <v>414.45</v>
      </c>
      <c r="M62" s="1"/>
      <c r="N62" s="5">
        <f t="shared" si="31"/>
        <v>0</v>
      </c>
      <c r="O62" s="14"/>
      <c r="P62" s="1">
        <f>SUM(OSRRefP22_10x_0)</f>
        <v>414.45</v>
      </c>
      <c r="Q62" s="1"/>
      <c r="R62" s="5">
        <f t="shared" si="32"/>
        <v>2.8858988901353022E-2</v>
      </c>
      <c r="S62" s="1"/>
      <c r="T62" s="1">
        <f>SUM(OSRRefT22_10x_0)</f>
        <v>0</v>
      </c>
      <c r="U62" s="1"/>
      <c r="V62" s="5">
        <f t="shared" si="33"/>
        <v>0</v>
      </c>
      <c r="W62" s="1"/>
      <c r="X62" s="1">
        <f t="shared" si="34"/>
        <v>414.45</v>
      </c>
      <c r="Y62" s="1"/>
      <c r="Z62" s="5">
        <f t="shared" si="35"/>
        <v>0</v>
      </c>
    </row>
    <row r="63" spans="1:26" s="24" customFormat="1" hidden="1" outlineLevel="2" x14ac:dyDescent="0.25">
      <c r="A63" s="29"/>
      <c r="B63" s="11" t="str">
        <f>CONCATENATE("          ", "6282", " - ", "JANITORIAL/EXTERMINATOR EXPENS")</f>
        <v xml:space="preserve">          6282 - JANITORIAL/EXTERMINATOR EXPENS</v>
      </c>
      <c r="C63" s="11"/>
      <c r="D63" s="7">
        <v>116.81</v>
      </c>
      <c r="E63" s="2"/>
      <c r="F63" s="6">
        <f t="shared" si="28"/>
        <v>8.1337157523634854E-3</v>
      </c>
      <c r="G63" s="2"/>
      <c r="H63" s="7"/>
      <c r="I63" s="2"/>
      <c r="J63" s="6">
        <f t="shared" si="29"/>
        <v>0</v>
      </c>
      <c r="K63" s="2"/>
      <c r="L63" s="7">
        <f t="shared" si="30"/>
        <v>116.81</v>
      </c>
      <c r="M63" s="2"/>
      <c r="N63" s="6">
        <f t="shared" si="31"/>
        <v>0</v>
      </c>
      <c r="O63" s="11"/>
      <c r="P63" s="7">
        <v>116.81</v>
      </c>
      <c r="Q63" s="2"/>
      <c r="R63" s="6">
        <f t="shared" si="32"/>
        <v>8.1337157523634854E-3</v>
      </c>
      <c r="S63" s="2"/>
      <c r="T63" s="7"/>
      <c r="U63" s="2"/>
      <c r="V63" s="6">
        <f t="shared" si="33"/>
        <v>0</v>
      </c>
      <c r="W63" s="2"/>
      <c r="X63" s="7">
        <f t="shared" si="34"/>
        <v>116.81</v>
      </c>
      <c r="Y63" s="2"/>
      <c r="Z63" s="6">
        <f t="shared" si="35"/>
        <v>0</v>
      </c>
    </row>
    <row r="64" spans="1:26" s="24" customFormat="1" hidden="1" outlineLevel="2" x14ac:dyDescent="0.25">
      <c r="A64" s="29"/>
      <c r="B64" s="11" t="str">
        <f>CONCATENATE("          ", "6286", " - ", "LAUNDRY EXPENSE")</f>
        <v xml:space="preserve">          6286 - LAUNDRY EXPENSE</v>
      </c>
      <c r="C64" s="11"/>
      <c r="D64" s="7">
        <v>297.64</v>
      </c>
      <c r="E64" s="2"/>
      <c r="F64" s="6">
        <f t="shared" si="28"/>
        <v>2.0725273148989535E-2</v>
      </c>
      <c r="G64" s="2"/>
      <c r="H64" s="7"/>
      <c r="I64" s="2"/>
      <c r="J64" s="6">
        <f t="shared" si="29"/>
        <v>0</v>
      </c>
      <c r="K64" s="2"/>
      <c r="L64" s="7">
        <f t="shared" si="30"/>
        <v>297.64</v>
      </c>
      <c r="M64" s="2"/>
      <c r="N64" s="6">
        <f t="shared" si="31"/>
        <v>0</v>
      </c>
      <c r="O64" s="11"/>
      <c r="P64" s="7">
        <v>297.64</v>
      </c>
      <c r="Q64" s="2"/>
      <c r="R64" s="6">
        <f t="shared" si="32"/>
        <v>2.0725273148989535E-2</v>
      </c>
      <c r="S64" s="2"/>
      <c r="T64" s="7"/>
      <c r="U64" s="2"/>
      <c r="V64" s="6">
        <f t="shared" si="33"/>
        <v>0</v>
      </c>
      <c r="W64" s="2"/>
      <c r="X64" s="7">
        <f t="shared" si="34"/>
        <v>297.64</v>
      </c>
      <c r="Y64" s="2"/>
      <c r="Z64" s="6">
        <f t="shared" si="35"/>
        <v>0</v>
      </c>
    </row>
    <row r="65" spans="1:26" s="27" customFormat="1" outlineLevel="1" collapsed="1" x14ac:dyDescent="0.25">
      <c r="A65" s="28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SUM(OSRRefD22_11x_0)</f>
        <v>1103.8899999999999</v>
      </c>
      <c r="E65" s="1"/>
      <c r="F65" s="5">
        <f t="shared" ref="F65:F68" si="36">IF(D$12=0,0,D65/D$12)</f>
        <v>7.68660857963918E-2</v>
      </c>
      <c r="G65" s="1"/>
      <c r="H65" s="1">
        <f>SUM(OSRRefH22_11x_0)</f>
        <v>354</v>
      </c>
      <c r="I65" s="1"/>
      <c r="J65" s="5">
        <f t="shared" ref="J65:J68" si="37">IF(H$12=0,0,H65/H$12)</f>
        <v>1.9287348806799609E-2</v>
      </c>
      <c r="K65" s="1"/>
      <c r="L65" s="1">
        <f t="shared" ref="L65:L68" si="38">+D65-H65</f>
        <v>749.88999999999987</v>
      </c>
      <c r="M65" s="1"/>
      <c r="N65" s="5">
        <f t="shared" ref="N65:N68" si="39">IF(H65=0,0,L65/H65)</f>
        <v>2.1183333333333332</v>
      </c>
      <c r="O65" s="14"/>
      <c r="P65" s="1">
        <f>SUM(OSRRefP22_11x_0)</f>
        <v>1103.8899999999999</v>
      </c>
      <c r="Q65" s="1"/>
      <c r="R65" s="5">
        <f t="shared" ref="R65:R68" si="40">IF(P$12=0,0,P65/P$12)</f>
        <v>7.68660857963918E-2</v>
      </c>
      <c r="S65" s="1"/>
      <c r="T65" s="1">
        <f>SUM(OSRRefT22_11x_0)</f>
        <v>354</v>
      </c>
      <c r="U65" s="1"/>
      <c r="V65" s="5">
        <f t="shared" ref="V65:V68" si="41">IF(T$12=0,0,T65/T$12)</f>
        <v>1.9287348806799609E-2</v>
      </c>
      <c r="W65" s="1"/>
      <c r="X65" s="1">
        <f t="shared" ref="X65:X68" si="42">+P65-T65</f>
        <v>749.88999999999987</v>
      </c>
      <c r="Y65" s="1"/>
      <c r="Z65" s="5">
        <f t="shared" ref="Z65:Z68" si="43">IF(T65=0,0,X65/T65)</f>
        <v>2.1183333333333332</v>
      </c>
    </row>
    <row r="66" spans="1:26" s="24" customFormat="1" hidden="1" outlineLevel="2" x14ac:dyDescent="0.25">
      <c r="A66" s="29"/>
      <c r="B66" s="11" t="str">
        <f>CONCATENATE("          ", "6237", " - ", "JANITORIAL SUPPLIES")</f>
        <v xml:space="preserve">          6237 - JANITORIAL SUPPLIES</v>
      </c>
      <c r="C66" s="11"/>
      <c r="D66" s="7">
        <v>24.25</v>
      </c>
      <c r="E66" s="2"/>
      <c r="F66" s="6">
        <f t="shared" si="36"/>
        <v>1.6885763804024871E-3</v>
      </c>
      <c r="G66" s="2"/>
      <c r="H66" s="7"/>
      <c r="I66" s="2"/>
      <c r="J66" s="6">
        <f t="shared" si="37"/>
        <v>0</v>
      </c>
      <c r="K66" s="2"/>
      <c r="L66" s="7">
        <f t="shared" si="38"/>
        <v>24.25</v>
      </c>
      <c r="M66" s="2"/>
      <c r="N66" s="6">
        <f t="shared" si="39"/>
        <v>0</v>
      </c>
      <c r="O66" s="11"/>
      <c r="P66" s="7">
        <v>24.25</v>
      </c>
      <c r="Q66" s="2"/>
      <c r="R66" s="6">
        <f t="shared" si="40"/>
        <v>1.6885763804024871E-3</v>
      </c>
      <c r="S66" s="2"/>
      <c r="T66" s="7"/>
      <c r="U66" s="2"/>
      <c r="V66" s="6">
        <f t="shared" si="41"/>
        <v>0</v>
      </c>
      <c r="W66" s="2"/>
      <c r="X66" s="7">
        <f t="shared" si="42"/>
        <v>24.25</v>
      </c>
      <c r="Y66" s="2"/>
      <c r="Z66" s="6">
        <f t="shared" si="43"/>
        <v>0</v>
      </c>
    </row>
    <row r="67" spans="1:26" s="24" customFormat="1" hidden="1" outlineLevel="2" x14ac:dyDescent="0.25">
      <c r="A67" s="29"/>
      <c r="B67" s="11" t="str">
        <f>CONCATENATE("          ", "6241", " - ", "OFFICE EXPENSE")</f>
        <v xml:space="preserve">          6241 - OFFICE EXPENSE</v>
      </c>
      <c r="C67" s="11"/>
      <c r="D67" s="7">
        <v>195.21</v>
      </c>
      <c r="E67" s="2"/>
      <c r="F67" s="6">
        <f t="shared" si="36"/>
        <v>1.3592865782200805E-2</v>
      </c>
      <c r="G67" s="2"/>
      <c r="H67" s="7"/>
      <c r="I67" s="2"/>
      <c r="J67" s="6">
        <f t="shared" si="37"/>
        <v>0</v>
      </c>
      <c r="K67" s="2"/>
      <c r="L67" s="7">
        <f t="shared" si="38"/>
        <v>195.21</v>
      </c>
      <c r="M67" s="2"/>
      <c r="N67" s="6">
        <f t="shared" si="39"/>
        <v>0</v>
      </c>
      <c r="O67" s="11"/>
      <c r="P67" s="7">
        <v>195.21</v>
      </c>
      <c r="Q67" s="2"/>
      <c r="R67" s="6">
        <f t="shared" si="40"/>
        <v>1.3592865782200805E-2</v>
      </c>
      <c r="S67" s="2"/>
      <c r="T67" s="7"/>
      <c r="U67" s="2"/>
      <c r="V67" s="6">
        <f t="shared" si="41"/>
        <v>0</v>
      </c>
      <c r="W67" s="2"/>
      <c r="X67" s="7">
        <f t="shared" si="42"/>
        <v>195.21</v>
      </c>
      <c r="Y67" s="2"/>
      <c r="Z67" s="6">
        <f t="shared" si="43"/>
        <v>0</v>
      </c>
    </row>
    <row r="68" spans="1:26" s="24" customFormat="1" hidden="1" outlineLevel="2" x14ac:dyDescent="0.25">
      <c r="A68" s="29"/>
      <c r="B68" s="11" t="str">
        <f>CONCATENATE("          ", "6247", " - ", "STORE SUPPLIES")</f>
        <v xml:space="preserve">          6247 - STORE SUPPLIES</v>
      </c>
      <c r="C68" s="11"/>
      <c r="D68" s="7">
        <v>884.43</v>
      </c>
      <c r="E68" s="2"/>
      <c r="F68" s="6">
        <f t="shared" si="36"/>
        <v>6.1584643633788516E-2</v>
      </c>
      <c r="G68" s="2"/>
      <c r="H68" s="7">
        <v>354</v>
      </c>
      <c r="I68" s="2"/>
      <c r="J68" s="6">
        <f t="shared" si="37"/>
        <v>1.9287348806799609E-2</v>
      </c>
      <c r="K68" s="2"/>
      <c r="L68" s="7">
        <f t="shared" si="38"/>
        <v>530.42999999999995</v>
      </c>
      <c r="M68" s="2"/>
      <c r="N68" s="6">
        <f t="shared" si="39"/>
        <v>1.4983898305084744</v>
      </c>
      <c r="O68" s="11"/>
      <c r="P68" s="7">
        <v>884.43</v>
      </c>
      <c r="Q68" s="2"/>
      <c r="R68" s="6">
        <f t="shared" si="40"/>
        <v>6.1584643633788516E-2</v>
      </c>
      <c r="S68" s="2"/>
      <c r="T68" s="7">
        <v>354</v>
      </c>
      <c r="U68" s="2"/>
      <c r="V68" s="6">
        <f t="shared" si="41"/>
        <v>1.9287348806799609E-2</v>
      </c>
      <c r="W68" s="2"/>
      <c r="X68" s="7">
        <f t="shared" si="42"/>
        <v>530.42999999999995</v>
      </c>
      <c r="Y68" s="2"/>
      <c r="Z68" s="6">
        <f t="shared" si="43"/>
        <v>1.4983898305084744</v>
      </c>
    </row>
    <row r="69" spans="1:26" s="27" customFormat="1" outlineLevel="1" collapsed="1" x14ac:dyDescent="0.25">
      <c r="A69" s="28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SUM(OSRRefD22_12x_0)</f>
        <v>12</v>
      </c>
      <c r="E69" s="1"/>
      <c r="F69" s="5">
        <f t="shared" ref="F69:F72" si="44">IF(D$12=0,0,D69/D$12)</f>
        <v>8.3558418824040601E-4</v>
      </c>
      <c r="G69" s="1"/>
      <c r="H69" s="1">
        <f>SUM(OSRRefH22_12x_0)</f>
        <v>75</v>
      </c>
      <c r="I69" s="1"/>
      <c r="J69" s="5">
        <f t="shared" ref="J69:J72" si="45">IF(H$12=0,0,H69/H$12)</f>
        <v>4.0863027133050019E-3</v>
      </c>
      <c r="K69" s="1"/>
      <c r="L69" s="1">
        <f t="shared" ref="L69:L72" si="46">+D69-H69</f>
        <v>-63</v>
      </c>
      <c r="M69" s="1"/>
      <c r="N69" s="5">
        <f t="shared" ref="N69:N72" si="47">IF(H69=0,0,L69/H69)</f>
        <v>-0.84</v>
      </c>
      <c r="O69" s="14"/>
      <c r="P69" s="1">
        <f>SUM(OSRRefP22_12x_0)</f>
        <v>12</v>
      </c>
      <c r="Q69" s="1"/>
      <c r="R69" s="5">
        <f t="shared" ref="R69:R72" si="48">IF(P$12=0,0,P69/P$12)</f>
        <v>8.3558418824040601E-4</v>
      </c>
      <c r="S69" s="1"/>
      <c r="T69" s="1">
        <f>SUM(OSRRefT22_12x_0)</f>
        <v>75</v>
      </c>
      <c r="U69" s="1"/>
      <c r="V69" s="5">
        <f t="shared" ref="V69:V72" si="49">IF(T$12=0,0,T69/T$12)</f>
        <v>4.0863027133050019E-3</v>
      </c>
      <c r="W69" s="1"/>
      <c r="X69" s="1">
        <f t="shared" ref="X69:X72" si="50">+P69-T69</f>
        <v>-63</v>
      </c>
      <c r="Y69" s="1"/>
      <c r="Z69" s="5">
        <f t="shared" ref="Z69:Z72" si="51">IF(T69=0,0,X69/T69)</f>
        <v>-0.84</v>
      </c>
    </row>
    <row r="70" spans="1:26" s="24" customFormat="1" hidden="1" outlineLevel="2" x14ac:dyDescent="0.25">
      <c r="A70" s="29"/>
      <c r="B70" s="11" t="str">
        <f>CONCATENATE("          ", "6309", " - ", "TELEPHONE")</f>
        <v xml:space="preserve">          6309 - TELEPHONE</v>
      </c>
      <c r="C70" s="11"/>
      <c r="D70" s="7">
        <v>12</v>
      </c>
      <c r="E70" s="2"/>
      <c r="F70" s="6">
        <f t="shared" si="44"/>
        <v>8.3558418824040601E-4</v>
      </c>
      <c r="G70" s="2"/>
      <c r="H70" s="7">
        <v>75</v>
      </c>
      <c r="I70" s="2"/>
      <c r="J70" s="6">
        <f t="shared" si="45"/>
        <v>4.0863027133050019E-3</v>
      </c>
      <c r="K70" s="2"/>
      <c r="L70" s="7">
        <f t="shared" si="46"/>
        <v>-63</v>
      </c>
      <c r="M70" s="2"/>
      <c r="N70" s="6">
        <f t="shared" si="47"/>
        <v>-0.84</v>
      </c>
      <c r="O70" s="11"/>
      <c r="P70" s="7">
        <v>12</v>
      </c>
      <c r="Q70" s="2"/>
      <c r="R70" s="6">
        <f t="shared" si="48"/>
        <v>8.3558418824040601E-4</v>
      </c>
      <c r="S70" s="2"/>
      <c r="T70" s="7">
        <v>75</v>
      </c>
      <c r="U70" s="2"/>
      <c r="V70" s="6">
        <f t="shared" si="49"/>
        <v>4.0863027133050019E-3</v>
      </c>
      <c r="W70" s="2"/>
      <c r="X70" s="7">
        <f t="shared" si="50"/>
        <v>-63</v>
      </c>
      <c r="Y70" s="2"/>
      <c r="Z70" s="6">
        <f t="shared" si="51"/>
        <v>-0.84</v>
      </c>
    </row>
    <row r="71" spans="1:26" s="27" customFormat="1" outlineLevel="1" collapsed="1" x14ac:dyDescent="0.25">
      <c r="A71" s="28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SUM(OSRRefD22_13x_0)</f>
        <v>182</v>
      </c>
      <c r="E71" s="1"/>
      <c r="F71" s="5">
        <f t="shared" si="44"/>
        <v>1.267302685497949E-2</v>
      </c>
      <c r="G71" s="1"/>
      <c r="H71" s="1">
        <f>SUM(OSRRefH22_13x_0)</f>
        <v>0</v>
      </c>
      <c r="I71" s="1"/>
      <c r="J71" s="5">
        <f t="shared" si="45"/>
        <v>0</v>
      </c>
      <c r="K71" s="1"/>
      <c r="L71" s="1">
        <f t="shared" si="46"/>
        <v>182</v>
      </c>
      <c r="M71" s="1"/>
      <c r="N71" s="5">
        <f t="shared" si="47"/>
        <v>0</v>
      </c>
      <c r="O71" s="14"/>
      <c r="P71" s="1">
        <f>SUM(OSRRefP22_13x_0)</f>
        <v>182</v>
      </c>
      <c r="Q71" s="1"/>
      <c r="R71" s="5">
        <f t="shared" si="48"/>
        <v>1.267302685497949E-2</v>
      </c>
      <c r="S71" s="1"/>
      <c r="T71" s="1">
        <f>SUM(OSRRefT22_13x_0)</f>
        <v>0</v>
      </c>
      <c r="U71" s="1"/>
      <c r="V71" s="5">
        <f t="shared" si="49"/>
        <v>0</v>
      </c>
      <c r="W71" s="1"/>
      <c r="X71" s="1">
        <f t="shared" si="50"/>
        <v>182</v>
      </c>
      <c r="Y71" s="1"/>
      <c r="Z71" s="5">
        <f t="shared" si="51"/>
        <v>0</v>
      </c>
    </row>
    <row r="72" spans="1:26" s="24" customFormat="1" hidden="1" outlineLevel="2" x14ac:dyDescent="0.25">
      <c r="A72" s="29"/>
      <c r="B72" s="11" t="str">
        <f>CONCATENATE("          ", "6274", " - ", "UTILITIES")</f>
        <v xml:space="preserve">          6274 - UTILITIES</v>
      </c>
      <c r="C72" s="11"/>
      <c r="D72" s="7">
        <v>182</v>
      </c>
      <c r="E72" s="2"/>
      <c r="F72" s="6">
        <f t="shared" si="44"/>
        <v>1.267302685497949E-2</v>
      </c>
      <c r="G72" s="2"/>
      <c r="H72" s="7"/>
      <c r="I72" s="2"/>
      <c r="J72" s="6">
        <f t="shared" si="45"/>
        <v>0</v>
      </c>
      <c r="K72" s="2"/>
      <c r="L72" s="7">
        <f t="shared" si="46"/>
        <v>182</v>
      </c>
      <c r="M72" s="2"/>
      <c r="N72" s="6">
        <f t="shared" si="47"/>
        <v>0</v>
      </c>
      <c r="O72" s="11"/>
      <c r="P72" s="7">
        <v>182</v>
      </c>
      <c r="Q72" s="2"/>
      <c r="R72" s="6">
        <f t="shared" si="48"/>
        <v>1.267302685497949E-2</v>
      </c>
      <c r="S72" s="2"/>
      <c r="T72" s="7"/>
      <c r="U72" s="2"/>
      <c r="V72" s="6">
        <f t="shared" si="49"/>
        <v>0</v>
      </c>
      <c r="W72" s="2"/>
      <c r="X72" s="7">
        <f t="shared" si="50"/>
        <v>182</v>
      </c>
      <c r="Y72" s="2"/>
      <c r="Z72" s="6">
        <f t="shared" si="51"/>
        <v>0</v>
      </c>
    </row>
    <row r="73" spans="1:26" s="57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5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6" t="s">
        <v>3</v>
      </c>
      <c r="C76" s="26"/>
      <c r="D76" s="21">
        <f>+D22-D24+D74</f>
        <v>-12702.850000000002</v>
      </c>
      <c r="E76" s="13"/>
      <c r="F76" s="19">
        <f>IF(D$12=0,0,D76/D$12)</f>
        <v>-0.88452505046580354</v>
      </c>
      <c r="G76" s="13"/>
      <c r="H76" s="21">
        <f>+H22-H24+H74</f>
        <v>-6293.1924259615407</v>
      </c>
      <c r="I76" s="13"/>
      <c r="J76" s="19">
        <f>IF(H$12=0,0,H76/H$12)</f>
        <v>-0.34287852380742839</v>
      </c>
      <c r="K76" s="15"/>
      <c r="L76" s="21">
        <f>+D76-H76</f>
        <v>-6409.6575740384615</v>
      </c>
      <c r="M76" s="15"/>
      <c r="N76" s="19">
        <f>IF(H76=0,0,L76/H76)</f>
        <v>1.0185065289909876</v>
      </c>
      <c r="O76" s="25"/>
      <c r="P76" s="21">
        <f>+P22-P24+P74</f>
        <v>-12702.850000000002</v>
      </c>
      <c r="Q76" s="13"/>
      <c r="R76" s="19">
        <f>IF(P$12=0,0,P76/P$12)</f>
        <v>-0.88452505046580354</v>
      </c>
      <c r="S76" s="13"/>
      <c r="T76" s="21">
        <f>+T22-T24+T74</f>
        <v>-6293.1924259615407</v>
      </c>
      <c r="U76" s="13"/>
      <c r="V76" s="19">
        <f>IF(T$12=0,0,T76/T$12)</f>
        <v>-0.34287852380742839</v>
      </c>
      <c r="W76" s="15"/>
      <c r="X76" s="21">
        <f>+P76-T76</f>
        <v>-6409.6575740384615</v>
      </c>
      <c r="Y76" s="15"/>
      <c r="Z76" s="19">
        <f>IF(T76=0,0,X76/T76)</f>
        <v>1.0185065289909876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2986.12</v>
      </c>
      <c r="E78" s="4"/>
      <c r="F78" s="12">
        <f>IF(D$12=0,0,D78/D$12)</f>
        <v>0.20792955468237009</v>
      </c>
      <c r="G78" s="4"/>
      <c r="H78" s="4">
        <v>4473</v>
      </c>
      <c r="I78" s="4"/>
      <c r="J78" s="12">
        <f>IF(H$12=0,0,H78/H$12)</f>
        <v>0.24370709382151029</v>
      </c>
      <c r="K78" s="4"/>
      <c r="L78" s="4">
        <f>+D78-H78</f>
        <v>-1486.88</v>
      </c>
      <c r="M78" s="4"/>
      <c r="N78" s="12">
        <f>IF(H78=0,0,L78/H78)</f>
        <v>-0.33241225128549073</v>
      </c>
      <c r="O78" s="10"/>
      <c r="P78" s="4">
        <v>2986.12</v>
      </c>
      <c r="Q78" s="4"/>
      <c r="R78" s="12">
        <f>IF(P$12=0,0,P78/P$12)</f>
        <v>0.20792955468237009</v>
      </c>
      <c r="S78" s="4"/>
      <c r="T78" s="4">
        <v>4473</v>
      </c>
      <c r="U78" s="4"/>
      <c r="V78" s="12">
        <f>IF(T$12=0,0,T78/T$12)</f>
        <v>0.24370709382151029</v>
      </c>
      <c r="W78" s="4"/>
      <c r="X78" s="4">
        <f>+P78-T78</f>
        <v>-1486.88</v>
      </c>
      <c r="Y78" s="4"/>
      <c r="Z78" s="12">
        <f>IF(T78=0,0,X78/T78)</f>
        <v>-0.33241225128549073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4</v>
      </c>
      <c r="C80" s="26"/>
      <c r="D80" s="32">
        <f>+D76-D78</f>
        <v>-15688.970000000001</v>
      </c>
      <c r="E80" s="13"/>
      <c r="F80" s="31">
        <f>IF(D$12=0,0,D80/D$12)</f>
        <v>-1.0924546051481736</v>
      </c>
      <c r="G80" s="13"/>
      <c r="H80" s="32">
        <f>+H76-H78</f>
        <v>-10766.192425961541</v>
      </c>
      <c r="I80" s="13"/>
      <c r="J80" s="31">
        <f>IF(H$12=0,0,H80/H$12)</f>
        <v>-0.58658561762893868</v>
      </c>
      <c r="K80" s="15"/>
      <c r="L80" s="32">
        <f>D80-H80</f>
        <v>-4922.7775740384604</v>
      </c>
      <c r="M80" s="15"/>
      <c r="N80" s="31">
        <f>IF(H80=0,0,L80/H80)</f>
        <v>0.45724406357141639</v>
      </c>
      <c r="O80" s="25"/>
      <c r="P80" s="32">
        <f>+P76-P78</f>
        <v>-15688.970000000001</v>
      </c>
      <c r="Q80" s="13"/>
      <c r="R80" s="31">
        <f>IF(P$12=0,0,P80/P$12)</f>
        <v>-1.0924546051481736</v>
      </c>
      <c r="S80" s="13"/>
      <c r="T80" s="32">
        <f>+T76-T78</f>
        <v>-10766.192425961541</v>
      </c>
      <c r="U80" s="13"/>
      <c r="V80" s="31">
        <f>IF(T$12=0,0,T80/T$12)</f>
        <v>-0.58658561762893868</v>
      </c>
      <c r="W80" s="15"/>
      <c r="X80" s="32">
        <f>P80-T80</f>
        <v>-4922.7775740384604</v>
      </c>
      <c r="Y80" s="15"/>
      <c r="Z80" s="31">
        <f>IF(T80=0,0,X80/T80)</f>
        <v>0.45724406357141639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5</v>
      </c>
      <c r="C83" s="26"/>
      <c r="D83" s="33">
        <f>SUM(D80:D82)</f>
        <v>-15688.970000000001</v>
      </c>
      <c r="E83" s="13"/>
      <c r="F83" s="34">
        <f>IF(D$12=0,0,D83/D$12)</f>
        <v>-1.0924546051481736</v>
      </c>
      <c r="G83" s="13"/>
      <c r="H83" s="33">
        <f>SUM(H80:H82)</f>
        <v>-10766.192425961541</v>
      </c>
      <c r="I83" s="13"/>
      <c r="J83" s="34">
        <f>IF(H$12=0,0,H83/H$12)</f>
        <v>-0.58658561762893868</v>
      </c>
      <c r="K83" s="15"/>
      <c r="L83" s="33">
        <f>+D83-H83</f>
        <v>-4922.7775740384604</v>
      </c>
      <c r="M83" s="15"/>
      <c r="N83" s="34">
        <f>IF(H83=0,0,L83/H83)</f>
        <v>0.45724406357141639</v>
      </c>
      <c r="O83" s="25"/>
      <c r="P83" s="33">
        <f>SUM(P80:P82)</f>
        <v>-15688.970000000001</v>
      </c>
      <c r="Q83" s="13"/>
      <c r="R83" s="34">
        <f>IF(P$12=0,0,P83/P$12)</f>
        <v>-1.0924546051481736</v>
      </c>
      <c r="S83" s="13"/>
      <c r="T83" s="33">
        <f>SUM(T80:T82)</f>
        <v>-10766.192425961541</v>
      </c>
      <c r="U83" s="13"/>
      <c r="V83" s="34">
        <f>IF(T$12=0,0,T83/T$12)</f>
        <v>-0.58658561762893868</v>
      </c>
      <c r="W83" s="15"/>
      <c r="X83" s="33">
        <f>+P83-T83</f>
        <v>-4922.7775740384604</v>
      </c>
      <c r="Y83" s="15"/>
      <c r="Z83" s="34">
        <f>IF(T83=0,0,X83/T83)</f>
        <v>0.45724406357141639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61">
        <v>43726.678814548613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6" t="s">
        <v>314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3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","325", " - ", "Outpost C-Store")</f>
        <v>Department 325 - Outpost C-Store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14491.7</v>
      </c>
      <c r="E12" s="4"/>
      <c r="F12" s="12"/>
      <c r="G12" s="4"/>
      <c r="H12" s="4">
        <f>SUM(OSRRefH13x_0)</f>
        <v>14188.2</v>
      </c>
      <c r="I12" s="4"/>
      <c r="J12" s="12"/>
      <c r="K12" s="4"/>
      <c r="L12" s="4">
        <f t="shared" ref="L12:L15" si="0">+D12-H12</f>
        <v>303.5</v>
      </c>
      <c r="M12" s="4"/>
      <c r="N12" s="12">
        <f t="shared" ref="N12:N15" si="1">IF(H12=0,0,L12/H12)</f>
        <v>2.1391015068860039E-2</v>
      </c>
      <c r="O12" s="10"/>
      <c r="P12" s="4">
        <f>SUM(OSRRefP13x_0)</f>
        <v>14491.7</v>
      </c>
      <c r="Q12" s="4"/>
      <c r="R12" s="12"/>
      <c r="S12" s="4"/>
      <c r="T12" s="4">
        <f>SUM(OSRRefT13x_0)</f>
        <v>14188.2</v>
      </c>
      <c r="U12" s="4"/>
      <c r="V12" s="12"/>
      <c r="W12" s="4"/>
      <c r="X12" s="4">
        <f t="shared" ref="X12:X15" si="2">+P12-T12</f>
        <v>303.5</v>
      </c>
      <c r="Y12" s="4"/>
      <c r="Z12" s="12">
        <f t="shared" ref="Z12:Z15" si="3">IF(T12=0,0,X12/T12)</f>
        <v>2.1391015068860039E-2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14188.2</v>
      </c>
      <c r="I13" s="2"/>
      <c r="J13" s="22"/>
      <c r="K13" s="2"/>
      <c r="L13" s="2">
        <f t="shared" si="0"/>
        <v>-14188.2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14188.2</v>
      </c>
      <c r="U13" s="2"/>
      <c r="V13" s="22"/>
      <c r="W13" s="2"/>
      <c r="X13" s="2">
        <f t="shared" si="2"/>
        <v>-14188.2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>--2132.37</f>
        <v>2132.37</v>
      </c>
      <c r="E14" s="2"/>
      <c r="F14" s="22"/>
      <c r="G14" s="2"/>
      <c r="H14" s="2"/>
      <c r="I14" s="2"/>
      <c r="J14" s="22"/>
      <c r="K14" s="2"/>
      <c r="L14" s="2">
        <f t="shared" si="0"/>
        <v>2132.37</v>
      </c>
      <c r="M14" s="2"/>
      <c r="N14" s="22">
        <f t="shared" si="1"/>
        <v>0</v>
      </c>
      <c r="O14" s="11"/>
      <c r="P14" s="2">
        <f>--2132.37</f>
        <v>2132.37</v>
      </c>
      <c r="Q14" s="2"/>
      <c r="R14" s="22"/>
      <c r="S14" s="2"/>
      <c r="T14" s="2"/>
      <c r="U14" s="2"/>
      <c r="V14" s="22"/>
      <c r="W14" s="2"/>
      <c r="X14" s="2">
        <f t="shared" si="2"/>
        <v>2132.37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"4132", " - ", "NON-TAXABLE SALES-JUICE")</f>
        <v xml:space="preserve">          4132 - NON-TAXABLE SALES-JUICE</v>
      </c>
      <c r="C15" s="11"/>
      <c r="D15" s="2">
        <f>--12359.33</f>
        <v>12359.33</v>
      </c>
      <c r="E15" s="2"/>
      <c r="F15" s="22"/>
      <c r="G15" s="2"/>
      <c r="H15" s="2"/>
      <c r="I15" s="2"/>
      <c r="J15" s="22"/>
      <c r="K15" s="2"/>
      <c r="L15" s="2">
        <f t="shared" si="0"/>
        <v>12359.33</v>
      </c>
      <c r="M15" s="2"/>
      <c r="N15" s="22">
        <f t="shared" si="1"/>
        <v>0</v>
      </c>
      <c r="O15" s="11"/>
      <c r="P15" s="2">
        <f>--12359.33</f>
        <v>12359.33</v>
      </c>
      <c r="Q15" s="2"/>
      <c r="R15" s="22"/>
      <c r="S15" s="2"/>
      <c r="T15" s="2"/>
      <c r="U15" s="2"/>
      <c r="V15" s="22"/>
      <c r="W15" s="2"/>
      <c r="X15" s="2">
        <f t="shared" si="2"/>
        <v>12359.33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6629.08</v>
      </c>
      <c r="E17" s="4"/>
      <c r="F17" s="12">
        <f t="shared" ref="F17:F20" si="4">IF(D$12=0,0,D17/D$12)</f>
        <v>0.45743977587170587</v>
      </c>
      <c r="G17" s="4"/>
      <c r="H17" s="4">
        <f>SUM(OSRRefH16x_0)</f>
        <v>6810</v>
      </c>
      <c r="I17" s="4"/>
      <c r="J17" s="12">
        <f t="shared" ref="J17:J20" si="5">IF(H$12=0,0,H17/H$12)</f>
        <v>0.47997631834905058</v>
      </c>
      <c r="K17" s="4"/>
      <c r="L17" s="4">
        <f t="shared" ref="L17:L20" si="6">+D17-H17</f>
        <v>-180.92000000000007</v>
      </c>
      <c r="M17" s="4"/>
      <c r="N17" s="12">
        <f t="shared" ref="N17:N20" si="7">IF(H17=0,0,L17/H17)</f>
        <v>-2.6566813509544797E-2</v>
      </c>
      <c r="O17" s="10"/>
      <c r="P17" s="4">
        <f>SUM(OSRRefP16x_0)</f>
        <v>6629.08</v>
      </c>
      <c r="Q17" s="4"/>
      <c r="R17" s="12">
        <f t="shared" ref="R17:R20" si="8">IF(P$12=0,0,P17/P$12)</f>
        <v>0.45743977587170587</v>
      </c>
      <c r="S17" s="4"/>
      <c r="T17" s="4">
        <f>SUM(OSRRefT16x_0)</f>
        <v>6810</v>
      </c>
      <c r="U17" s="4"/>
      <c r="V17" s="12">
        <f t="shared" ref="V17:V20" si="9">IF(T$12=0,0,T17/T$12)</f>
        <v>0.47997631834905058</v>
      </c>
      <c r="W17" s="4"/>
      <c r="X17" s="4">
        <f t="shared" ref="X17:X20" si="10">+P17-T17</f>
        <v>-180.92000000000007</v>
      </c>
      <c r="Y17" s="4"/>
      <c r="Z17" s="12">
        <f t="shared" ref="Z17:Z20" si="11">IF(T17=0,0,X17/T17)</f>
        <v>-2.6566813509544797E-2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4"/>
        <v>0</v>
      </c>
      <c r="G18" s="2"/>
      <c r="H18" s="2">
        <v>6810</v>
      </c>
      <c r="I18" s="2"/>
      <c r="J18" s="22">
        <f t="shared" si="5"/>
        <v>0.47997631834905058</v>
      </c>
      <c r="K18" s="2"/>
      <c r="L18" s="2">
        <f t="shared" si="6"/>
        <v>-6810</v>
      </c>
      <c r="M18" s="2"/>
      <c r="N18" s="22">
        <f t="shared" si="7"/>
        <v>-1</v>
      </c>
      <c r="O18" s="11"/>
      <c r="P18" s="2"/>
      <c r="Q18" s="2"/>
      <c r="R18" s="22">
        <f t="shared" si="8"/>
        <v>0</v>
      </c>
      <c r="S18" s="2"/>
      <c r="T18" s="2">
        <v>6810</v>
      </c>
      <c r="U18" s="2"/>
      <c r="V18" s="22">
        <f t="shared" si="9"/>
        <v>0.47997631834905058</v>
      </c>
      <c r="W18" s="2"/>
      <c r="X18" s="2">
        <f t="shared" si="10"/>
        <v>-6810</v>
      </c>
      <c r="Y18" s="2"/>
      <c r="Z18" s="22">
        <f t="shared" si="11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7678.71</v>
      </c>
      <c r="E19" s="2"/>
      <c r="F19" s="22">
        <f t="shared" si="4"/>
        <v>0.52986951151348705</v>
      </c>
      <c r="G19" s="2"/>
      <c r="H19" s="2"/>
      <c r="I19" s="2"/>
      <c r="J19" s="22">
        <f t="shared" si="5"/>
        <v>0</v>
      </c>
      <c r="K19" s="2"/>
      <c r="L19" s="2">
        <f t="shared" si="6"/>
        <v>7678.71</v>
      </c>
      <c r="M19" s="2"/>
      <c r="N19" s="22">
        <f t="shared" si="7"/>
        <v>0</v>
      </c>
      <c r="O19" s="11"/>
      <c r="P19" s="2">
        <v>7678.71</v>
      </c>
      <c r="Q19" s="2"/>
      <c r="R19" s="22">
        <f t="shared" si="8"/>
        <v>0.52986951151348705</v>
      </c>
      <c r="S19" s="2"/>
      <c r="T19" s="2"/>
      <c r="U19" s="2"/>
      <c r="V19" s="22">
        <f t="shared" si="9"/>
        <v>0</v>
      </c>
      <c r="W19" s="2"/>
      <c r="X19" s="2">
        <f t="shared" si="10"/>
        <v>7678.71</v>
      </c>
      <c r="Y19" s="2"/>
      <c r="Z19" s="22">
        <f t="shared" si="11"/>
        <v>0</v>
      </c>
    </row>
    <row r="20" spans="1:26" s="24" customFormat="1" hidden="1" outlineLevel="1" x14ac:dyDescent="0.25">
      <c r="A20" s="51"/>
      <c r="B20" s="11" t="str">
        <f>CONCATENATE("          ", "5059", " - ", "PURCHASES @ COST-FOOD")</f>
        <v xml:space="preserve">          5059 - PURCHASES @ COST-FOOD</v>
      </c>
      <c r="C20" s="11"/>
      <c r="D20" s="2">
        <v>-1049.6300000000001</v>
      </c>
      <c r="E20" s="2"/>
      <c r="F20" s="22">
        <f t="shared" si="4"/>
        <v>-7.2429735641781165E-2</v>
      </c>
      <c r="G20" s="2"/>
      <c r="H20" s="2"/>
      <c r="I20" s="2"/>
      <c r="J20" s="22">
        <f t="shared" si="5"/>
        <v>0</v>
      </c>
      <c r="K20" s="2"/>
      <c r="L20" s="2">
        <f t="shared" si="6"/>
        <v>-1049.6300000000001</v>
      </c>
      <c r="M20" s="2"/>
      <c r="N20" s="22">
        <f t="shared" si="7"/>
        <v>0</v>
      </c>
      <c r="O20" s="11"/>
      <c r="P20" s="2">
        <v>-1049.6300000000001</v>
      </c>
      <c r="Q20" s="2"/>
      <c r="R20" s="22">
        <f t="shared" si="8"/>
        <v>-7.2429735641781165E-2</v>
      </c>
      <c r="S20" s="2"/>
      <c r="T20" s="2"/>
      <c r="U20" s="2"/>
      <c r="V20" s="22">
        <f t="shared" si="9"/>
        <v>0</v>
      </c>
      <c r="W20" s="2"/>
      <c r="X20" s="2">
        <f t="shared" si="10"/>
        <v>-1049.6300000000001</v>
      </c>
      <c r="Y20" s="2"/>
      <c r="Z20" s="22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6</v>
      </c>
      <c r="C22" s="26"/>
      <c r="D22" s="21">
        <f>D12-D17</f>
        <v>7862.6200000000008</v>
      </c>
      <c r="E22" s="13"/>
      <c r="F22" s="19">
        <f>IF(D$12=0,0,D22/D$12)</f>
        <v>0.54256022412829419</v>
      </c>
      <c r="G22" s="13"/>
      <c r="H22" s="21">
        <f>H12-H17</f>
        <v>7378.2000000000007</v>
      </c>
      <c r="I22" s="13"/>
      <c r="J22" s="19">
        <f>IF(H$12=0,0,H22/H$12)</f>
        <v>0.52002368165094937</v>
      </c>
      <c r="K22" s="15"/>
      <c r="L22" s="21">
        <f>+D22-H22</f>
        <v>484.42000000000007</v>
      </c>
      <c r="M22" s="15"/>
      <c r="N22" s="19">
        <f>IF(H22=0,0,L22/H22)</f>
        <v>6.5655579951749754E-2</v>
      </c>
      <c r="O22" s="25"/>
      <c r="P22" s="21">
        <f>P12-P17</f>
        <v>7862.6200000000008</v>
      </c>
      <c r="Q22" s="13"/>
      <c r="R22" s="19">
        <f>IF(P$12=0,0,P22/P$12)</f>
        <v>0.54256022412829419</v>
      </c>
      <c r="S22" s="13"/>
      <c r="T22" s="21">
        <f>T12-T17</f>
        <v>7378.2000000000007</v>
      </c>
      <c r="U22" s="13"/>
      <c r="V22" s="19">
        <f>IF(T$12=0,0,T22/T$12)</f>
        <v>0.52002368165094937</v>
      </c>
      <c r="W22" s="15"/>
      <c r="X22" s="21">
        <f>+P22-T22</f>
        <v>484.42000000000007</v>
      </c>
      <c r="Y22" s="15"/>
      <c r="Z22" s="19">
        <f>IF(T22=0,0,X22/T22)</f>
        <v>6.5655579951749754E-2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9</v>
      </c>
      <c r="C24" s="10"/>
      <c r="D24" s="20">
        <f>SUM(OSRRefD22x_0)</f>
        <v>23831.420000000002</v>
      </c>
      <c r="E24" s="20"/>
      <c r="F24" s="30">
        <f t="shared" ref="F24:F34" si="12">IF(D$12=0,0,D24/D$12)</f>
        <v>1.6444875342437395</v>
      </c>
      <c r="G24" s="20"/>
      <c r="H24" s="20">
        <f>SUM(OSRRefH22x_0)</f>
        <v>28750.4834075</v>
      </c>
      <c r="I24" s="20"/>
      <c r="J24" s="30">
        <f t="shared" ref="J24:J34" si="13">IF(H$12=0,0,H24/H$12)</f>
        <v>2.0263658115546721</v>
      </c>
      <c r="K24" s="4"/>
      <c r="L24" s="20">
        <f t="shared" ref="L24:L34" si="14">+D24-H24</f>
        <v>-4919.063407499998</v>
      </c>
      <c r="M24" s="4"/>
      <c r="N24" s="30">
        <f t="shared" ref="N24:N34" si="15">IF(H24=0,0,L24/H24)</f>
        <v>-0.1710949808314105</v>
      </c>
      <c r="O24" s="10"/>
      <c r="P24" s="20">
        <f>SUM(OSRRefP22x_0)</f>
        <v>23831.420000000002</v>
      </c>
      <c r="Q24" s="20"/>
      <c r="R24" s="30">
        <f t="shared" ref="R24:R34" si="16">IF(P$12=0,0,P24/P$12)</f>
        <v>1.6444875342437395</v>
      </c>
      <c r="S24" s="20"/>
      <c r="T24" s="20">
        <f>SUM(OSRRefT22x_0)</f>
        <v>28750.4834075</v>
      </c>
      <c r="U24" s="20"/>
      <c r="V24" s="30">
        <f t="shared" ref="V24:V34" si="17">IF(T$12=0,0,T24/T$12)</f>
        <v>2.0263658115546721</v>
      </c>
      <c r="W24" s="4"/>
      <c r="X24" s="20">
        <f t="shared" ref="X24:X34" si="18">+P24-T24</f>
        <v>-4919.063407499998</v>
      </c>
      <c r="Y24" s="4"/>
      <c r="Z24" s="30">
        <f t="shared" ref="Z24:Z34" si="19">IF(T24=0,0,X24/T24)</f>
        <v>-0.1710949808314105</v>
      </c>
    </row>
    <row r="25" spans="1:26" s="27" customFormat="1" outlineLevel="1" collapsed="1" x14ac:dyDescent="0.25">
      <c r="A25" s="28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3963.5499999999997</v>
      </c>
      <c r="E25" s="1"/>
      <c r="F25" s="5">
        <f t="shared" si="12"/>
        <v>0.27350483380141732</v>
      </c>
      <c r="G25" s="1"/>
      <c r="H25" s="1">
        <f>SUM(OSRRefH22_0x_0)</f>
        <v>3710.9459075</v>
      </c>
      <c r="I25" s="1"/>
      <c r="J25" s="5">
        <f t="shared" si="13"/>
        <v>0.26155156450430639</v>
      </c>
      <c r="K25" s="1"/>
      <c r="L25" s="1">
        <f t="shared" si="14"/>
        <v>252.60409249999975</v>
      </c>
      <c r="M25" s="1"/>
      <c r="N25" s="5">
        <f t="shared" si="15"/>
        <v>6.8070001233236713E-2</v>
      </c>
      <c r="O25" s="14"/>
      <c r="P25" s="1">
        <f>SUM(OSRRefP22_0x_0)</f>
        <v>3963.5499999999997</v>
      </c>
      <c r="Q25" s="1"/>
      <c r="R25" s="5">
        <f t="shared" si="16"/>
        <v>0.27350483380141732</v>
      </c>
      <c r="S25" s="1"/>
      <c r="T25" s="1">
        <f>SUM(OSRRefT22_0x_0)</f>
        <v>3710.9459075</v>
      </c>
      <c r="U25" s="1"/>
      <c r="V25" s="5">
        <f t="shared" si="17"/>
        <v>0.26155156450430639</v>
      </c>
      <c r="W25" s="1"/>
      <c r="X25" s="1">
        <f t="shared" si="18"/>
        <v>252.60409249999975</v>
      </c>
      <c r="Y25" s="1"/>
      <c r="Z25" s="5">
        <f t="shared" si="19"/>
        <v>6.8070001233236713E-2</v>
      </c>
    </row>
    <row r="26" spans="1:26" s="24" customFormat="1" hidden="1" outlineLevel="2" x14ac:dyDescent="0.25">
      <c r="A26" s="29"/>
      <c r="B26" s="11" t="str">
        <f>CONCATENATE("          ", "6111", " - ", "F.I.C.A.")</f>
        <v xml:space="preserve">          6111 - F.I.C.A.</v>
      </c>
      <c r="C26" s="11"/>
      <c r="D26" s="7">
        <v>461.45</v>
      </c>
      <c r="E26" s="2"/>
      <c r="F26" s="6">
        <f t="shared" si="12"/>
        <v>3.1842364939931131E-2</v>
      </c>
      <c r="G26" s="2"/>
      <c r="H26" s="7">
        <v>500.33400750000004</v>
      </c>
      <c r="I26" s="2"/>
      <c r="J26" s="6">
        <f t="shared" si="13"/>
        <v>3.5264093225356286E-2</v>
      </c>
      <c r="K26" s="2"/>
      <c r="L26" s="7">
        <f t="shared" si="14"/>
        <v>-38.884007500000052</v>
      </c>
      <c r="M26" s="2"/>
      <c r="N26" s="6">
        <f t="shared" si="15"/>
        <v>-7.7716099479806094E-2</v>
      </c>
      <c r="O26" s="11"/>
      <c r="P26" s="7">
        <v>461.45</v>
      </c>
      <c r="Q26" s="2"/>
      <c r="R26" s="6">
        <f t="shared" si="16"/>
        <v>3.1842364939931131E-2</v>
      </c>
      <c r="S26" s="2"/>
      <c r="T26" s="7">
        <v>500.33400750000004</v>
      </c>
      <c r="U26" s="2"/>
      <c r="V26" s="6">
        <f t="shared" si="17"/>
        <v>3.5264093225356286E-2</v>
      </c>
      <c r="W26" s="2"/>
      <c r="X26" s="7">
        <f t="shared" si="18"/>
        <v>-38.884007500000052</v>
      </c>
      <c r="Y26" s="2"/>
      <c r="Z26" s="6">
        <f t="shared" si="19"/>
        <v>-7.7716099479806094E-2</v>
      </c>
    </row>
    <row r="27" spans="1:26" s="24" customFormat="1" hidden="1" outlineLevel="2" x14ac:dyDescent="0.25">
      <c r="A27" s="29"/>
      <c r="B27" s="11" t="str">
        <f>CONCATENATE("          ", "6112", " - ", "COMPENSATION INSURANCE")</f>
        <v xml:space="preserve">          6112 - COMPENSATION INSURANCE</v>
      </c>
      <c r="C27" s="11"/>
      <c r="D27" s="7">
        <v>202.56</v>
      </c>
      <c r="E27" s="2"/>
      <c r="F27" s="6">
        <f t="shared" si="12"/>
        <v>1.3977656175603965E-2</v>
      </c>
      <c r="G27" s="2"/>
      <c r="H27" s="7">
        <v>124.21725000000001</v>
      </c>
      <c r="I27" s="2"/>
      <c r="J27" s="6">
        <f t="shared" si="13"/>
        <v>8.7549689178331291E-3</v>
      </c>
      <c r="K27" s="2"/>
      <c r="L27" s="7">
        <f t="shared" si="14"/>
        <v>78.342749999999995</v>
      </c>
      <c r="M27" s="2"/>
      <c r="N27" s="6">
        <f t="shared" si="15"/>
        <v>0.63069138948092951</v>
      </c>
      <c r="O27" s="11"/>
      <c r="P27" s="7">
        <v>202.56</v>
      </c>
      <c r="Q27" s="2"/>
      <c r="R27" s="6">
        <f t="shared" si="16"/>
        <v>1.3977656175603965E-2</v>
      </c>
      <c r="S27" s="2"/>
      <c r="T27" s="7">
        <v>124.21725000000001</v>
      </c>
      <c r="U27" s="2"/>
      <c r="V27" s="6">
        <f t="shared" si="17"/>
        <v>8.7549689178331291E-3</v>
      </c>
      <c r="W27" s="2"/>
      <c r="X27" s="7">
        <f t="shared" si="18"/>
        <v>78.342749999999995</v>
      </c>
      <c r="Y27" s="2"/>
      <c r="Z27" s="6">
        <f t="shared" si="19"/>
        <v>0.63069138948092951</v>
      </c>
    </row>
    <row r="28" spans="1:26" s="24" customFormat="1" hidden="1" outlineLevel="2" x14ac:dyDescent="0.25">
      <c r="A28" s="29"/>
      <c r="B28" s="11" t="str">
        <f>CONCATENATE("          ", "6113", " - ", "GROUP INSURANCE")</f>
        <v xml:space="preserve">          6113 - GROUP INSURANCE</v>
      </c>
      <c r="C28" s="11"/>
      <c r="D28" s="7">
        <v>2283.4699999999998</v>
      </c>
      <c r="E28" s="2"/>
      <c r="F28" s="6">
        <f t="shared" si="12"/>
        <v>0.1575708854033688</v>
      </c>
      <c r="G28" s="2"/>
      <c r="H28" s="7">
        <v>1977</v>
      </c>
      <c r="I28" s="2"/>
      <c r="J28" s="6">
        <f t="shared" si="13"/>
        <v>0.1393411426396583</v>
      </c>
      <c r="K28" s="2"/>
      <c r="L28" s="7">
        <f t="shared" si="14"/>
        <v>306.4699999999998</v>
      </c>
      <c r="M28" s="2"/>
      <c r="N28" s="6">
        <f t="shared" si="15"/>
        <v>0.15501770359129985</v>
      </c>
      <c r="O28" s="11"/>
      <c r="P28" s="7">
        <v>2283.4699999999998</v>
      </c>
      <c r="Q28" s="2"/>
      <c r="R28" s="6">
        <f t="shared" si="16"/>
        <v>0.1575708854033688</v>
      </c>
      <c r="S28" s="2"/>
      <c r="T28" s="7">
        <v>1977</v>
      </c>
      <c r="U28" s="2"/>
      <c r="V28" s="6">
        <f t="shared" si="17"/>
        <v>0.1393411426396583</v>
      </c>
      <c r="W28" s="2"/>
      <c r="X28" s="7">
        <f t="shared" si="18"/>
        <v>306.4699999999998</v>
      </c>
      <c r="Y28" s="2"/>
      <c r="Z28" s="6">
        <f t="shared" si="19"/>
        <v>0.15501770359129985</v>
      </c>
    </row>
    <row r="29" spans="1:26" s="24" customFormat="1" hidden="1" outlineLevel="2" x14ac:dyDescent="0.25">
      <c r="A29" s="29"/>
      <c r="B29" s="11" t="str">
        <f>CONCATENATE("          ", "6114", " - ", "STATE UNEMPLOYMENT INSURANCE")</f>
        <v xml:space="preserve">          6114 - STATE UNEMPLOYMENT INSURANCE</v>
      </c>
      <c r="C29" s="11"/>
      <c r="D29" s="7">
        <v>17.309999999999999</v>
      </c>
      <c r="E29" s="2"/>
      <c r="F29" s="6">
        <f t="shared" si="12"/>
        <v>1.1944768384661564E-3</v>
      </c>
      <c r="G29" s="2"/>
      <c r="H29" s="7">
        <v>16.998149999999999</v>
      </c>
      <c r="I29" s="2"/>
      <c r="J29" s="6">
        <f t="shared" si="13"/>
        <v>1.1980483782297964E-3</v>
      </c>
      <c r="K29" s="2"/>
      <c r="L29" s="7">
        <f t="shared" si="14"/>
        <v>0.31184999999999974</v>
      </c>
      <c r="M29" s="2"/>
      <c r="N29" s="6">
        <f t="shared" si="15"/>
        <v>1.8346114135950074E-2</v>
      </c>
      <c r="O29" s="11"/>
      <c r="P29" s="7">
        <v>17.309999999999999</v>
      </c>
      <c r="Q29" s="2"/>
      <c r="R29" s="6">
        <f t="shared" si="16"/>
        <v>1.1944768384661564E-3</v>
      </c>
      <c r="S29" s="2"/>
      <c r="T29" s="7">
        <v>16.998149999999999</v>
      </c>
      <c r="U29" s="2"/>
      <c r="V29" s="6">
        <f t="shared" si="17"/>
        <v>1.1980483782297964E-3</v>
      </c>
      <c r="W29" s="2"/>
      <c r="X29" s="7">
        <f t="shared" si="18"/>
        <v>0.31184999999999974</v>
      </c>
      <c r="Y29" s="2"/>
      <c r="Z29" s="6">
        <f t="shared" si="19"/>
        <v>1.8346114135950074E-2</v>
      </c>
    </row>
    <row r="30" spans="1:26" s="24" customFormat="1" hidden="1" outlineLevel="2" x14ac:dyDescent="0.25">
      <c r="A30" s="29"/>
      <c r="B30" s="11" t="str">
        <f>CONCATENATE("          ", "6115", " - ", "P.E.R.S.")</f>
        <v xml:space="preserve">          6115 - P.E.R.S.</v>
      </c>
      <c r="C30" s="11"/>
      <c r="D30" s="7">
        <v>392.49</v>
      </c>
      <c r="E30" s="2"/>
      <c r="F30" s="6">
        <f t="shared" si="12"/>
        <v>2.7083778990732627E-2</v>
      </c>
      <c r="G30" s="2"/>
      <c r="H30" s="7">
        <v>425.18400000000003</v>
      </c>
      <c r="I30" s="2"/>
      <c r="J30" s="6">
        <f t="shared" si="13"/>
        <v>2.9967437729944601E-2</v>
      </c>
      <c r="K30" s="2"/>
      <c r="L30" s="7">
        <f t="shared" si="14"/>
        <v>-32.694000000000017</v>
      </c>
      <c r="M30" s="2"/>
      <c r="N30" s="6">
        <f t="shared" si="15"/>
        <v>-7.6893768344998906E-2</v>
      </c>
      <c r="O30" s="11"/>
      <c r="P30" s="7">
        <v>392.49</v>
      </c>
      <c r="Q30" s="2"/>
      <c r="R30" s="6">
        <f t="shared" si="16"/>
        <v>2.7083778990732627E-2</v>
      </c>
      <c r="S30" s="2"/>
      <c r="T30" s="7">
        <v>425.18400000000003</v>
      </c>
      <c r="U30" s="2"/>
      <c r="V30" s="6">
        <f t="shared" si="17"/>
        <v>2.9967437729944601E-2</v>
      </c>
      <c r="W30" s="2"/>
      <c r="X30" s="7">
        <f t="shared" si="18"/>
        <v>-32.694000000000017</v>
      </c>
      <c r="Y30" s="2"/>
      <c r="Z30" s="6">
        <f t="shared" si="19"/>
        <v>-7.6893768344998906E-2</v>
      </c>
    </row>
    <row r="31" spans="1:26" s="24" customFormat="1" hidden="1" outlineLevel="2" x14ac:dyDescent="0.25">
      <c r="A31" s="29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280.8</v>
      </c>
      <c r="E32" s="2"/>
      <c r="F32" s="6">
        <f t="shared" si="12"/>
        <v>1.9376608679450995E-2</v>
      </c>
      <c r="G32" s="2"/>
      <c r="H32" s="7">
        <v>247.2</v>
      </c>
      <c r="I32" s="2"/>
      <c r="J32" s="6">
        <f t="shared" si="13"/>
        <v>1.7422928912758488E-2</v>
      </c>
      <c r="K32" s="2"/>
      <c r="L32" s="7">
        <f t="shared" si="14"/>
        <v>33.600000000000023</v>
      </c>
      <c r="M32" s="2"/>
      <c r="N32" s="6">
        <f t="shared" si="15"/>
        <v>0.13592233009708748</v>
      </c>
      <c r="O32" s="11"/>
      <c r="P32" s="7">
        <v>280.8</v>
      </c>
      <c r="Q32" s="2"/>
      <c r="R32" s="6">
        <f t="shared" si="16"/>
        <v>1.9376608679450995E-2</v>
      </c>
      <c r="S32" s="2"/>
      <c r="T32" s="7">
        <v>247.2</v>
      </c>
      <c r="U32" s="2"/>
      <c r="V32" s="6">
        <f t="shared" si="17"/>
        <v>1.7422928912758488E-2</v>
      </c>
      <c r="W32" s="2"/>
      <c r="X32" s="7">
        <f t="shared" si="18"/>
        <v>33.600000000000023</v>
      </c>
      <c r="Y32" s="2"/>
      <c r="Z32" s="6">
        <f t="shared" si="19"/>
        <v>0.13592233009708748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177.12</v>
      </c>
      <c r="E33" s="2"/>
      <c r="F33" s="6">
        <f t="shared" si="12"/>
        <v>1.2222168551653706E-2</v>
      </c>
      <c r="G33" s="2"/>
      <c r="H33" s="7">
        <v>295.01249999999999</v>
      </c>
      <c r="I33" s="2"/>
      <c r="J33" s="6">
        <f t="shared" si="13"/>
        <v>2.0792806698524124E-2</v>
      </c>
      <c r="K33" s="2"/>
      <c r="L33" s="7">
        <f t="shared" si="14"/>
        <v>-117.89249999999998</v>
      </c>
      <c r="M33" s="2"/>
      <c r="N33" s="6">
        <f t="shared" si="15"/>
        <v>-0.39961866022626158</v>
      </c>
      <c r="O33" s="11"/>
      <c r="P33" s="7">
        <v>177.12</v>
      </c>
      <c r="Q33" s="2"/>
      <c r="R33" s="6">
        <f t="shared" si="16"/>
        <v>1.2222168551653706E-2</v>
      </c>
      <c r="S33" s="2"/>
      <c r="T33" s="7">
        <v>295.01249999999999</v>
      </c>
      <c r="U33" s="2"/>
      <c r="V33" s="6">
        <f t="shared" si="17"/>
        <v>2.0792806698524124E-2</v>
      </c>
      <c r="W33" s="2"/>
      <c r="X33" s="7">
        <f t="shared" si="18"/>
        <v>-117.89249999999998</v>
      </c>
      <c r="Y33" s="2"/>
      <c r="Z33" s="6">
        <f t="shared" si="19"/>
        <v>-0.39961866022626158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148.35</v>
      </c>
      <c r="E34" s="2"/>
      <c r="F34" s="6">
        <f t="shared" si="12"/>
        <v>1.0236894222209953E-2</v>
      </c>
      <c r="G34" s="2"/>
      <c r="H34" s="7">
        <v>125</v>
      </c>
      <c r="I34" s="2"/>
      <c r="J34" s="6">
        <f t="shared" si="13"/>
        <v>8.8101380020016631E-3</v>
      </c>
      <c r="K34" s="2"/>
      <c r="L34" s="7">
        <f t="shared" si="14"/>
        <v>23.349999999999994</v>
      </c>
      <c r="M34" s="2"/>
      <c r="N34" s="6">
        <f t="shared" si="15"/>
        <v>0.18679999999999997</v>
      </c>
      <c r="O34" s="11"/>
      <c r="P34" s="7">
        <v>148.35</v>
      </c>
      <c r="Q34" s="2"/>
      <c r="R34" s="6">
        <f t="shared" si="16"/>
        <v>1.0236894222209953E-2</v>
      </c>
      <c r="S34" s="2"/>
      <c r="T34" s="7">
        <v>125</v>
      </c>
      <c r="U34" s="2"/>
      <c r="V34" s="6">
        <f t="shared" si="17"/>
        <v>8.8101380020016631E-3</v>
      </c>
      <c r="W34" s="2"/>
      <c r="X34" s="7">
        <f t="shared" si="18"/>
        <v>23.349999999999994</v>
      </c>
      <c r="Y34" s="2"/>
      <c r="Z34" s="6">
        <f t="shared" si="19"/>
        <v>0.18679999999999997</v>
      </c>
    </row>
    <row r="35" spans="1:26" s="27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7111.94</v>
      </c>
      <c r="E35" s="1"/>
      <c r="F35" s="5">
        <f t="shared" ref="F35:F45" si="20">IF(D$12=0,0,D35/D$12)</f>
        <v>0.49075953821842844</v>
      </c>
      <c r="G35" s="1"/>
      <c r="H35" s="1">
        <f>SUM(OSRRefH22_1x_0)</f>
        <v>5995.5375000000004</v>
      </c>
      <c r="I35" s="1"/>
      <c r="J35" s="5">
        <f t="shared" ref="J35:J45" si="21">IF(H$12=0,0,H35/H$12)</f>
        <v>0.42257210216940838</v>
      </c>
      <c r="K35" s="1"/>
      <c r="L35" s="1">
        <f t="shared" ref="L35:L45" si="22">+D35-H35</f>
        <v>1116.4024999999992</v>
      </c>
      <c r="M35" s="1"/>
      <c r="N35" s="5">
        <f t="shared" ref="N35:N45" si="23">IF(H35=0,0,L35/H35)</f>
        <v>0.18620557372879398</v>
      </c>
      <c r="O35" s="14"/>
      <c r="P35" s="1">
        <f>SUM(OSRRefP22_1x_0)</f>
        <v>7111.94</v>
      </c>
      <c r="Q35" s="1"/>
      <c r="R35" s="5">
        <f t="shared" ref="R35:R45" si="24">IF(P$12=0,0,P35/P$12)</f>
        <v>0.49075953821842844</v>
      </c>
      <c r="S35" s="1"/>
      <c r="T35" s="1">
        <f>SUM(OSRRefT22_1x_0)</f>
        <v>5995.5375000000004</v>
      </c>
      <c r="U35" s="1"/>
      <c r="V35" s="5">
        <f t="shared" ref="V35:V45" si="25">IF(T$12=0,0,T35/T$12)</f>
        <v>0.42257210216940838</v>
      </c>
      <c r="W35" s="1"/>
      <c r="X35" s="1">
        <f t="shared" ref="X35:X45" si="26">+P35-T35</f>
        <v>1116.4024999999992</v>
      </c>
      <c r="Y35" s="1"/>
      <c r="Z35" s="5">
        <f t="shared" ref="Z35:Z45" si="27">IF(T35=0,0,X35/T35)</f>
        <v>0.18620557372879398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4224</v>
      </c>
      <c r="E37" s="2"/>
      <c r="F37" s="6">
        <f t="shared" si="20"/>
        <v>0.29147719039174147</v>
      </c>
      <c r="G37" s="2"/>
      <c r="H37" s="7">
        <v>4449.6000000000004</v>
      </c>
      <c r="I37" s="2"/>
      <c r="J37" s="6">
        <f t="shared" si="21"/>
        <v>0.31361272042965282</v>
      </c>
      <c r="K37" s="2"/>
      <c r="L37" s="7">
        <f t="shared" si="22"/>
        <v>-225.60000000000036</v>
      </c>
      <c r="M37" s="2"/>
      <c r="N37" s="6">
        <f t="shared" si="23"/>
        <v>-5.0701186623516796E-2</v>
      </c>
      <c r="O37" s="11"/>
      <c r="P37" s="7">
        <v>4224</v>
      </c>
      <c r="Q37" s="2"/>
      <c r="R37" s="6">
        <f t="shared" si="24"/>
        <v>0.29147719039174147</v>
      </c>
      <c r="S37" s="2"/>
      <c r="T37" s="7">
        <v>4449.6000000000004</v>
      </c>
      <c r="U37" s="2"/>
      <c r="V37" s="6">
        <f t="shared" si="25"/>
        <v>0.31361272042965282</v>
      </c>
      <c r="W37" s="2"/>
      <c r="X37" s="7">
        <f t="shared" si="26"/>
        <v>-225.60000000000036</v>
      </c>
      <c r="Y37" s="2"/>
      <c r="Z37" s="6">
        <f t="shared" si="27"/>
        <v>-5.0701186623516796E-2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>
        <v>62.69</v>
      </c>
      <c r="E40" s="2"/>
      <c r="F40" s="6">
        <f t="shared" si="20"/>
        <v>4.3259244947107655E-3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62.69</v>
      </c>
      <c r="M40" s="2"/>
      <c r="N40" s="6">
        <f t="shared" si="23"/>
        <v>0</v>
      </c>
      <c r="O40" s="11"/>
      <c r="P40" s="7">
        <v>62.69</v>
      </c>
      <c r="Q40" s="2"/>
      <c r="R40" s="6">
        <f t="shared" si="24"/>
        <v>4.3259244947107655E-3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62.69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2717.25</v>
      </c>
      <c r="E42" s="2"/>
      <c r="F42" s="6">
        <f t="shared" si="20"/>
        <v>0.18750388153218739</v>
      </c>
      <c r="G42" s="2"/>
      <c r="H42" s="7">
        <v>1545.9375</v>
      </c>
      <c r="I42" s="2"/>
      <c r="J42" s="6">
        <f t="shared" si="21"/>
        <v>0.10895938173975557</v>
      </c>
      <c r="K42" s="2"/>
      <c r="L42" s="7">
        <f t="shared" si="22"/>
        <v>1171.3125</v>
      </c>
      <c r="M42" s="2"/>
      <c r="N42" s="6">
        <f t="shared" si="23"/>
        <v>0.75767131594906001</v>
      </c>
      <c r="O42" s="11"/>
      <c r="P42" s="7">
        <v>2717.25</v>
      </c>
      <c r="Q42" s="2"/>
      <c r="R42" s="6">
        <f t="shared" si="24"/>
        <v>0.18750388153218739</v>
      </c>
      <c r="S42" s="2"/>
      <c r="T42" s="7">
        <v>1545.9375</v>
      </c>
      <c r="U42" s="2"/>
      <c r="V42" s="6">
        <f t="shared" si="25"/>
        <v>0.10895938173975557</v>
      </c>
      <c r="W42" s="2"/>
      <c r="X42" s="7">
        <f t="shared" si="26"/>
        <v>1171.3125</v>
      </c>
      <c r="Y42" s="2"/>
      <c r="Z42" s="6">
        <f t="shared" si="27"/>
        <v>0.75767131594906001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>
        <v>108</v>
      </c>
      <c r="E43" s="2"/>
      <c r="F43" s="6">
        <f t="shared" si="20"/>
        <v>7.4525417997888446E-3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108</v>
      </c>
      <c r="M43" s="2"/>
      <c r="N43" s="6">
        <f t="shared" si="23"/>
        <v>0</v>
      </c>
      <c r="O43" s="11"/>
      <c r="P43" s="7">
        <v>108</v>
      </c>
      <c r="Q43" s="2"/>
      <c r="R43" s="6">
        <f t="shared" si="24"/>
        <v>7.4525417997888446E-3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108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54" si="28">IF(D$12=0,0,D46/D$12)</f>
        <v>0</v>
      </c>
      <c r="G46" s="1"/>
      <c r="H46" s="1">
        <f>SUM(OSRRefH22_2x_0)</f>
        <v>75</v>
      </c>
      <c r="I46" s="1"/>
      <c r="J46" s="5">
        <f t="shared" ref="J46:J54" si="29">IF(H$12=0,0,H46/H$12)</f>
        <v>5.286082801200998E-3</v>
      </c>
      <c r="K46" s="1"/>
      <c r="L46" s="1">
        <f t="shared" ref="L46:L54" si="30">+D46-H46</f>
        <v>-75</v>
      </c>
      <c r="M46" s="1"/>
      <c r="N46" s="5">
        <f t="shared" ref="N46:N54" si="31">IF(H46=0,0,L46/H46)</f>
        <v>-1</v>
      </c>
      <c r="O46" s="14"/>
      <c r="P46" s="1">
        <f>SUM(OSRRefP22_2x_0)</f>
        <v>0</v>
      </c>
      <c r="Q46" s="1"/>
      <c r="R46" s="5">
        <f t="shared" ref="R46:R54" si="32">IF(P$12=0,0,P46/P$12)</f>
        <v>0</v>
      </c>
      <c r="S46" s="1"/>
      <c r="T46" s="1">
        <f>SUM(OSRRefT22_2x_0)</f>
        <v>75</v>
      </c>
      <c r="U46" s="1"/>
      <c r="V46" s="5">
        <f t="shared" ref="V46:V54" si="33">IF(T$12=0,0,T46/T$12)</f>
        <v>5.286082801200998E-3</v>
      </c>
      <c r="W46" s="1"/>
      <c r="X46" s="1">
        <f t="shared" ref="X46:X54" si="34">+P46-T46</f>
        <v>-75</v>
      </c>
      <c r="Y46" s="1"/>
      <c r="Z46" s="5">
        <f t="shared" ref="Z46:Z54" si="35">IF(T46=0,0,X46/T46)</f>
        <v>-1</v>
      </c>
    </row>
    <row r="47" spans="1:26" s="24" customFormat="1" hidden="1" outlineLevel="2" x14ac:dyDescent="0.25">
      <c r="A47" s="29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8"/>
        <v>0</v>
      </c>
      <c r="G47" s="2"/>
      <c r="H47" s="7">
        <v>75</v>
      </c>
      <c r="I47" s="2"/>
      <c r="J47" s="6">
        <f t="shared" si="29"/>
        <v>5.286082801200998E-3</v>
      </c>
      <c r="K47" s="2"/>
      <c r="L47" s="7">
        <f t="shared" si="30"/>
        <v>-75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75</v>
      </c>
      <c r="U47" s="2"/>
      <c r="V47" s="6">
        <f t="shared" si="33"/>
        <v>5.286082801200998E-3</v>
      </c>
      <c r="W47" s="2"/>
      <c r="X47" s="7">
        <f t="shared" si="34"/>
        <v>-75</v>
      </c>
      <c r="Y47" s="2"/>
      <c r="Z47" s="6">
        <f t="shared" si="35"/>
        <v>-1</v>
      </c>
    </row>
    <row r="48" spans="1:26" s="27" customFormat="1" outlineLevel="1" collapsed="1" x14ac:dyDescent="0.25">
      <c r="A48" s="28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-7.77</v>
      </c>
      <c r="E48" s="1"/>
      <c r="F48" s="5">
        <f t="shared" si="28"/>
        <v>-5.3616897948480853E-4</v>
      </c>
      <c r="G48" s="1"/>
      <c r="H48" s="1">
        <f>SUM(OSRRefH22_3x_0)</f>
        <v>10</v>
      </c>
      <c r="I48" s="1"/>
      <c r="J48" s="5">
        <f t="shared" si="29"/>
        <v>7.0481104016013299E-4</v>
      </c>
      <c r="K48" s="1"/>
      <c r="L48" s="1">
        <f t="shared" si="30"/>
        <v>-17.77</v>
      </c>
      <c r="M48" s="1"/>
      <c r="N48" s="5">
        <f t="shared" si="31"/>
        <v>-1.7769999999999999</v>
      </c>
      <c r="O48" s="14"/>
      <c r="P48" s="1">
        <f>SUM(OSRRefP22_3x_0)</f>
        <v>-7.77</v>
      </c>
      <c r="Q48" s="1"/>
      <c r="R48" s="5">
        <f t="shared" si="32"/>
        <v>-5.3616897948480853E-4</v>
      </c>
      <c r="S48" s="1"/>
      <c r="T48" s="1">
        <f>SUM(OSRRefT22_3x_0)</f>
        <v>10</v>
      </c>
      <c r="U48" s="1"/>
      <c r="V48" s="5">
        <f t="shared" si="33"/>
        <v>7.0481104016013299E-4</v>
      </c>
      <c r="W48" s="1"/>
      <c r="X48" s="1">
        <f t="shared" si="34"/>
        <v>-17.77</v>
      </c>
      <c r="Y48" s="1"/>
      <c r="Z48" s="5">
        <f t="shared" si="35"/>
        <v>-1.7769999999999999</v>
      </c>
    </row>
    <row r="49" spans="1:26" s="24" customFormat="1" hidden="1" outlineLevel="2" x14ac:dyDescent="0.25">
      <c r="A49" s="29"/>
      <c r="B49" s="11" t="str">
        <f>CONCATENATE("          ", "6272", " - ", "CASH (OVER/SHORT)")</f>
        <v xml:space="preserve">          6272 - CASH (OVER/SHORT)</v>
      </c>
      <c r="C49" s="11"/>
      <c r="D49" s="7">
        <v>-7.77</v>
      </c>
      <c r="E49" s="2"/>
      <c r="F49" s="6">
        <f t="shared" si="28"/>
        <v>-5.3616897948480853E-4</v>
      </c>
      <c r="G49" s="2"/>
      <c r="H49" s="7">
        <v>10</v>
      </c>
      <c r="I49" s="2"/>
      <c r="J49" s="6">
        <f t="shared" si="29"/>
        <v>7.0481104016013299E-4</v>
      </c>
      <c r="K49" s="2"/>
      <c r="L49" s="7">
        <f t="shared" si="30"/>
        <v>-17.77</v>
      </c>
      <c r="M49" s="2"/>
      <c r="N49" s="6">
        <f t="shared" si="31"/>
        <v>-1.7769999999999999</v>
      </c>
      <c r="O49" s="11"/>
      <c r="P49" s="7">
        <v>-7.77</v>
      </c>
      <c r="Q49" s="2"/>
      <c r="R49" s="6">
        <f t="shared" si="32"/>
        <v>-5.3616897948480853E-4</v>
      </c>
      <c r="S49" s="2"/>
      <c r="T49" s="7">
        <v>10</v>
      </c>
      <c r="U49" s="2"/>
      <c r="V49" s="6">
        <f t="shared" si="33"/>
        <v>7.0481104016013299E-4</v>
      </c>
      <c r="W49" s="2"/>
      <c r="X49" s="7">
        <f t="shared" si="34"/>
        <v>-17.77</v>
      </c>
      <c r="Y49" s="2"/>
      <c r="Z49" s="6">
        <f t="shared" si="35"/>
        <v>-1.7769999999999999</v>
      </c>
    </row>
    <row r="50" spans="1:26" s="27" customFormat="1" outlineLevel="1" collapsed="1" x14ac:dyDescent="0.25">
      <c r="A50" s="28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403.75</v>
      </c>
      <c r="E50" s="1"/>
      <c r="F50" s="5">
        <f t="shared" si="28"/>
        <v>2.7860775478377276E-2</v>
      </c>
      <c r="G50" s="1"/>
      <c r="H50" s="1">
        <f>SUM(OSRRefH22_4x_0)</f>
        <v>315</v>
      </c>
      <c r="I50" s="1"/>
      <c r="J50" s="5">
        <f t="shared" si="29"/>
        <v>2.220154776504419E-2</v>
      </c>
      <c r="K50" s="1"/>
      <c r="L50" s="1">
        <f t="shared" si="30"/>
        <v>88.75</v>
      </c>
      <c r="M50" s="1"/>
      <c r="N50" s="5">
        <f t="shared" si="31"/>
        <v>0.28174603174603174</v>
      </c>
      <c r="O50" s="14"/>
      <c r="P50" s="1">
        <f>SUM(OSRRefP22_4x_0)</f>
        <v>403.75</v>
      </c>
      <c r="Q50" s="1"/>
      <c r="R50" s="5">
        <f t="shared" si="32"/>
        <v>2.7860775478377276E-2</v>
      </c>
      <c r="S50" s="1"/>
      <c r="T50" s="1">
        <f>SUM(OSRRefT22_4x_0)</f>
        <v>315</v>
      </c>
      <c r="U50" s="1"/>
      <c r="V50" s="5">
        <f t="shared" si="33"/>
        <v>2.220154776504419E-2</v>
      </c>
      <c r="W50" s="1"/>
      <c r="X50" s="1">
        <f t="shared" si="34"/>
        <v>88.75</v>
      </c>
      <c r="Y50" s="1"/>
      <c r="Z50" s="5">
        <f t="shared" si="35"/>
        <v>0.28174603174603174</v>
      </c>
    </row>
    <row r="51" spans="1:26" s="24" customFormat="1" hidden="1" outlineLevel="2" x14ac:dyDescent="0.25">
      <c r="A51" s="29"/>
      <c r="B51" s="11" t="str">
        <f>CONCATENATE("          ", "6381", " - ", "BANK/CREDIT CARD FEES")</f>
        <v xml:space="preserve">          6381 - BANK/CREDIT CARD FEES</v>
      </c>
      <c r="C51" s="11"/>
      <c r="D51" s="7">
        <v>403.75</v>
      </c>
      <c r="E51" s="2"/>
      <c r="F51" s="6">
        <f t="shared" si="28"/>
        <v>2.7860775478377276E-2</v>
      </c>
      <c r="G51" s="2"/>
      <c r="H51" s="7">
        <v>315</v>
      </c>
      <c r="I51" s="2"/>
      <c r="J51" s="6">
        <f t="shared" si="29"/>
        <v>2.220154776504419E-2</v>
      </c>
      <c r="K51" s="2"/>
      <c r="L51" s="7">
        <f t="shared" si="30"/>
        <v>88.75</v>
      </c>
      <c r="M51" s="2"/>
      <c r="N51" s="6">
        <f t="shared" si="31"/>
        <v>0.28174603174603174</v>
      </c>
      <c r="O51" s="11"/>
      <c r="P51" s="7">
        <v>403.75</v>
      </c>
      <c r="Q51" s="2"/>
      <c r="R51" s="6">
        <f t="shared" si="32"/>
        <v>2.7860775478377276E-2</v>
      </c>
      <c r="S51" s="2"/>
      <c r="T51" s="7">
        <v>315</v>
      </c>
      <c r="U51" s="2"/>
      <c r="V51" s="6">
        <f t="shared" si="33"/>
        <v>2.220154776504419E-2</v>
      </c>
      <c r="W51" s="2"/>
      <c r="X51" s="7">
        <f t="shared" si="34"/>
        <v>88.75</v>
      </c>
      <c r="Y51" s="2"/>
      <c r="Z51" s="6">
        <f t="shared" si="35"/>
        <v>0.28174603174603174</v>
      </c>
    </row>
    <row r="52" spans="1:26" s="27" customFormat="1" outlineLevel="1" collapsed="1" x14ac:dyDescent="0.25">
      <c r="A52" s="28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5421.37</v>
      </c>
      <c r="E52" s="1"/>
      <c r="F52" s="5">
        <f t="shared" si="28"/>
        <v>0.37410172719556711</v>
      </c>
      <c r="G52" s="1"/>
      <c r="H52" s="1">
        <f>SUM(OSRRefH22_5x_0)</f>
        <v>5429</v>
      </c>
      <c r="I52" s="1"/>
      <c r="J52" s="5">
        <f t="shared" si="29"/>
        <v>0.38264191370293621</v>
      </c>
      <c r="K52" s="1"/>
      <c r="L52" s="1">
        <f t="shared" si="30"/>
        <v>-7.6300000000001091</v>
      </c>
      <c r="M52" s="1"/>
      <c r="N52" s="5">
        <f t="shared" si="31"/>
        <v>-1.4054153619451296E-3</v>
      </c>
      <c r="O52" s="14"/>
      <c r="P52" s="1">
        <f>SUM(OSRRefP22_5x_0)</f>
        <v>5421.37</v>
      </c>
      <c r="Q52" s="1"/>
      <c r="R52" s="5">
        <f t="shared" si="32"/>
        <v>0.37410172719556711</v>
      </c>
      <c r="S52" s="1"/>
      <c r="T52" s="1">
        <f>SUM(OSRRefT22_5x_0)</f>
        <v>5429</v>
      </c>
      <c r="U52" s="1"/>
      <c r="V52" s="5">
        <f t="shared" si="33"/>
        <v>0.38264191370293621</v>
      </c>
      <c r="W52" s="1"/>
      <c r="X52" s="1">
        <f t="shared" si="34"/>
        <v>-7.6300000000001091</v>
      </c>
      <c r="Y52" s="1"/>
      <c r="Z52" s="5">
        <f t="shared" si="35"/>
        <v>-1.4054153619451296E-3</v>
      </c>
    </row>
    <row r="53" spans="1:26" s="24" customFormat="1" hidden="1" outlineLevel="2" x14ac:dyDescent="0.25">
      <c r="A53" s="29"/>
      <c r="B53" s="11" t="str">
        <f>CONCATENATE("          ", "6321", " - ", "BUILDING DEPRECIATION")</f>
        <v xml:space="preserve">          6321 - BUILDING DEPRECIATION</v>
      </c>
      <c r="C53" s="11"/>
      <c r="D53" s="7">
        <v>5080.51</v>
      </c>
      <c r="E53" s="2"/>
      <c r="F53" s="6">
        <f t="shared" si="28"/>
        <v>0.35058067721523356</v>
      </c>
      <c r="G53" s="2"/>
      <c r="H53" s="7">
        <v>5081</v>
      </c>
      <c r="I53" s="2"/>
      <c r="J53" s="6">
        <f t="shared" si="29"/>
        <v>0.35811448950536362</v>
      </c>
      <c r="K53" s="2"/>
      <c r="L53" s="7">
        <f t="shared" si="30"/>
        <v>-0.48999999999978172</v>
      </c>
      <c r="M53" s="2"/>
      <c r="N53" s="6">
        <f t="shared" si="31"/>
        <v>-9.6437709112336489E-5</v>
      </c>
      <c r="O53" s="11"/>
      <c r="P53" s="7">
        <v>5080.51</v>
      </c>
      <c r="Q53" s="2"/>
      <c r="R53" s="6">
        <f t="shared" si="32"/>
        <v>0.35058067721523356</v>
      </c>
      <c r="S53" s="2"/>
      <c r="T53" s="7">
        <v>5081</v>
      </c>
      <c r="U53" s="2"/>
      <c r="V53" s="6">
        <f t="shared" si="33"/>
        <v>0.35811448950536362</v>
      </c>
      <c r="W53" s="2"/>
      <c r="X53" s="7">
        <f t="shared" si="34"/>
        <v>-0.48999999999978172</v>
      </c>
      <c r="Y53" s="2"/>
      <c r="Z53" s="6">
        <f t="shared" si="35"/>
        <v>-9.6437709112336489E-5</v>
      </c>
    </row>
    <row r="54" spans="1:26" s="24" customFormat="1" hidden="1" outlineLevel="2" x14ac:dyDescent="0.25">
      <c r="A54" s="29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340.86</v>
      </c>
      <c r="E54" s="2"/>
      <c r="F54" s="6">
        <f t="shared" si="28"/>
        <v>2.352104998033357E-2</v>
      </c>
      <c r="G54" s="2"/>
      <c r="H54" s="7">
        <v>348</v>
      </c>
      <c r="I54" s="2"/>
      <c r="J54" s="6">
        <f t="shared" si="29"/>
        <v>2.4527424197572631E-2</v>
      </c>
      <c r="K54" s="2"/>
      <c r="L54" s="7">
        <f t="shared" si="30"/>
        <v>-7.1399999999999864</v>
      </c>
      <c r="M54" s="2"/>
      <c r="N54" s="6">
        <f t="shared" si="31"/>
        <v>-2.0517241379310304E-2</v>
      </c>
      <c r="O54" s="11"/>
      <c r="P54" s="7">
        <v>340.86</v>
      </c>
      <c r="Q54" s="2"/>
      <c r="R54" s="6">
        <f t="shared" si="32"/>
        <v>2.352104998033357E-2</v>
      </c>
      <c r="S54" s="2"/>
      <c r="T54" s="7">
        <v>348</v>
      </c>
      <c r="U54" s="2"/>
      <c r="V54" s="6">
        <f t="shared" si="33"/>
        <v>2.4527424197572631E-2</v>
      </c>
      <c r="W54" s="2"/>
      <c r="X54" s="7">
        <f t="shared" si="34"/>
        <v>-7.1399999999999864</v>
      </c>
      <c r="Y54" s="2"/>
      <c r="Z54" s="6">
        <f t="shared" si="35"/>
        <v>-2.0517241379310304E-2</v>
      </c>
    </row>
    <row r="55" spans="1:26" s="27" customFormat="1" outlineLevel="1" collapsed="1" x14ac:dyDescent="0.25">
      <c r="A55" s="28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SUM(OSRRefD22_6x_0)</f>
        <v>0</v>
      </c>
      <c r="E55" s="1"/>
      <c r="F55" s="5">
        <f t="shared" ref="F55:F71" si="36">IF(D$12=0,0,D55/D$12)</f>
        <v>0</v>
      </c>
      <c r="G55" s="1"/>
      <c r="H55" s="1">
        <f>SUM(OSRRefH22_6x_0)</f>
        <v>25</v>
      </c>
      <c r="I55" s="1"/>
      <c r="J55" s="5">
        <f t="shared" ref="J55:J71" si="37">IF(H$12=0,0,H55/H$12)</f>
        <v>1.7620276004003325E-3</v>
      </c>
      <c r="K55" s="1"/>
      <c r="L55" s="1">
        <f t="shared" ref="L55:L71" si="38">+D55-H55</f>
        <v>-25</v>
      </c>
      <c r="M55" s="1"/>
      <c r="N55" s="5">
        <f t="shared" ref="N55:N71" si="39">IF(H55=0,0,L55/H55)</f>
        <v>-1</v>
      </c>
      <c r="O55" s="14"/>
      <c r="P55" s="1">
        <f>SUM(OSRRefP22_6x_0)</f>
        <v>0</v>
      </c>
      <c r="Q55" s="1"/>
      <c r="R55" s="5">
        <f t="shared" ref="R55:R71" si="40">IF(P$12=0,0,P55/P$12)</f>
        <v>0</v>
      </c>
      <c r="S55" s="1"/>
      <c r="T55" s="1">
        <f>SUM(OSRRefT22_6x_0)</f>
        <v>25</v>
      </c>
      <c r="U55" s="1"/>
      <c r="V55" s="5">
        <f t="shared" ref="V55:V71" si="41">IF(T$12=0,0,T55/T$12)</f>
        <v>1.7620276004003325E-3</v>
      </c>
      <c r="W55" s="1"/>
      <c r="X55" s="1">
        <f t="shared" ref="X55:X71" si="42">+P55-T55</f>
        <v>-25</v>
      </c>
      <c r="Y55" s="1"/>
      <c r="Z55" s="5">
        <f t="shared" ref="Z55:Z71" si="43">IF(T55=0,0,X55/T55)</f>
        <v>-1</v>
      </c>
    </row>
    <row r="56" spans="1:26" s="24" customFormat="1" hidden="1" outlineLevel="2" x14ac:dyDescent="0.25">
      <c r="A56" s="29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6"/>
        <v>0</v>
      </c>
      <c r="G56" s="2"/>
      <c r="H56" s="7">
        <v>25</v>
      </c>
      <c r="I56" s="2"/>
      <c r="J56" s="6">
        <f t="shared" si="37"/>
        <v>1.7620276004003325E-3</v>
      </c>
      <c r="K56" s="2"/>
      <c r="L56" s="7">
        <f t="shared" si="38"/>
        <v>-25</v>
      </c>
      <c r="M56" s="2"/>
      <c r="N56" s="6">
        <f t="shared" si="39"/>
        <v>-1</v>
      </c>
      <c r="O56" s="11"/>
      <c r="P56" s="7"/>
      <c r="Q56" s="2"/>
      <c r="R56" s="6">
        <f t="shared" si="40"/>
        <v>0</v>
      </c>
      <c r="S56" s="2"/>
      <c r="T56" s="7">
        <v>25</v>
      </c>
      <c r="U56" s="2"/>
      <c r="V56" s="6">
        <f t="shared" si="41"/>
        <v>1.7620276004003325E-3</v>
      </c>
      <c r="W56" s="2"/>
      <c r="X56" s="7">
        <f t="shared" si="42"/>
        <v>-25</v>
      </c>
      <c r="Y56" s="2"/>
      <c r="Z56" s="6">
        <f t="shared" si="43"/>
        <v>-1</v>
      </c>
    </row>
    <row r="57" spans="1:26" s="27" customFormat="1" outlineLevel="1" collapsed="1" x14ac:dyDescent="0.25">
      <c r="A57" s="28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SUM(OSRRefD22_7x_0)</f>
        <v>146.47</v>
      </c>
      <c r="E57" s="1"/>
      <c r="F57" s="5">
        <f t="shared" si="36"/>
        <v>1.0107164790880297E-2</v>
      </c>
      <c r="G57" s="1"/>
      <c r="H57" s="1">
        <f>SUM(OSRRefH22_7x_0)</f>
        <v>80</v>
      </c>
      <c r="I57" s="1"/>
      <c r="J57" s="5">
        <f t="shared" si="37"/>
        <v>5.6384883212810639E-3</v>
      </c>
      <c r="K57" s="1"/>
      <c r="L57" s="1">
        <f t="shared" si="38"/>
        <v>66.47</v>
      </c>
      <c r="M57" s="1"/>
      <c r="N57" s="5">
        <f t="shared" si="39"/>
        <v>0.83087500000000003</v>
      </c>
      <c r="O57" s="14"/>
      <c r="P57" s="1">
        <f>SUM(OSRRefP22_7x_0)</f>
        <v>146.47</v>
      </c>
      <c r="Q57" s="1"/>
      <c r="R57" s="5">
        <f t="shared" si="40"/>
        <v>1.0107164790880297E-2</v>
      </c>
      <c r="S57" s="1"/>
      <c r="T57" s="1">
        <f>SUM(OSRRefT22_7x_0)</f>
        <v>80</v>
      </c>
      <c r="U57" s="1"/>
      <c r="V57" s="5">
        <f t="shared" si="41"/>
        <v>5.6384883212810639E-3</v>
      </c>
      <c r="W57" s="1"/>
      <c r="X57" s="1">
        <f t="shared" si="42"/>
        <v>66.47</v>
      </c>
      <c r="Y57" s="1"/>
      <c r="Z57" s="5">
        <f t="shared" si="43"/>
        <v>0.83087500000000003</v>
      </c>
    </row>
    <row r="58" spans="1:26" s="24" customFormat="1" hidden="1" outlineLevel="2" x14ac:dyDescent="0.25">
      <c r="A58" s="29"/>
      <c r="B58" s="11" t="str">
        <f>CONCATENATE("          ", "6351", " - ", "EQUIPMENT RENTAL")</f>
        <v xml:space="preserve">          6351 - EQUIPMENT RENTAL</v>
      </c>
      <c r="C58" s="11"/>
      <c r="D58" s="7">
        <v>146.47</v>
      </c>
      <c r="E58" s="2"/>
      <c r="F58" s="6">
        <f t="shared" si="36"/>
        <v>1.0107164790880297E-2</v>
      </c>
      <c r="G58" s="2"/>
      <c r="H58" s="7">
        <v>80</v>
      </c>
      <c r="I58" s="2"/>
      <c r="J58" s="6">
        <f t="shared" si="37"/>
        <v>5.6384883212810639E-3</v>
      </c>
      <c r="K58" s="2"/>
      <c r="L58" s="7">
        <f t="shared" si="38"/>
        <v>66.47</v>
      </c>
      <c r="M58" s="2"/>
      <c r="N58" s="6">
        <f t="shared" si="39"/>
        <v>0.83087500000000003</v>
      </c>
      <c r="O58" s="11"/>
      <c r="P58" s="7">
        <v>146.47</v>
      </c>
      <c r="Q58" s="2"/>
      <c r="R58" s="6">
        <f t="shared" si="40"/>
        <v>1.0107164790880297E-2</v>
      </c>
      <c r="S58" s="2"/>
      <c r="T58" s="7">
        <v>80</v>
      </c>
      <c r="U58" s="2"/>
      <c r="V58" s="6">
        <f t="shared" si="41"/>
        <v>5.6384883212810639E-3</v>
      </c>
      <c r="W58" s="2"/>
      <c r="X58" s="7">
        <f t="shared" si="42"/>
        <v>66.47</v>
      </c>
      <c r="Y58" s="2"/>
      <c r="Z58" s="6">
        <f t="shared" si="43"/>
        <v>0.83087500000000003</v>
      </c>
    </row>
    <row r="59" spans="1:26" s="27" customFormat="1" outlineLevel="1" collapsed="1" x14ac:dyDescent="0.25">
      <c r="A59" s="28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SUM(OSRRefD22_8x_0)</f>
        <v>740.3</v>
      </c>
      <c r="E59" s="1"/>
      <c r="F59" s="5">
        <f t="shared" si="36"/>
        <v>5.1084413836885938E-2</v>
      </c>
      <c r="G59" s="1"/>
      <c r="H59" s="1">
        <f>SUM(OSRRefH22_8x_0)</f>
        <v>400</v>
      </c>
      <c r="I59" s="1"/>
      <c r="J59" s="5">
        <f t="shared" si="37"/>
        <v>2.819244160640532E-2</v>
      </c>
      <c r="K59" s="1"/>
      <c r="L59" s="1">
        <f t="shared" si="38"/>
        <v>340.29999999999995</v>
      </c>
      <c r="M59" s="1"/>
      <c r="N59" s="5">
        <f t="shared" si="39"/>
        <v>0.8507499999999999</v>
      </c>
      <c r="O59" s="14"/>
      <c r="P59" s="1">
        <f>SUM(OSRRefP22_8x_0)</f>
        <v>740.3</v>
      </c>
      <c r="Q59" s="1"/>
      <c r="R59" s="5">
        <f t="shared" si="40"/>
        <v>5.1084413836885938E-2</v>
      </c>
      <c r="S59" s="1"/>
      <c r="T59" s="1">
        <f>SUM(OSRRefT22_8x_0)</f>
        <v>400</v>
      </c>
      <c r="U59" s="1"/>
      <c r="V59" s="5">
        <f t="shared" si="41"/>
        <v>2.819244160640532E-2</v>
      </c>
      <c r="W59" s="1"/>
      <c r="X59" s="1">
        <f t="shared" si="42"/>
        <v>340.29999999999995</v>
      </c>
      <c r="Y59" s="1"/>
      <c r="Z59" s="5">
        <f t="shared" si="43"/>
        <v>0.8507499999999999</v>
      </c>
    </row>
    <row r="60" spans="1:26" s="24" customFormat="1" hidden="1" outlineLevel="2" x14ac:dyDescent="0.25">
      <c r="A60" s="29"/>
      <c r="B60" s="11" t="str">
        <f>CONCATENATE("          ", "6279", " - ", "GENERAL EXPENSE")</f>
        <v xml:space="preserve">          6279 - GENERAL EXPENSE</v>
      </c>
      <c r="C60" s="11"/>
      <c r="D60" s="7">
        <v>740.3</v>
      </c>
      <c r="E60" s="2"/>
      <c r="F60" s="6">
        <f t="shared" si="36"/>
        <v>5.1084413836885938E-2</v>
      </c>
      <c r="G60" s="2"/>
      <c r="H60" s="7">
        <v>400</v>
      </c>
      <c r="I60" s="2"/>
      <c r="J60" s="6">
        <f t="shared" si="37"/>
        <v>2.819244160640532E-2</v>
      </c>
      <c r="K60" s="2"/>
      <c r="L60" s="7">
        <f t="shared" si="38"/>
        <v>340.29999999999995</v>
      </c>
      <c r="M60" s="2"/>
      <c r="N60" s="6">
        <f t="shared" si="39"/>
        <v>0.8507499999999999</v>
      </c>
      <c r="O60" s="11"/>
      <c r="P60" s="7">
        <v>740.3</v>
      </c>
      <c r="Q60" s="2"/>
      <c r="R60" s="6">
        <f t="shared" si="40"/>
        <v>5.1084413836885938E-2</v>
      </c>
      <c r="S60" s="2"/>
      <c r="T60" s="7">
        <v>400</v>
      </c>
      <c r="U60" s="2"/>
      <c r="V60" s="6">
        <f t="shared" si="41"/>
        <v>2.819244160640532E-2</v>
      </c>
      <c r="W60" s="2"/>
      <c r="X60" s="7">
        <f t="shared" si="42"/>
        <v>340.29999999999995</v>
      </c>
      <c r="Y60" s="2"/>
      <c r="Z60" s="6">
        <f t="shared" si="43"/>
        <v>0.8507499999999999</v>
      </c>
    </row>
    <row r="61" spans="1:26" s="27" customFormat="1" outlineLevel="1" collapsed="1" x14ac:dyDescent="0.25">
      <c r="A61" s="28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SUM(OSRRefD22_9x_0)</f>
        <v>243.54</v>
      </c>
      <c r="E61" s="1"/>
      <c r="F61" s="5">
        <f t="shared" si="36"/>
        <v>1.6805481758523845E-2</v>
      </c>
      <c r="G61" s="1"/>
      <c r="H61" s="1">
        <f>SUM(OSRRefH22_9x_0)</f>
        <v>230</v>
      </c>
      <c r="I61" s="1"/>
      <c r="J61" s="5">
        <f t="shared" si="37"/>
        <v>1.6210653923683059E-2</v>
      </c>
      <c r="K61" s="1"/>
      <c r="L61" s="1">
        <f t="shared" si="38"/>
        <v>13.539999999999992</v>
      </c>
      <c r="M61" s="1"/>
      <c r="N61" s="5">
        <f t="shared" si="39"/>
        <v>5.886956521739127E-2</v>
      </c>
      <c r="O61" s="14"/>
      <c r="P61" s="1">
        <f>SUM(OSRRefP22_9x_0)</f>
        <v>243.54</v>
      </c>
      <c r="Q61" s="1"/>
      <c r="R61" s="5">
        <f t="shared" si="40"/>
        <v>1.6805481758523845E-2</v>
      </c>
      <c r="S61" s="1"/>
      <c r="T61" s="1">
        <f>SUM(OSRRefT22_9x_0)</f>
        <v>230</v>
      </c>
      <c r="U61" s="1"/>
      <c r="V61" s="5">
        <f t="shared" si="41"/>
        <v>1.6210653923683059E-2</v>
      </c>
      <c r="W61" s="1"/>
      <c r="X61" s="1">
        <f t="shared" si="42"/>
        <v>13.539999999999992</v>
      </c>
      <c r="Y61" s="1"/>
      <c r="Z61" s="5">
        <f t="shared" si="43"/>
        <v>5.886956521739127E-2</v>
      </c>
    </row>
    <row r="62" spans="1:26" s="24" customFormat="1" hidden="1" outlineLevel="2" x14ac:dyDescent="0.25">
      <c r="A62" s="29"/>
      <c r="B62" s="11" t="str">
        <f>CONCATENATE("          ", "6314", " - ", "LIABILITY INSURANCE")</f>
        <v xml:space="preserve">          6314 - LIABILITY INSURANCE</v>
      </c>
      <c r="C62" s="11"/>
      <c r="D62" s="7">
        <v>243.54</v>
      </c>
      <c r="E62" s="2"/>
      <c r="F62" s="6">
        <f t="shared" si="36"/>
        <v>1.6805481758523845E-2</v>
      </c>
      <c r="G62" s="2"/>
      <c r="H62" s="7">
        <v>230</v>
      </c>
      <c r="I62" s="2"/>
      <c r="J62" s="6">
        <f t="shared" si="37"/>
        <v>1.6210653923683059E-2</v>
      </c>
      <c r="K62" s="2"/>
      <c r="L62" s="7">
        <f t="shared" si="38"/>
        <v>13.539999999999992</v>
      </c>
      <c r="M62" s="2"/>
      <c r="N62" s="6">
        <f t="shared" si="39"/>
        <v>5.886956521739127E-2</v>
      </c>
      <c r="O62" s="11"/>
      <c r="P62" s="7">
        <v>243.54</v>
      </c>
      <c r="Q62" s="2"/>
      <c r="R62" s="6">
        <f t="shared" si="40"/>
        <v>1.6805481758523845E-2</v>
      </c>
      <c r="S62" s="2"/>
      <c r="T62" s="7">
        <v>230</v>
      </c>
      <c r="U62" s="2"/>
      <c r="V62" s="6">
        <f t="shared" si="41"/>
        <v>1.6210653923683059E-2</v>
      </c>
      <c r="W62" s="2"/>
      <c r="X62" s="7">
        <f t="shared" si="42"/>
        <v>13.539999999999992</v>
      </c>
      <c r="Y62" s="2"/>
      <c r="Z62" s="6">
        <f t="shared" si="43"/>
        <v>5.886956521739127E-2</v>
      </c>
    </row>
    <row r="63" spans="1:26" s="27" customFormat="1" outlineLevel="1" collapsed="1" x14ac:dyDescent="0.25">
      <c r="A63" s="28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SUM(OSRRefD22_10x_0)</f>
        <v>4110</v>
      </c>
      <c r="E63" s="1"/>
      <c r="F63" s="5">
        <f t="shared" si="36"/>
        <v>0.28361061849196434</v>
      </c>
      <c r="G63" s="1"/>
      <c r="H63" s="1">
        <f>SUM(OSRRefH22_10x_0)</f>
        <v>4175</v>
      </c>
      <c r="I63" s="1"/>
      <c r="J63" s="5">
        <f t="shared" si="37"/>
        <v>0.29425860926685554</v>
      </c>
      <c r="K63" s="1"/>
      <c r="L63" s="1">
        <f t="shared" si="38"/>
        <v>-65</v>
      </c>
      <c r="M63" s="1"/>
      <c r="N63" s="5">
        <f t="shared" si="39"/>
        <v>-1.5568862275449102E-2</v>
      </c>
      <c r="O63" s="14"/>
      <c r="P63" s="1">
        <f>SUM(OSRRefP22_10x_0)</f>
        <v>4110</v>
      </c>
      <c r="Q63" s="1"/>
      <c r="R63" s="5">
        <f t="shared" si="40"/>
        <v>0.28361061849196434</v>
      </c>
      <c r="S63" s="1"/>
      <c r="T63" s="1">
        <f>SUM(OSRRefT22_10x_0)</f>
        <v>4175</v>
      </c>
      <c r="U63" s="1"/>
      <c r="V63" s="5">
        <f t="shared" si="41"/>
        <v>0.29425860926685554</v>
      </c>
      <c r="W63" s="1"/>
      <c r="X63" s="1">
        <f t="shared" si="42"/>
        <v>-65</v>
      </c>
      <c r="Y63" s="1"/>
      <c r="Z63" s="5">
        <f t="shared" si="43"/>
        <v>-1.5568862275449102E-2</v>
      </c>
    </row>
    <row r="64" spans="1:26" s="24" customFormat="1" hidden="1" outlineLevel="2" x14ac:dyDescent="0.25">
      <c r="A64" s="29"/>
      <c r="B64" s="11" t="str">
        <f>CONCATENATE("          ", "6401", " - ", "INTEREST EXPENSE")</f>
        <v xml:space="preserve">          6401 - INTEREST EXPENSE</v>
      </c>
      <c r="C64" s="11"/>
      <c r="D64" s="7">
        <v>4110</v>
      </c>
      <c r="E64" s="2"/>
      <c r="F64" s="6">
        <f t="shared" si="36"/>
        <v>0.28361061849196434</v>
      </c>
      <c r="G64" s="2"/>
      <c r="H64" s="7">
        <v>4175</v>
      </c>
      <c r="I64" s="2"/>
      <c r="J64" s="6">
        <f t="shared" si="37"/>
        <v>0.29425860926685554</v>
      </c>
      <c r="K64" s="2"/>
      <c r="L64" s="7">
        <f t="shared" si="38"/>
        <v>-65</v>
      </c>
      <c r="M64" s="2"/>
      <c r="N64" s="6">
        <f t="shared" si="39"/>
        <v>-1.5568862275449102E-2</v>
      </c>
      <c r="O64" s="11"/>
      <c r="P64" s="7">
        <v>4110</v>
      </c>
      <c r="Q64" s="2"/>
      <c r="R64" s="6">
        <f t="shared" si="40"/>
        <v>0.28361061849196434</v>
      </c>
      <c r="S64" s="2"/>
      <c r="T64" s="7">
        <v>4175</v>
      </c>
      <c r="U64" s="2"/>
      <c r="V64" s="6">
        <f t="shared" si="41"/>
        <v>0.29425860926685554</v>
      </c>
      <c r="W64" s="2"/>
      <c r="X64" s="7">
        <f t="shared" si="42"/>
        <v>-65</v>
      </c>
      <c r="Y64" s="2"/>
      <c r="Z64" s="6">
        <f t="shared" si="43"/>
        <v>-1.5568862275449102E-2</v>
      </c>
    </row>
    <row r="65" spans="1:26" s="27" customFormat="1" outlineLevel="1" collapsed="1" x14ac:dyDescent="0.25">
      <c r="A65" s="28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SUM(OSRRefD22_11x_0)</f>
        <v>0</v>
      </c>
      <c r="E65" s="1"/>
      <c r="F65" s="5">
        <f t="shared" si="36"/>
        <v>0</v>
      </c>
      <c r="G65" s="1"/>
      <c r="H65" s="1">
        <f>SUM(OSRRefH22_11x_0)</f>
        <v>3000</v>
      </c>
      <c r="I65" s="1"/>
      <c r="J65" s="5">
        <f t="shared" si="37"/>
        <v>0.2114433120480399</v>
      </c>
      <c r="K65" s="1"/>
      <c r="L65" s="1">
        <f t="shared" si="38"/>
        <v>-3000</v>
      </c>
      <c r="M65" s="1"/>
      <c r="N65" s="5">
        <f t="shared" si="39"/>
        <v>-1</v>
      </c>
      <c r="O65" s="14"/>
      <c r="P65" s="1">
        <f>SUM(OSRRefP22_11x_0)</f>
        <v>0</v>
      </c>
      <c r="Q65" s="1"/>
      <c r="R65" s="5">
        <f t="shared" si="40"/>
        <v>0</v>
      </c>
      <c r="S65" s="1"/>
      <c r="T65" s="1">
        <f>SUM(OSRRefT22_11x_0)</f>
        <v>3000</v>
      </c>
      <c r="U65" s="1"/>
      <c r="V65" s="5">
        <f t="shared" si="41"/>
        <v>0.2114433120480399</v>
      </c>
      <c r="W65" s="1"/>
      <c r="X65" s="1">
        <f t="shared" si="42"/>
        <v>-3000</v>
      </c>
      <c r="Y65" s="1"/>
      <c r="Z65" s="5">
        <f t="shared" si="43"/>
        <v>-1</v>
      </c>
    </row>
    <row r="66" spans="1:26" s="24" customFormat="1" hidden="1" outlineLevel="2" x14ac:dyDescent="0.25">
      <c r="A66" s="29"/>
      <c r="B66" s="11" t="str">
        <f>CONCATENATE("          ", "6375", " - ", "OUTSIDE REPAIRS &amp; MAINTENANCE")</f>
        <v xml:space="preserve">          6375 - OUTSIDE REPAIRS &amp; MAINTENANCE</v>
      </c>
      <c r="C66" s="11"/>
      <c r="D66" s="7"/>
      <c r="E66" s="2"/>
      <c r="F66" s="6">
        <f t="shared" si="36"/>
        <v>0</v>
      </c>
      <c r="G66" s="2"/>
      <c r="H66" s="7">
        <v>3000</v>
      </c>
      <c r="I66" s="2"/>
      <c r="J66" s="6">
        <f t="shared" si="37"/>
        <v>0.2114433120480399</v>
      </c>
      <c r="K66" s="2"/>
      <c r="L66" s="7">
        <f t="shared" si="38"/>
        <v>-3000</v>
      </c>
      <c r="M66" s="2"/>
      <c r="N66" s="6">
        <f t="shared" si="39"/>
        <v>-1</v>
      </c>
      <c r="O66" s="11"/>
      <c r="P66" s="7"/>
      <c r="Q66" s="2"/>
      <c r="R66" s="6">
        <f t="shared" si="40"/>
        <v>0</v>
      </c>
      <c r="S66" s="2"/>
      <c r="T66" s="7">
        <v>3000</v>
      </c>
      <c r="U66" s="2"/>
      <c r="V66" s="6">
        <f t="shared" si="41"/>
        <v>0.2114433120480399</v>
      </c>
      <c r="W66" s="2"/>
      <c r="X66" s="7">
        <f t="shared" si="42"/>
        <v>-3000</v>
      </c>
      <c r="Y66" s="2"/>
      <c r="Z66" s="6">
        <f t="shared" si="43"/>
        <v>-1</v>
      </c>
    </row>
    <row r="67" spans="1:26" s="27" customFormat="1" outlineLevel="1" collapsed="1" x14ac:dyDescent="0.25">
      <c r="A67" s="28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SUM(OSRRefD22_12x_0)</f>
        <v>436.71000000000004</v>
      </c>
      <c r="E67" s="1"/>
      <c r="F67" s="5">
        <f t="shared" si="36"/>
        <v>3.0135180827646171E-2</v>
      </c>
      <c r="G67" s="1"/>
      <c r="H67" s="1">
        <f>SUM(OSRRefH22_12x_0)</f>
        <v>355</v>
      </c>
      <c r="I67" s="1"/>
      <c r="J67" s="5">
        <f t="shared" si="37"/>
        <v>2.5020791925684724E-2</v>
      </c>
      <c r="K67" s="1"/>
      <c r="L67" s="1">
        <f t="shared" si="38"/>
        <v>81.710000000000036</v>
      </c>
      <c r="M67" s="1"/>
      <c r="N67" s="5">
        <f t="shared" si="39"/>
        <v>0.23016901408450716</v>
      </c>
      <c r="O67" s="14"/>
      <c r="P67" s="1">
        <f>SUM(OSRRefP22_12x_0)</f>
        <v>436.71000000000004</v>
      </c>
      <c r="Q67" s="1"/>
      <c r="R67" s="5">
        <f t="shared" si="40"/>
        <v>3.0135180827646171E-2</v>
      </c>
      <c r="S67" s="1"/>
      <c r="T67" s="1">
        <f>SUM(OSRRefT22_12x_0)</f>
        <v>355</v>
      </c>
      <c r="U67" s="1"/>
      <c r="V67" s="5">
        <f t="shared" si="41"/>
        <v>2.5020791925684724E-2</v>
      </c>
      <c r="W67" s="1"/>
      <c r="X67" s="1">
        <f t="shared" si="42"/>
        <v>81.710000000000036</v>
      </c>
      <c r="Y67" s="1"/>
      <c r="Z67" s="5">
        <f t="shared" si="43"/>
        <v>0.23016901408450716</v>
      </c>
    </row>
    <row r="68" spans="1:26" s="24" customFormat="1" hidden="1" outlineLevel="2" x14ac:dyDescent="0.25">
      <c r="A68" s="29"/>
      <c r="B68" s="11" t="str">
        <f>CONCATENATE("          ", "6281", " - ", "STORAGE FEE")</f>
        <v xml:space="preserve">          6281 - STORAGE FEE</v>
      </c>
      <c r="C68" s="11"/>
      <c r="D68" s="7"/>
      <c r="E68" s="2"/>
      <c r="F68" s="6">
        <f t="shared" si="36"/>
        <v>0</v>
      </c>
      <c r="G68" s="2"/>
      <c r="H68" s="7">
        <v>0</v>
      </c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/>
      <c r="Q68" s="2"/>
      <c r="R68" s="6">
        <f t="shared" si="40"/>
        <v>0</v>
      </c>
      <c r="S68" s="2"/>
      <c r="T68" s="7">
        <v>0</v>
      </c>
      <c r="U68" s="2"/>
      <c r="V68" s="6">
        <f t="shared" si="41"/>
        <v>0</v>
      </c>
      <c r="W68" s="2"/>
      <c r="X68" s="7">
        <f t="shared" si="42"/>
        <v>0</v>
      </c>
      <c r="Y68" s="2"/>
      <c r="Z68" s="6">
        <f t="shared" si="43"/>
        <v>0</v>
      </c>
    </row>
    <row r="69" spans="1:26" s="24" customFormat="1" hidden="1" outlineLevel="2" x14ac:dyDescent="0.25">
      <c r="A69" s="29"/>
      <c r="B69" s="11" t="str">
        <f>CONCATENATE("          ", "6282", " - ", "JANITORIAL/EXTERMINATOR EXPENS")</f>
        <v xml:space="preserve">          6282 - JANITORIAL/EXTERMINATOR EXPENS</v>
      </c>
      <c r="C69" s="11"/>
      <c r="D69" s="7">
        <v>157.35</v>
      </c>
      <c r="E69" s="2"/>
      <c r="F69" s="6">
        <f t="shared" si="36"/>
        <v>1.0857939372192357E-2</v>
      </c>
      <c r="G69" s="2"/>
      <c r="H69" s="7">
        <v>160</v>
      </c>
      <c r="I69" s="2"/>
      <c r="J69" s="6">
        <f t="shared" si="37"/>
        <v>1.1276976642562128E-2</v>
      </c>
      <c r="K69" s="2"/>
      <c r="L69" s="7">
        <f t="shared" si="38"/>
        <v>-2.6500000000000057</v>
      </c>
      <c r="M69" s="2"/>
      <c r="N69" s="6">
        <f t="shared" si="39"/>
        <v>-1.6562500000000036E-2</v>
      </c>
      <c r="O69" s="11"/>
      <c r="P69" s="7">
        <v>157.35</v>
      </c>
      <c r="Q69" s="2"/>
      <c r="R69" s="6">
        <f t="shared" si="40"/>
        <v>1.0857939372192357E-2</v>
      </c>
      <c r="S69" s="2"/>
      <c r="T69" s="7">
        <v>160</v>
      </c>
      <c r="U69" s="2"/>
      <c r="V69" s="6">
        <f t="shared" si="41"/>
        <v>1.1276976642562128E-2</v>
      </c>
      <c r="W69" s="2"/>
      <c r="X69" s="7">
        <f t="shared" si="42"/>
        <v>-2.6500000000000057</v>
      </c>
      <c r="Y69" s="2"/>
      <c r="Z69" s="6">
        <f t="shared" si="43"/>
        <v>-1.6562500000000036E-2</v>
      </c>
    </row>
    <row r="70" spans="1:26" s="24" customFormat="1" hidden="1" outlineLevel="2" x14ac:dyDescent="0.25">
      <c r="A70" s="29"/>
      <c r="B70" s="11" t="str">
        <f>CONCATENATE("          ", "6284", " - ", "TRASH REMOVAL EXPENSE")</f>
        <v xml:space="preserve">          6284 - TRASH REMOVAL EXPENSE</v>
      </c>
      <c r="C70" s="11"/>
      <c r="D70" s="7">
        <v>237</v>
      </c>
      <c r="E70" s="2"/>
      <c r="F70" s="6">
        <f t="shared" si="36"/>
        <v>1.6354188949536632E-2</v>
      </c>
      <c r="G70" s="2"/>
      <c r="H70" s="7">
        <v>150</v>
      </c>
      <c r="I70" s="2"/>
      <c r="J70" s="6">
        <f t="shared" si="37"/>
        <v>1.0572165602401996E-2</v>
      </c>
      <c r="K70" s="2"/>
      <c r="L70" s="7">
        <f t="shared" si="38"/>
        <v>87</v>
      </c>
      <c r="M70" s="2"/>
      <c r="N70" s="6">
        <f t="shared" si="39"/>
        <v>0.57999999999999996</v>
      </c>
      <c r="O70" s="11"/>
      <c r="P70" s="7">
        <v>237</v>
      </c>
      <c r="Q70" s="2"/>
      <c r="R70" s="6">
        <f t="shared" si="40"/>
        <v>1.6354188949536632E-2</v>
      </c>
      <c r="S70" s="2"/>
      <c r="T70" s="7">
        <v>150</v>
      </c>
      <c r="U70" s="2"/>
      <c r="V70" s="6">
        <f t="shared" si="41"/>
        <v>1.0572165602401996E-2</v>
      </c>
      <c r="W70" s="2"/>
      <c r="X70" s="7">
        <f t="shared" si="42"/>
        <v>87</v>
      </c>
      <c r="Y70" s="2"/>
      <c r="Z70" s="6">
        <f t="shared" si="43"/>
        <v>0.57999999999999996</v>
      </c>
    </row>
    <row r="71" spans="1:26" s="24" customFormat="1" hidden="1" outlineLevel="2" x14ac:dyDescent="0.25">
      <c r="A71" s="29"/>
      <c r="B71" s="11" t="str">
        <f>CONCATENATE("          ", "6286", " - ", "LAUNDRY EXPENSE")</f>
        <v xml:space="preserve">          6286 - LAUNDRY EXPENSE</v>
      </c>
      <c r="C71" s="11"/>
      <c r="D71" s="7">
        <v>42.36</v>
      </c>
      <c r="E71" s="2"/>
      <c r="F71" s="6">
        <f t="shared" si="36"/>
        <v>2.9230525059171799E-3</v>
      </c>
      <c r="G71" s="2"/>
      <c r="H71" s="7">
        <v>45</v>
      </c>
      <c r="I71" s="2"/>
      <c r="J71" s="6">
        <f t="shared" si="37"/>
        <v>3.1716496807205987E-3</v>
      </c>
      <c r="K71" s="2"/>
      <c r="L71" s="7">
        <f t="shared" si="38"/>
        <v>-2.6400000000000006</v>
      </c>
      <c r="M71" s="2"/>
      <c r="N71" s="6">
        <f t="shared" si="39"/>
        <v>-5.8666666666666679E-2</v>
      </c>
      <c r="O71" s="11"/>
      <c r="P71" s="7">
        <v>42.36</v>
      </c>
      <c r="Q71" s="2"/>
      <c r="R71" s="6">
        <f t="shared" si="40"/>
        <v>2.9230525059171799E-3</v>
      </c>
      <c r="S71" s="2"/>
      <c r="T71" s="7">
        <v>45</v>
      </c>
      <c r="U71" s="2"/>
      <c r="V71" s="6">
        <f t="shared" si="41"/>
        <v>3.1716496807205987E-3</v>
      </c>
      <c r="W71" s="2"/>
      <c r="X71" s="7">
        <f t="shared" si="42"/>
        <v>-2.6400000000000006</v>
      </c>
      <c r="Y71" s="2"/>
      <c r="Z71" s="6">
        <f t="shared" si="43"/>
        <v>-5.8666666666666679E-2</v>
      </c>
    </row>
    <row r="72" spans="1:26" s="27" customFormat="1" outlineLevel="1" collapsed="1" x14ac:dyDescent="0.25">
      <c r="A72" s="28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SUM(OSRRefD22_13x_0)</f>
        <v>176.4</v>
      </c>
      <c r="E72" s="1"/>
      <c r="F72" s="5">
        <f t="shared" ref="F72:F80" si="44">IF(D$12=0,0,D72/D$12)</f>
        <v>1.2172484939655113E-2</v>
      </c>
      <c r="G72" s="1"/>
      <c r="H72" s="1">
        <f>SUM(OSRRefH22_13x_0)</f>
        <v>180</v>
      </c>
      <c r="I72" s="1"/>
      <c r="J72" s="5">
        <f t="shared" ref="J72:J80" si="45">IF(H$12=0,0,H72/H$12)</f>
        <v>1.2686598722882395E-2</v>
      </c>
      <c r="K72" s="1"/>
      <c r="L72" s="1">
        <f t="shared" ref="L72:L80" si="46">+D72-H72</f>
        <v>-3.5999999999999943</v>
      </c>
      <c r="M72" s="1"/>
      <c r="N72" s="5">
        <f t="shared" ref="N72:N80" si="47">IF(H72=0,0,L72/H72)</f>
        <v>-1.9999999999999969E-2</v>
      </c>
      <c r="O72" s="14"/>
      <c r="P72" s="1">
        <f>SUM(OSRRefP22_13x_0)</f>
        <v>176.4</v>
      </c>
      <c r="Q72" s="1"/>
      <c r="R72" s="5">
        <f t="shared" ref="R72:R80" si="48">IF(P$12=0,0,P72/P$12)</f>
        <v>1.2172484939655113E-2</v>
      </c>
      <c r="S72" s="1"/>
      <c r="T72" s="1">
        <f>SUM(OSRRefT22_13x_0)</f>
        <v>180</v>
      </c>
      <c r="U72" s="1"/>
      <c r="V72" s="5">
        <f t="shared" ref="V72:V80" si="49">IF(T$12=0,0,T72/T$12)</f>
        <v>1.2686598722882395E-2</v>
      </c>
      <c r="W72" s="1"/>
      <c r="X72" s="1">
        <f t="shared" ref="X72:X80" si="50">+P72-T72</f>
        <v>-3.5999999999999943</v>
      </c>
      <c r="Y72" s="1"/>
      <c r="Z72" s="5">
        <f t="shared" ref="Z72:Z80" si="51">IF(T72=0,0,X72/T72)</f>
        <v>-1.9999999999999969E-2</v>
      </c>
    </row>
    <row r="73" spans="1:26" s="24" customFormat="1" hidden="1" outlineLevel="2" x14ac:dyDescent="0.25">
      <c r="A73" s="29"/>
      <c r="B73" s="11" t="str">
        <f>CONCATENATE("          ", "6275", " - ", "SUBSCRIPTIONS")</f>
        <v xml:space="preserve">          6275 - SUBSCRIPTIONS</v>
      </c>
      <c r="C73" s="11"/>
      <c r="D73" s="7">
        <v>176.4</v>
      </c>
      <c r="E73" s="2"/>
      <c r="F73" s="6">
        <f t="shared" si="44"/>
        <v>1.2172484939655113E-2</v>
      </c>
      <c r="G73" s="2"/>
      <c r="H73" s="7">
        <v>180</v>
      </c>
      <c r="I73" s="2"/>
      <c r="J73" s="6">
        <f t="shared" si="45"/>
        <v>1.2686598722882395E-2</v>
      </c>
      <c r="K73" s="2"/>
      <c r="L73" s="7">
        <f t="shared" si="46"/>
        <v>-3.5999999999999943</v>
      </c>
      <c r="M73" s="2"/>
      <c r="N73" s="6">
        <f t="shared" si="47"/>
        <v>-1.9999999999999969E-2</v>
      </c>
      <c r="O73" s="11"/>
      <c r="P73" s="7">
        <v>176.4</v>
      </c>
      <c r="Q73" s="2"/>
      <c r="R73" s="6">
        <f t="shared" si="48"/>
        <v>1.2172484939655113E-2</v>
      </c>
      <c r="S73" s="2"/>
      <c r="T73" s="7">
        <v>180</v>
      </c>
      <c r="U73" s="2"/>
      <c r="V73" s="6">
        <f t="shared" si="49"/>
        <v>1.2686598722882395E-2</v>
      </c>
      <c r="W73" s="2"/>
      <c r="X73" s="7">
        <f t="shared" si="50"/>
        <v>-3.5999999999999943</v>
      </c>
      <c r="Y73" s="2"/>
      <c r="Z73" s="6">
        <f t="shared" si="51"/>
        <v>-1.9999999999999969E-2</v>
      </c>
    </row>
    <row r="74" spans="1:26" s="27" customFormat="1" outlineLevel="1" collapsed="1" x14ac:dyDescent="0.25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SUM(OSRRefD22_14x_0)</f>
        <v>276.91000000000003</v>
      </c>
      <c r="E74" s="1"/>
      <c r="F74" s="5">
        <f t="shared" si="44"/>
        <v>1.9108179164625268E-2</v>
      </c>
      <c r="G74" s="1"/>
      <c r="H74" s="1">
        <f>SUM(OSRRefH22_14x_0)</f>
        <v>3630</v>
      </c>
      <c r="I74" s="1"/>
      <c r="J74" s="5">
        <f t="shared" si="45"/>
        <v>0.25584640757812827</v>
      </c>
      <c r="K74" s="1"/>
      <c r="L74" s="1">
        <f t="shared" si="46"/>
        <v>-3353.09</v>
      </c>
      <c r="M74" s="1"/>
      <c r="N74" s="5">
        <f t="shared" si="47"/>
        <v>-0.92371625344352626</v>
      </c>
      <c r="O74" s="14"/>
      <c r="P74" s="1">
        <f>SUM(OSRRefP22_14x_0)</f>
        <v>276.91000000000003</v>
      </c>
      <c r="Q74" s="1"/>
      <c r="R74" s="5">
        <f t="shared" si="48"/>
        <v>1.9108179164625268E-2</v>
      </c>
      <c r="S74" s="1"/>
      <c r="T74" s="1">
        <f>SUM(OSRRefT22_14x_0)</f>
        <v>3630</v>
      </c>
      <c r="U74" s="1"/>
      <c r="V74" s="5">
        <f t="shared" si="49"/>
        <v>0.25584640757812827</v>
      </c>
      <c r="W74" s="1"/>
      <c r="X74" s="1">
        <f t="shared" si="50"/>
        <v>-3353.09</v>
      </c>
      <c r="Y74" s="1"/>
      <c r="Z74" s="5">
        <f t="shared" si="51"/>
        <v>-0.92371625344352626</v>
      </c>
    </row>
    <row r="75" spans="1:26" s="24" customFormat="1" hidden="1" outlineLevel="2" x14ac:dyDescent="0.25">
      <c r="A75" s="29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44"/>
        <v>0</v>
      </c>
      <c r="G75" s="2"/>
      <c r="H75" s="7">
        <v>3000</v>
      </c>
      <c r="I75" s="2"/>
      <c r="J75" s="6">
        <f t="shared" si="45"/>
        <v>0.2114433120480399</v>
      </c>
      <c r="K75" s="2"/>
      <c r="L75" s="7">
        <f t="shared" si="46"/>
        <v>-3000</v>
      </c>
      <c r="M75" s="2"/>
      <c r="N75" s="6">
        <f t="shared" si="47"/>
        <v>-1</v>
      </c>
      <c r="O75" s="11"/>
      <c r="P75" s="7"/>
      <c r="Q75" s="2"/>
      <c r="R75" s="6">
        <f t="shared" si="48"/>
        <v>0</v>
      </c>
      <c r="S75" s="2"/>
      <c r="T75" s="7">
        <v>3000</v>
      </c>
      <c r="U75" s="2"/>
      <c r="V75" s="6">
        <f t="shared" si="49"/>
        <v>0.2114433120480399</v>
      </c>
      <c r="W75" s="2"/>
      <c r="X75" s="7">
        <f t="shared" si="50"/>
        <v>-3000</v>
      </c>
      <c r="Y75" s="2"/>
      <c r="Z75" s="6">
        <f t="shared" si="51"/>
        <v>-1</v>
      </c>
    </row>
    <row r="76" spans="1:26" s="24" customFormat="1" hidden="1" outlineLevel="2" x14ac:dyDescent="0.25">
      <c r="A76" s="29"/>
      <c r="B76" s="11" t="str">
        <f>CONCATENATE("          ", "6237", " - ", "JANITORIAL SUPPLIES")</f>
        <v xml:space="preserve">          6237 - JANITORIAL SUPPLIES</v>
      </c>
      <c r="C76" s="11"/>
      <c r="D76" s="7"/>
      <c r="E76" s="2"/>
      <c r="F76" s="6">
        <f t="shared" si="44"/>
        <v>0</v>
      </c>
      <c r="G76" s="2"/>
      <c r="H76" s="7">
        <v>300</v>
      </c>
      <c r="I76" s="2"/>
      <c r="J76" s="6">
        <f t="shared" si="45"/>
        <v>2.1144331204803992E-2</v>
      </c>
      <c r="K76" s="2"/>
      <c r="L76" s="7">
        <f t="shared" si="46"/>
        <v>-300</v>
      </c>
      <c r="M76" s="2"/>
      <c r="N76" s="6">
        <f t="shared" si="47"/>
        <v>-1</v>
      </c>
      <c r="O76" s="11"/>
      <c r="P76" s="7"/>
      <c r="Q76" s="2"/>
      <c r="R76" s="6">
        <f t="shared" si="48"/>
        <v>0</v>
      </c>
      <c r="S76" s="2"/>
      <c r="T76" s="7">
        <v>300</v>
      </c>
      <c r="U76" s="2"/>
      <c r="V76" s="6">
        <f t="shared" si="49"/>
        <v>2.1144331204803992E-2</v>
      </c>
      <c r="W76" s="2"/>
      <c r="X76" s="7">
        <f t="shared" si="50"/>
        <v>-300</v>
      </c>
      <c r="Y76" s="2"/>
      <c r="Z76" s="6">
        <f t="shared" si="51"/>
        <v>-1</v>
      </c>
    </row>
    <row r="77" spans="1:26" s="24" customFormat="1" hidden="1" outlineLevel="2" x14ac:dyDescent="0.25">
      <c r="A77" s="29"/>
      <c r="B77" s="11" t="str">
        <f>CONCATENATE("          ", "6241", " - ", "OFFICE EXPENSE")</f>
        <v xml:space="preserve">          6241 - OFFICE EXPENSE</v>
      </c>
      <c r="C77" s="11"/>
      <c r="D77" s="7"/>
      <c r="E77" s="2"/>
      <c r="F77" s="6">
        <f t="shared" si="44"/>
        <v>0</v>
      </c>
      <c r="G77" s="2"/>
      <c r="H77" s="7">
        <v>0</v>
      </c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/>
      <c r="Q77" s="2"/>
      <c r="R77" s="6">
        <f t="shared" si="48"/>
        <v>0</v>
      </c>
      <c r="S77" s="2"/>
      <c r="T77" s="7">
        <v>0</v>
      </c>
      <c r="U77" s="2"/>
      <c r="V77" s="6">
        <f t="shared" si="49"/>
        <v>0</v>
      </c>
      <c r="W77" s="2"/>
      <c r="X77" s="7">
        <f t="shared" si="50"/>
        <v>0</v>
      </c>
      <c r="Y77" s="2"/>
      <c r="Z77" s="6">
        <f t="shared" si="51"/>
        <v>0</v>
      </c>
    </row>
    <row r="78" spans="1:26" s="24" customFormat="1" hidden="1" outlineLevel="2" x14ac:dyDescent="0.25">
      <c r="A78" s="29"/>
      <c r="B78" s="11" t="str">
        <f>CONCATENATE("          ", "6244", " - ", "SAFETY SUPPLY EXPENSE")</f>
        <v xml:space="preserve">          6244 - SAFETY SUPPLY EXPENSE</v>
      </c>
      <c r="C78" s="11"/>
      <c r="D78" s="7"/>
      <c r="E78" s="2"/>
      <c r="F78" s="6">
        <f t="shared" si="44"/>
        <v>0</v>
      </c>
      <c r="G78" s="2"/>
      <c r="H78" s="7">
        <v>30</v>
      </c>
      <c r="I78" s="2"/>
      <c r="J78" s="6">
        <f t="shared" si="45"/>
        <v>2.1144331204803993E-3</v>
      </c>
      <c r="K78" s="2"/>
      <c r="L78" s="7">
        <f t="shared" si="46"/>
        <v>-30</v>
      </c>
      <c r="M78" s="2"/>
      <c r="N78" s="6">
        <f t="shared" si="47"/>
        <v>-1</v>
      </c>
      <c r="O78" s="11"/>
      <c r="P78" s="7"/>
      <c r="Q78" s="2"/>
      <c r="R78" s="6">
        <f t="shared" si="48"/>
        <v>0</v>
      </c>
      <c r="S78" s="2"/>
      <c r="T78" s="7">
        <v>30</v>
      </c>
      <c r="U78" s="2"/>
      <c r="V78" s="6">
        <f t="shared" si="49"/>
        <v>2.1144331204803993E-3</v>
      </c>
      <c r="W78" s="2"/>
      <c r="X78" s="7">
        <f t="shared" si="50"/>
        <v>-30</v>
      </c>
      <c r="Y78" s="2"/>
      <c r="Z78" s="6">
        <f t="shared" si="51"/>
        <v>-1</v>
      </c>
    </row>
    <row r="79" spans="1:26" s="24" customFormat="1" hidden="1" outlineLevel="2" x14ac:dyDescent="0.25">
      <c r="A79" s="29"/>
      <c r="B79" s="11" t="str">
        <f>CONCATENATE("          ", "6247", " - ", "STORE SUPPLIES")</f>
        <v xml:space="preserve">          6247 - STORE SUPPLIES</v>
      </c>
      <c r="C79" s="11"/>
      <c r="D79" s="7">
        <v>276.91000000000003</v>
      </c>
      <c r="E79" s="2"/>
      <c r="F79" s="6">
        <f t="shared" si="44"/>
        <v>1.9108179164625268E-2</v>
      </c>
      <c r="G79" s="2"/>
      <c r="H79" s="7"/>
      <c r="I79" s="2"/>
      <c r="J79" s="6">
        <f t="shared" si="45"/>
        <v>0</v>
      </c>
      <c r="K79" s="2"/>
      <c r="L79" s="7">
        <f t="shared" si="46"/>
        <v>276.91000000000003</v>
      </c>
      <c r="M79" s="2"/>
      <c r="N79" s="6">
        <f t="shared" si="47"/>
        <v>0</v>
      </c>
      <c r="O79" s="11"/>
      <c r="P79" s="7">
        <v>276.91000000000003</v>
      </c>
      <c r="Q79" s="2"/>
      <c r="R79" s="6">
        <f t="shared" si="48"/>
        <v>1.9108179164625268E-2</v>
      </c>
      <c r="S79" s="2"/>
      <c r="T79" s="7"/>
      <c r="U79" s="2"/>
      <c r="V79" s="6">
        <f t="shared" si="49"/>
        <v>0</v>
      </c>
      <c r="W79" s="2"/>
      <c r="X79" s="7">
        <f t="shared" si="50"/>
        <v>276.91000000000003</v>
      </c>
      <c r="Y79" s="2"/>
      <c r="Z79" s="6">
        <f t="shared" si="51"/>
        <v>0</v>
      </c>
    </row>
    <row r="80" spans="1:26" s="24" customFormat="1" hidden="1" outlineLevel="2" x14ac:dyDescent="0.25">
      <c r="A80" s="29"/>
      <c r="B80" s="11" t="str">
        <f>CONCATENATE("          ", "6248", " - ", "UNIFORMS")</f>
        <v xml:space="preserve">          6248 - UNIFORMS</v>
      </c>
      <c r="C80" s="11"/>
      <c r="D80" s="7"/>
      <c r="E80" s="2"/>
      <c r="F80" s="6">
        <f t="shared" si="44"/>
        <v>0</v>
      </c>
      <c r="G80" s="2"/>
      <c r="H80" s="7">
        <v>300</v>
      </c>
      <c r="I80" s="2"/>
      <c r="J80" s="6">
        <f t="shared" si="45"/>
        <v>2.1144331204803992E-2</v>
      </c>
      <c r="K80" s="2"/>
      <c r="L80" s="7">
        <f t="shared" si="46"/>
        <v>-300</v>
      </c>
      <c r="M80" s="2"/>
      <c r="N80" s="6">
        <f t="shared" si="47"/>
        <v>-1</v>
      </c>
      <c r="O80" s="11"/>
      <c r="P80" s="7"/>
      <c r="Q80" s="2"/>
      <c r="R80" s="6">
        <f t="shared" si="48"/>
        <v>0</v>
      </c>
      <c r="S80" s="2"/>
      <c r="T80" s="7">
        <v>300</v>
      </c>
      <c r="U80" s="2"/>
      <c r="V80" s="6">
        <f t="shared" si="49"/>
        <v>2.1144331204803992E-2</v>
      </c>
      <c r="W80" s="2"/>
      <c r="X80" s="7">
        <f t="shared" si="50"/>
        <v>-300</v>
      </c>
      <c r="Y80" s="2"/>
      <c r="Z80" s="6">
        <f t="shared" si="51"/>
        <v>-1</v>
      </c>
    </row>
    <row r="81" spans="1:26" s="27" customFormat="1" outlineLevel="1" collapsed="1" x14ac:dyDescent="0.25">
      <c r="A81" s="28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SUM(OSRRefD22_15x_0)</f>
        <v>37.25</v>
      </c>
      <c r="E81" s="1"/>
      <c r="F81" s="5">
        <f t="shared" ref="F81:F84" si="52">IF(D$12=0,0,D81/D$12)</f>
        <v>2.5704368707605042E-3</v>
      </c>
      <c r="G81" s="1"/>
      <c r="H81" s="1">
        <f>SUM(OSRRefH22_15x_0)</f>
        <v>40</v>
      </c>
      <c r="I81" s="1"/>
      <c r="J81" s="5">
        <f t="shared" ref="J81:J84" si="53">IF(H$12=0,0,H81/H$12)</f>
        <v>2.819244160640532E-3</v>
      </c>
      <c r="K81" s="1"/>
      <c r="L81" s="1">
        <f t="shared" ref="L81:L84" si="54">+D81-H81</f>
        <v>-2.75</v>
      </c>
      <c r="M81" s="1"/>
      <c r="N81" s="5">
        <f t="shared" ref="N81:N84" si="55">IF(H81=0,0,L81/H81)</f>
        <v>-6.8750000000000006E-2</v>
      </c>
      <c r="O81" s="14"/>
      <c r="P81" s="1">
        <f>SUM(OSRRefP22_15x_0)</f>
        <v>37.25</v>
      </c>
      <c r="Q81" s="1"/>
      <c r="R81" s="5">
        <f t="shared" ref="R81:R84" si="56">IF(P$12=0,0,P81/P$12)</f>
        <v>2.5704368707605042E-3</v>
      </c>
      <c r="S81" s="1"/>
      <c r="T81" s="1">
        <f>SUM(OSRRefT22_15x_0)</f>
        <v>40</v>
      </c>
      <c r="U81" s="1"/>
      <c r="V81" s="5">
        <f t="shared" ref="V81:V84" si="57">IF(T$12=0,0,T81/T$12)</f>
        <v>2.819244160640532E-3</v>
      </c>
      <c r="W81" s="1"/>
      <c r="X81" s="1">
        <f t="shared" ref="X81:X84" si="58">+P81-T81</f>
        <v>-2.75</v>
      </c>
      <c r="Y81" s="1"/>
      <c r="Z81" s="5">
        <f t="shared" ref="Z81:Z84" si="59">IF(T81=0,0,X81/T81)</f>
        <v>-6.8750000000000006E-2</v>
      </c>
    </row>
    <row r="82" spans="1:26" s="24" customFormat="1" hidden="1" outlineLevel="2" x14ac:dyDescent="0.25">
      <c r="A82" s="29"/>
      <c r="B82" s="11" t="str">
        <f>CONCATENATE("          ", "6309", " - ", "TELEPHONE")</f>
        <v xml:space="preserve">          6309 - TELEPHONE</v>
      </c>
      <c r="C82" s="11"/>
      <c r="D82" s="7">
        <v>37.25</v>
      </c>
      <c r="E82" s="2"/>
      <c r="F82" s="6">
        <f t="shared" si="52"/>
        <v>2.5704368707605042E-3</v>
      </c>
      <c r="G82" s="2"/>
      <c r="H82" s="7">
        <v>40</v>
      </c>
      <c r="I82" s="2"/>
      <c r="J82" s="6">
        <f t="shared" si="53"/>
        <v>2.819244160640532E-3</v>
      </c>
      <c r="K82" s="2"/>
      <c r="L82" s="7">
        <f t="shared" si="54"/>
        <v>-2.75</v>
      </c>
      <c r="M82" s="2"/>
      <c r="N82" s="6">
        <f t="shared" si="55"/>
        <v>-6.8750000000000006E-2</v>
      </c>
      <c r="O82" s="11"/>
      <c r="P82" s="7">
        <v>37.25</v>
      </c>
      <c r="Q82" s="2"/>
      <c r="R82" s="6">
        <f t="shared" si="56"/>
        <v>2.5704368707605042E-3</v>
      </c>
      <c r="S82" s="2"/>
      <c r="T82" s="7">
        <v>40</v>
      </c>
      <c r="U82" s="2"/>
      <c r="V82" s="6">
        <f t="shared" si="57"/>
        <v>2.819244160640532E-3</v>
      </c>
      <c r="W82" s="2"/>
      <c r="X82" s="7">
        <f t="shared" si="58"/>
        <v>-2.75</v>
      </c>
      <c r="Y82" s="2"/>
      <c r="Z82" s="6">
        <f t="shared" si="59"/>
        <v>-6.8750000000000006E-2</v>
      </c>
    </row>
    <row r="83" spans="1:26" s="27" customFormat="1" outlineLevel="1" collapsed="1" x14ac:dyDescent="0.25">
      <c r="A83" s="28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SUM(OSRRefD22_16x_0)</f>
        <v>771</v>
      </c>
      <c r="E83" s="1"/>
      <c r="F83" s="5">
        <f t="shared" si="52"/>
        <v>5.3202867848492583E-2</v>
      </c>
      <c r="G83" s="1"/>
      <c r="H83" s="1">
        <f>SUM(OSRRefH22_16x_0)</f>
        <v>1100</v>
      </c>
      <c r="I83" s="1"/>
      <c r="J83" s="5">
        <f t="shared" si="53"/>
        <v>7.7529214417614636E-2</v>
      </c>
      <c r="K83" s="1"/>
      <c r="L83" s="1">
        <f t="shared" si="54"/>
        <v>-329</v>
      </c>
      <c r="M83" s="1"/>
      <c r="N83" s="5">
        <f t="shared" si="55"/>
        <v>-0.29909090909090907</v>
      </c>
      <c r="O83" s="14"/>
      <c r="P83" s="1">
        <f>SUM(OSRRefP22_16x_0)</f>
        <v>771</v>
      </c>
      <c r="Q83" s="1"/>
      <c r="R83" s="5">
        <f t="shared" si="56"/>
        <v>5.3202867848492583E-2</v>
      </c>
      <c r="S83" s="1"/>
      <c r="T83" s="1">
        <f>SUM(OSRRefT22_16x_0)</f>
        <v>1100</v>
      </c>
      <c r="U83" s="1"/>
      <c r="V83" s="5">
        <f t="shared" si="57"/>
        <v>7.7529214417614636E-2</v>
      </c>
      <c r="W83" s="1"/>
      <c r="X83" s="1">
        <f t="shared" si="58"/>
        <v>-329</v>
      </c>
      <c r="Y83" s="1"/>
      <c r="Z83" s="5">
        <f t="shared" si="59"/>
        <v>-0.29909090909090907</v>
      </c>
    </row>
    <row r="84" spans="1:26" s="24" customFormat="1" hidden="1" outlineLevel="2" x14ac:dyDescent="0.25">
      <c r="A84" s="29"/>
      <c r="B84" s="11" t="str">
        <f>CONCATENATE("          ", "6274", " - ", "UTILITIES")</f>
        <v xml:space="preserve">          6274 - UTILITIES</v>
      </c>
      <c r="C84" s="11"/>
      <c r="D84" s="7">
        <v>771</v>
      </c>
      <c r="E84" s="2"/>
      <c r="F84" s="6">
        <f t="shared" si="52"/>
        <v>5.3202867848492583E-2</v>
      </c>
      <c r="G84" s="2"/>
      <c r="H84" s="7">
        <v>1100</v>
      </c>
      <c r="I84" s="2"/>
      <c r="J84" s="6">
        <f t="shared" si="53"/>
        <v>7.7529214417614636E-2</v>
      </c>
      <c r="K84" s="2"/>
      <c r="L84" s="7">
        <f t="shared" si="54"/>
        <v>-329</v>
      </c>
      <c r="M84" s="2"/>
      <c r="N84" s="6">
        <f t="shared" si="55"/>
        <v>-0.29909090909090907</v>
      </c>
      <c r="O84" s="11"/>
      <c r="P84" s="7">
        <v>771</v>
      </c>
      <c r="Q84" s="2"/>
      <c r="R84" s="6">
        <f t="shared" si="56"/>
        <v>5.3202867848492583E-2</v>
      </c>
      <c r="S84" s="2"/>
      <c r="T84" s="7">
        <v>1100</v>
      </c>
      <c r="U84" s="2"/>
      <c r="V84" s="6">
        <f t="shared" si="57"/>
        <v>7.7529214417614636E-2</v>
      </c>
      <c r="W84" s="2"/>
      <c r="X84" s="7">
        <f t="shared" si="58"/>
        <v>-329</v>
      </c>
      <c r="Y84" s="2"/>
      <c r="Z84" s="6">
        <f t="shared" si="59"/>
        <v>-0.29909090909090907</v>
      </c>
    </row>
    <row r="85" spans="1:26" s="57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6" t="s">
        <v>3</v>
      </c>
      <c r="C88" s="26"/>
      <c r="D88" s="21">
        <f>+D22-D24+D86</f>
        <v>-15968.800000000001</v>
      </c>
      <c r="E88" s="13"/>
      <c r="F88" s="19">
        <f>IF(D$12=0,0,D88/D$12)</f>
        <v>-1.1019273101154454</v>
      </c>
      <c r="G88" s="13"/>
      <c r="H88" s="21">
        <f>+H22-H24+H86</f>
        <v>-21372.283407499999</v>
      </c>
      <c r="I88" s="13"/>
      <c r="J88" s="19">
        <f>IF(H$12=0,0,H88/H$12)</f>
        <v>-1.5063421299037227</v>
      </c>
      <c r="K88" s="15"/>
      <c r="L88" s="21">
        <f>+D88-H88</f>
        <v>5403.4834074999981</v>
      </c>
      <c r="M88" s="15"/>
      <c r="N88" s="19">
        <f>IF(H88=0,0,L88/H88)</f>
        <v>-0.25282667764005967</v>
      </c>
      <c r="O88" s="25"/>
      <c r="P88" s="21">
        <f>+P22-P24+P86</f>
        <v>-15968.800000000001</v>
      </c>
      <c r="Q88" s="13"/>
      <c r="R88" s="19">
        <f>IF(P$12=0,0,P88/P$12)</f>
        <v>-1.1019273101154454</v>
      </c>
      <c r="S88" s="13"/>
      <c r="T88" s="21">
        <f>+T22-T24+T86</f>
        <v>-21372.283407499999</v>
      </c>
      <c r="U88" s="13"/>
      <c r="V88" s="19">
        <f>IF(T$12=0,0,T88/T$12)</f>
        <v>-1.5063421299037227</v>
      </c>
      <c r="W88" s="15"/>
      <c r="X88" s="21">
        <f>+P88-T88</f>
        <v>5403.4834074999981</v>
      </c>
      <c r="Y88" s="15"/>
      <c r="Z88" s="19">
        <f>IF(T88=0,0,X88/T88)</f>
        <v>-0.25282667764005967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3013.25</v>
      </c>
      <c r="E90" s="4"/>
      <c r="F90" s="12">
        <f>IF(D$12=0,0,D90/D$12)</f>
        <v>0.20792936646494198</v>
      </c>
      <c r="G90" s="4"/>
      <c r="H90" s="4">
        <v>3458</v>
      </c>
      <c r="I90" s="4"/>
      <c r="J90" s="12">
        <f>IF(H$12=0,0,H90/H$12)</f>
        <v>0.243723657687374</v>
      </c>
      <c r="K90" s="4"/>
      <c r="L90" s="4">
        <f>+D90-H90</f>
        <v>-444.75</v>
      </c>
      <c r="M90" s="4"/>
      <c r="N90" s="12">
        <f>IF(H90=0,0,L90/H90)</f>
        <v>-0.12861480624638519</v>
      </c>
      <c r="O90" s="10"/>
      <c r="P90" s="4">
        <v>3013.25</v>
      </c>
      <c r="Q90" s="4"/>
      <c r="R90" s="12">
        <f>IF(P$12=0,0,P90/P$12)</f>
        <v>0.20792936646494198</v>
      </c>
      <c r="S90" s="4"/>
      <c r="T90" s="4">
        <v>3458</v>
      </c>
      <c r="U90" s="4"/>
      <c r="V90" s="12">
        <f>IF(T$12=0,0,T90/T$12)</f>
        <v>0.243723657687374</v>
      </c>
      <c r="W90" s="4"/>
      <c r="X90" s="4">
        <f>+P90-T90</f>
        <v>-444.75</v>
      </c>
      <c r="Y90" s="4"/>
      <c r="Z90" s="12">
        <f>IF(T90=0,0,X90/T90)</f>
        <v>-0.12861480624638519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4</v>
      </c>
      <c r="C92" s="26"/>
      <c r="D92" s="32">
        <f>+D88-D90</f>
        <v>-18982.050000000003</v>
      </c>
      <c r="E92" s="13"/>
      <c r="F92" s="31">
        <f>IF(D$12=0,0,D92/D$12)</f>
        <v>-1.3098566765803876</v>
      </c>
      <c r="G92" s="13"/>
      <c r="H92" s="32">
        <f>+H88-H90</f>
        <v>-24830.283407499999</v>
      </c>
      <c r="I92" s="13"/>
      <c r="J92" s="31">
        <f>IF(H$12=0,0,H92/H$12)</f>
        <v>-1.7500657875910968</v>
      </c>
      <c r="K92" s="15"/>
      <c r="L92" s="32">
        <f>D92-H92</f>
        <v>5848.2334074999962</v>
      </c>
      <c r="M92" s="15"/>
      <c r="N92" s="31">
        <f>IF(H92=0,0,L92/H92)</f>
        <v>-0.23552825843838474</v>
      </c>
      <c r="O92" s="25"/>
      <c r="P92" s="32">
        <f>+P88-P90</f>
        <v>-18982.050000000003</v>
      </c>
      <c r="Q92" s="13"/>
      <c r="R92" s="31">
        <f>IF(P$12=0,0,P92/P$12)</f>
        <v>-1.3098566765803876</v>
      </c>
      <c r="S92" s="13"/>
      <c r="T92" s="32">
        <f>+T88-T90</f>
        <v>-24830.283407499999</v>
      </c>
      <c r="U92" s="13"/>
      <c r="V92" s="31">
        <f>IF(T$12=0,0,T92/T$12)</f>
        <v>-1.7500657875910968</v>
      </c>
      <c r="W92" s="15"/>
      <c r="X92" s="32">
        <f>P92-T92</f>
        <v>5848.2334074999962</v>
      </c>
      <c r="Y92" s="15"/>
      <c r="Z92" s="31">
        <f>IF(T92=0,0,X92/T92)</f>
        <v>-0.23552825843838474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5</v>
      </c>
      <c r="C95" s="26"/>
      <c r="D95" s="33">
        <f>SUM(D92:D94)</f>
        <v>-18982.050000000003</v>
      </c>
      <c r="E95" s="13"/>
      <c r="F95" s="34">
        <f>IF(D$12=0,0,D95/D$12)</f>
        <v>-1.3098566765803876</v>
      </c>
      <c r="G95" s="13"/>
      <c r="H95" s="33">
        <f>SUM(H92:H94)</f>
        <v>-24830.283407499999</v>
      </c>
      <c r="I95" s="13"/>
      <c r="J95" s="34">
        <f>IF(H$12=0,0,H95/H$12)</f>
        <v>-1.7500657875910968</v>
      </c>
      <c r="K95" s="15"/>
      <c r="L95" s="33">
        <f>+D95-H95</f>
        <v>5848.2334074999962</v>
      </c>
      <c r="M95" s="15"/>
      <c r="N95" s="34">
        <f>IF(H95=0,0,L95/H95)</f>
        <v>-0.23552825843838474</v>
      </c>
      <c r="O95" s="25"/>
      <c r="P95" s="33">
        <f>SUM(P92:P94)</f>
        <v>-18982.050000000003</v>
      </c>
      <c r="Q95" s="13"/>
      <c r="R95" s="34">
        <f>IF(P$12=0,0,P95/P$12)</f>
        <v>-1.3098566765803876</v>
      </c>
      <c r="S95" s="13"/>
      <c r="T95" s="33">
        <f>SUM(T92:T94)</f>
        <v>-24830.283407499999</v>
      </c>
      <c r="U95" s="13"/>
      <c r="V95" s="34">
        <f>IF(T$12=0,0,T95/T$12)</f>
        <v>-1.7500657875910968</v>
      </c>
      <c r="W95" s="15"/>
      <c r="X95" s="33">
        <f>+P95-T95</f>
        <v>5848.2334074999962</v>
      </c>
      <c r="Y95" s="15"/>
      <c r="Z95" s="34">
        <f>IF(T95=0,0,X95/T95)</f>
        <v>-0.23552825843838474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61">
        <v>43726.678857951389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6" t="s">
        <v>314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A99" s="9"/>
      <c r="B99" s="53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25"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","327", " - ", "C-Store Vending Machine(s)")</f>
        <v>Department 327 - C-Store Vending Machine(s)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237</v>
      </c>
      <c r="E12" s="4"/>
      <c r="F12" s="12"/>
      <c r="G12" s="4"/>
      <c r="H12" s="4">
        <f>SUM(OSRRefH13x_0)</f>
        <v>161</v>
      </c>
      <c r="I12" s="4"/>
      <c r="J12" s="12"/>
      <c r="K12" s="4"/>
      <c r="L12" s="4">
        <f t="shared" ref="L12:L14" si="0">+D12-H12</f>
        <v>76</v>
      </c>
      <c r="M12" s="4"/>
      <c r="N12" s="12">
        <f t="shared" ref="N12:N14" si="1">IF(H12=0,0,L12/H12)</f>
        <v>0.47204968944099379</v>
      </c>
      <c r="O12" s="10"/>
      <c r="P12" s="4">
        <f>SUM(OSRRefP13x_0)</f>
        <v>237</v>
      </c>
      <c r="Q12" s="4"/>
      <c r="R12" s="12"/>
      <c r="S12" s="4"/>
      <c r="T12" s="4">
        <f>SUM(OSRRefT13x_0)</f>
        <v>161</v>
      </c>
      <c r="U12" s="4"/>
      <c r="V12" s="12"/>
      <c r="W12" s="4"/>
      <c r="X12" s="4">
        <f t="shared" ref="X12:X14" si="2">+P12-T12</f>
        <v>76</v>
      </c>
      <c r="Y12" s="4"/>
      <c r="Z12" s="12">
        <f t="shared" ref="Z12:Z14" si="3">IF(T12=0,0,X12/T12)</f>
        <v>0.47204968944099379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161</v>
      </c>
      <c r="I13" s="2"/>
      <c r="J13" s="22"/>
      <c r="K13" s="2"/>
      <c r="L13" s="2">
        <f t="shared" si="0"/>
        <v>-161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161</v>
      </c>
      <c r="U13" s="2"/>
      <c r="V13" s="22"/>
      <c r="W13" s="2"/>
      <c r="X13" s="2">
        <f t="shared" si="2"/>
        <v>-161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"4153", " - ", "NON-TAXABLE SALES-FOOD")</f>
        <v xml:space="preserve">          4153 - NON-TAXABLE SALES-FOOD</v>
      </c>
      <c r="C14" s="11"/>
      <c r="D14" s="2">
        <f>--237</f>
        <v>237</v>
      </c>
      <c r="E14" s="2"/>
      <c r="F14" s="22"/>
      <c r="G14" s="2"/>
      <c r="H14" s="2"/>
      <c r="I14" s="2"/>
      <c r="J14" s="22"/>
      <c r="K14" s="2"/>
      <c r="L14" s="2">
        <f t="shared" si="0"/>
        <v>237</v>
      </c>
      <c r="M14" s="2"/>
      <c r="N14" s="22">
        <f t="shared" si="1"/>
        <v>0</v>
      </c>
      <c r="O14" s="11"/>
      <c r="P14" s="2">
        <f>--237</f>
        <v>237</v>
      </c>
      <c r="Q14" s="2"/>
      <c r="R14" s="22"/>
      <c r="S14" s="2"/>
      <c r="T14" s="2"/>
      <c r="U14" s="2"/>
      <c r="V14" s="22"/>
      <c r="W14" s="2"/>
      <c r="X14" s="2">
        <f t="shared" si="2"/>
        <v>237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-2250.04</v>
      </c>
      <c r="E16" s="4"/>
      <c r="F16" s="12">
        <f t="shared" ref="F16:F18" si="4">IF(D$12=0,0,D16/D$12)</f>
        <v>-9.4938396624472574</v>
      </c>
      <c r="G16" s="4"/>
      <c r="H16" s="4">
        <f>SUM(OSRRefH16x_0)</f>
        <v>81</v>
      </c>
      <c r="I16" s="4"/>
      <c r="J16" s="12">
        <f t="shared" ref="J16:J18" si="5">IF(H$12=0,0,H16/H$12)</f>
        <v>0.50310559006211175</v>
      </c>
      <c r="K16" s="4"/>
      <c r="L16" s="4">
        <f t="shared" ref="L16:L18" si="6">+D16-H16</f>
        <v>-2331.04</v>
      </c>
      <c r="M16" s="4"/>
      <c r="N16" s="12">
        <f t="shared" ref="N16:N18" si="7">IF(H16=0,0,L16/H16)</f>
        <v>-28.778271604938272</v>
      </c>
      <c r="O16" s="10"/>
      <c r="P16" s="4">
        <f>SUM(OSRRefP16x_0)</f>
        <v>-2250.04</v>
      </c>
      <c r="Q16" s="4"/>
      <c r="R16" s="12">
        <f t="shared" ref="R16:R18" si="8">IF(P$12=0,0,P16/P$12)</f>
        <v>-9.4938396624472574</v>
      </c>
      <c r="S16" s="4"/>
      <c r="T16" s="4">
        <f>SUM(OSRRefT16x_0)</f>
        <v>81</v>
      </c>
      <c r="U16" s="4"/>
      <c r="V16" s="12">
        <f t="shared" ref="V16:V18" si="9">IF(T$12=0,0,T16/T$12)</f>
        <v>0.50310559006211175</v>
      </c>
      <c r="W16" s="4"/>
      <c r="X16" s="4">
        <f t="shared" ref="X16:X18" si="10">+P16-T16</f>
        <v>-2331.04</v>
      </c>
      <c r="Y16" s="4"/>
      <c r="Z16" s="12">
        <f t="shared" ref="Z16:Z18" si="11">IF(T16=0,0,X16/T16)</f>
        <v>-28.778271604938272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4"/>
        <v>0</v>
      </c>
      <c r="G17" s="2"/>
      <c r="H17" s="2">
        <v>81</v>
      </c>
      <c r="I17" s="2"/>
      <c r="J17" s="22">
        <f t="shared" si="5"/>
        <v>0.50310559006211175</v>
      </c>
      <c r="K17" s="2"/>
      <c r="L17" s="2">
        <f t="shared" si="6"/>
        <v>-81</v>
      </c>
      <c r="M17" s="2"/>
      <c r="N17" s="22">
        <f t="shared" si="7"/>
        <v>-1</v>
      </c>
      <c r="O17" s="11"/>
      <c r="P17" s="2"/>
      <c r="Q17" s="2"/>
      <c r="R17" s="22">
        <f t="shared" si="8"/>
        <v>0</v>
      </c>
      <c r="S17" s="2"/>
      <c r="T17" s="2">
        <v>81</v>
      </c>
      <c r="U17" s="2"/>
      <c r="V17" s="22">
        <f t="shared" si="9"/>
        <v>0.50310559006211175</v>
      </c>
      <c r="W17" s="2"/>
      <c r="X17" s="2">
        <f t="shared" si="10"/>
        <v>-81</v>
      </c>
      <c r="Y17" s="2"/>
      <c r="Z17" s="22">
        <f t="shared" si="11"/>
        <v>-1</v>
      </c>
    </row>
    <row r="18" spans="1:26" s="24" customFormat="1" hidden="1" outlineLevel="1" x14ac:dyDescent="0.25">
      <c r="A18" s="51"/>
      <c r="B18" s="11" t="str">
        <f>CONCATENATE("          ", "5059", " - ", "PURCHASES @ COST-FOOD")</f>
        <v xml:space="preserve">          5059 - PURCHASES @ COST-FOOD</v>
      </c>
      <c r="C18" s="11"/>
      <c r="D18" s="2">
        <v>-2250.04</v>
      </c>
      <c r="E18" s="2"/>
      <c r="F18" s="22">
        <f t="shared" si="4"/>
        <v>-9.4938396624472574</v>
      </c>
      <c r="G18" s="2"/>
      <c r="H18" s="2"/>
      <c r="I18" s="2"/>
      <c r="J18" s="22">
        <f t="shared" si="5"/>
        <v>0</v>
      </c>
      <c r="K18" s="2"/>
      <c r="L18" s="2">
        <f t="shared" si="6"/>
        <v>-2250.04</v>
      </c>
      <c r="M18" s="2"/>
      <c r="N18" s="22">
        <f t="shared" si="7"/>
        <v>0</v>
      </c>
      <c r="O18" s="11"/>
      <c r="P18" s="2">
        <v>-2250.04</v>
      </c>
      <c r="Q18" s="2"/>
      <c r="R18" s="22">
        <f t="shared" si="8"/>
        <v>-9.4938396624472574</v>
      </c>
      <c r="S18" s="2"/>
      <c r="T18" s="2"/>
      <c r="U18" s="2"/>
      <c r="V18" s="22">
        <f t="shared" si="9"/>
        <v>0</v>
      </c>
      <c r="W18" s="2"/>
      <c r="X18" s="2">
        <f t="shared" si="10"/>
        <v>-2250.04</v>
      </c>
      <c r="Y18" s="2"/>
      <c r="Z18" s="22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2487.04</v>
      </c>
      <c r="E20" s="13"/>
      <c r="F20" s="19">
        <f>IF(D$12=0,0,D20/D$12)</f>
        <v>10.493839662447257</v>
      </c>
      <c r="G20" s="13"/>
      <c r="H20" s="21">
        <f>H12-H16</f>
        <v>80</v>
      </c>
      <c r="I20" s="13"/>
      <c r="J20" s="19">
        <f>IF(H$12=0,0,H20/H$12)</f>
        <v>0.49689440993788819</v>
      </c>
      <c r="K20" s="15"/>
      <c r="L20" s="21">
        <f>+D20-H20</f>
        <v>2407.04</v>
      </c>
      <c r="M20" s="15"/>
      <c r="N20" s="19">
        <f>IF(H20=0,0,L20/H20)</f>
        <v>30.088000000000001</v>
      </c>
      <c r="O20" s="25"/>
      <c r="P20" s="21">
        <f>P12-P16</f>
        <v>2487.04</v>
      </c>
      <c r="Q20" s="13"/>
      <c r="R20" s="19">
        <f>IF(P$12=0,0,P20/P$12)</f>
        <v>10.493839662447257</v>
      </c>
      <c r="S20" s="13"/>
      <c r="T20" s="21">
        <f>T12-T16</f>
        <v>80</v>
      </c>
      <c r="U20" s="13"/>
      <c r="V20" s="19">
        <f>IF(T$12=0,0,T20/T$12)</f>
        <v>0.49689440993788819</v>
      </c>
      <c r="W20" s="15"/>
      <c r="X20" s="21">
        <f>+P20-T20</f>
        <v>2407.04</v>
      </c>
      <c r="Y20" s="15"/>
      <c r="Z20" s="19">
        <f>IF(T20=0,0,X20/T20)</f>
        <v>30.088000000000001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53.96</v>
      </c>
      <c r="E22" s="20"/>
      <c r="F22" s="30">
        <f t="shared" ref="F22:F24" si="12">IF(D$12=0,0,D22/D$12)</f>
        <v>0.22767932489451478</v>
      </c>
      <c r="G22" s="20"/>
      <c r="H22" s="20">
        <f>SUM(OSRRefH22x_0)</f>
        <v>14</v>
      </c>
      <c r="I22" s="20"/>
      <c r="J22" s="30">
        <f t="shared" ref="J22:J24" si="13">IF(H$12=0,0,H22/H$12)</f>
        <v>8.6956521739130432E-2</v>
      </c>
      <c r="K22" s="4"/>
      <c r="L22" s="20">
        <f t="shared" ref="L22:L24" si="14">+D22-H22</f>
        <v>39.96</v>
      </c>
      <c r="M22" s="4"/>
      <c r="N22" s="30">
        <f t="shared" ref="N22:N24" si="15">IF(H22=0,0,L22/H22)</f>
        <v>2.8542857142857145</v>
      </c>
      <c r="O22" s="10"/>
      <c r="P22" s="20">
        <f>SUM(OSRRefP22x_0)</f>
        <v>53.96</v>
      </c>
      <c r="Q22" s="20"/>
      <c r="R22" s="30">
        <f t="shared" ref="R22:R24" si="16">IF(P$12=0,0,P22/P$12)</f>
        <v>0.22767932489451478</v>
      </c>
      <c r="S22" s="20"/>
      <c r="T22" s="20">
        <f>SUM(OSRRefT22x_0)</f>
        <v>14</v>
      </c>
      <c r="U22" s="20"/>
      <c r="V22" s="30">
        <f t="shared" ref="V22:V24" si="17">IF(T$12=0,0,T22/T$12)</f>
        <v>8.6956521739130432E-2</v>
      </c>
      <c r="W22" s="4"/>
      <c r="X22" s="20">
        <f t="shared" ref="X22:X24" si="18">+P22-T22</f>
        <v>39.96</v>
      </c>
      <c r="Y22" s="4"/>
      <c r="Z22" s="30">
        <f t="shared" ref="Z22:Z24" si="19">IF(T22=0,0,X22/T22)</f>
        <v>2.8542857142857145</v>
      </c>
    </row>
    <row r="23" spans="1:26" s="27" customFormat="1" outlineLevel="1" collapsed="1" x14ac:dyDescent="0.25">
      <c r="A23" s="28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53.96</v>
      </c>
      <c r="E23" s="1"/>
      <c r="F23" s="5">
        <f t="shared" si="12"/>
        <v>0.22767932489451478</v>
      </c>
      <c r="G23" s="1"/>
      <c r="H23" s="1">
        <f>SUM(OSRRefH22_0x_0)</f>
        <v>14</v>
      </c>
      <c r="I23" s="1"/>
      <c r="J23" s="5">
        <f t="shared" si="13"/>
        <v>8.6956521739130432E-2</v>
      </c>
      <c r="K23" s="1"/>
      <c r="L23" s="1">
        <f t="shared" si="14"/>
        <v>39.96</v>
      </c>
      <c r="M23" s="1"/>
      <c r="N23" s="5">
        <f t="shared" si="15"/>
        <v>2.8542857142857145</v>
      </c>
      <c r="O23" s="14"/>
      <c r="P23" s="1">
        <f>SUM(OSRRefP22_0x_0)</f>
        <v>53.96</v>
      </c>
      <c r="Q23" s="1"/>
      <c r="R23" s="5">
        <f t="shared" si="16"/>
        <v>0.22767932489451478</v>
      </c>
      <c r="S23" s="1"/>
      <c r="T23" s="1">
        <f>SUM(OSRRefT22_0x_0)</f>
        <v>14</v>
      </c>
      <c r="U23" s="1"/>
      <c r="V23" s="5">
        <f t="shared" si="17"/>
        <v>8.6956521739130432E-2</v>
      </c>
      <c r="W23" s="1"/>
      <c r="X23" s="1">
        <f t="shared" si="18"/>
        <v>39.96</v>
      </c>
      <c r="Y23" s="1"/>
      <c r="Z23" s="5">
        <f t="shared" si="19"/>
        <v>2.8542857142857145</v>
      </c>
    </row>
    <row r="24" spans="1:26" s="24" customFormat="1" hidden="1" outlineLevel="2" x14ac:dyDescent="0.25">
      <c r="A24" s="29"/>
      <c r="B24" s="11" t="str">
        <f>CONCATENATE("          ", "6381", " - ", "BANK/CREDIT CARD FEES")</f>
        <v xml:space="preserve">          6381 - BANK/CREDIT CARD FEES</v>
      </c>
      <c r="C24" s="11"/>
      <c r="D24" s="7">
        <v>53.96</v>
      </c>
      <c r="E24" s="2"/>
      <c r="F24" s="6">
        <f t="shared" si="12"/>
        <v>0.22767932489451478</v>
      </c>
      <c r="G24" s="2"/>
      <c r="H24" s="7">
        <v>14</v>
      </c>
      <c r="I24" s="2"/>
      <c r="J24" s="6">
        <f t="shared" si="13"/>
        <v>8.6956521739130432E-2</v>
      </c>
      <c r="K24" s="2"/>
      <c r="L24" s="7">
        <f t="shared" si="14"/>
        <v>39.96</v>
      </c>
      <c r="M24" s="2"/>
      <c r="N24" s="6">
        <f t="shared" si="15"/>
        <v>2.8542857142857145</v>
      </c>
      <c r="O24" s="11"/>
      <c r="P24" s="7">
        <v>53.96</v>
      </c>
      <c r="Q24" s="2"/>
      <c r="R24" s="6">
        <f t="shared" si="16"/>
        <v>0.22767932489451478</v>
      </c>
      <c r="S24" s="2"/>
      <c r="T24" s="7">
        <v>14</v>
      </c>
      <c r="U24" s="2"/>
      <c r="V24" s="6">
        <f t="shared" si="17"/>
        <v>8.6956521739130432E-2</v>
      </c>
      <c r="W24" s="2"/>
      <c r="X24" s="7">
        <f t="shared" si="18"/>
        <v>39.96</v>
      </c>
      <c r="Y24" s="2"/>
      <c r="Z24" s="6">
        <f t="shared" si="19"/>
        <v>2.8542857142857145</v>
      </c>
    </row>
    <row r="25" spans="1:26" s="57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3</v>
      </c>
      <c r="C28" s="26"/>
      <c r="D28" s="21">
        <f>+D20-D22+D26</f>
        <v>2433.08</v>
      </c>
      <c r="E28" s="13"/>
      <c r="F28" s="19">
        <f>IF(D$12=0,0,D28/D$12)</f>
        <v>10.266160337552742</v>
      </c>
      <c r="G28" s="13"/>
      <c r="H28" s="21">
        <f>+H20-H22+H26</f>
        <v>66</v>
      </c>
      <c r="I28" s="13"/>
      <c r="J28" s="19">
        <f>IF(H$12=0,0,H28/H$12)</f>
        <v>0.40993788819875776</v>
      </c>
      <c r="K28" s="15"/>
      <c r="L28" s="21">
        <f>+D28-H28</f>
        <v>2367.08</v>
      </c>
      <c r="M28" s="15"/>
      <c r="N28" s="19">
        <f>IF(H28=0,0,L28/H28)</f>
        <v>35.864848484848487</v>
      </c>
      <c r="O28" s="25"/>
      <c r="P28" s="21">
        <f>+P20-P22+P26</f>
        <v>2433.08</v>
      </c>
      <c r="Q28" s="13"/>
      <c r="R28" s="19">
        <f>IF(P$12=0,0,P28/P$12)</f>
        <v>10.266160337552742</v>
      </c>
      <c r="S28" s="13"/>
      <c r="T28" s="21">
        <f>+T20-T22+T26</f>
        <v>66</v>
      </c>
      <c r="U28" s="13"/>
      <c r="V28" s="19">
        <f>IF(T$12=0,0,T28/T$12)</f>
        <v>0.40993788819875776</v>
      </c>
      <c r="W28" s="15"/>
      <c r="X28" s="21">
        <f>+P28-T28</f>
        <v>2367.08</v>
      </c>
      <c r="Y28" s="15"/>
      <c r="Z28" s="19">
        <f>IF(T28=0,0,X28/T28)</f>
        <v>35.864848484848487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49.28</v>
      </c>
      <c r="E30" s="4"/>
      <c r="F30" s="12">
        <f>IF(D$12=0,0,D30/D$12)</f>
        <v>0.2079324894514768</v>
      </c>
      <c r="G30" s="4"/>
      <c r="H30" s="4">
        <v>39</v>
      </c>
      <c r="I30" s="4"/>
      <c r="J30" s="12">
        <f>IF(H$12=0,0,H30/H$12)</f>
        <v>0.24223602484472051</v>
      </c>
      <c r="K30" s="4"/>
      <c r="L30" s="4">
        <f>+D30-H30</f>
        <v>10.280000000000001</v>
      </c>
      <c r="M30" s="4"/>
      <c r="N30" s="12">
        <f>IF(H30=0,0,L30/H30)</f>
        <v>0.26358974358974363</v>
      </c>
      <c r="O30" s="10"/>
      <c r="P30" s="4">
        <v>49.28</v>
      </c>
      <c r="Q30" s="4"/>
      <c r="R30" s="12">
        <f>IF(P$12=0,0,P30/P$12)</f>
        <v>0.2079324894514768</v>
      </c>
      <c r="S30" s="4"/>
      <c r="T30" s="4">
        <v>39</v>
      </c>
      <c r="U30" s="4"/>
      <c r="V30" s="12">
        <f>IF(T$12=0,0,T30/T$12)</f>
        <v>0.24223602484472051</v>
      </c>
      <c r="W30" s="4"/>
      <c r="X30" s="4">
        <f>+P30-T30</f>
        <v>10.280000000000001</v>
      </c>
      <c r="Y30" s="4"/>
      <c r="Z30" s="12">
        <f>IF(T30=0,0,X30/T30)</f>
        <v>0.26358974358974363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6" t="s">
        <v>4</v>
      </c>
      <c r="C32" s="26"/>
      <c r="D32" s="32">
        <f>+D28-D30</f>
        <v>2383.7999999999997</v>
      </c>
      <c r="E32" s="13"/>
      <c r="F32" s="31">
        <f>IF(D$12=0,0,D32/D$12)</f>
        <v>10.058227848101264</v>
      </c>
      <c r="G32" s="13"/>
      <c r="H32" s="32">
        <f>+H28-H30</f>
        <v>27</v>
      </c>
      <c r="I32" s="13"/>
      <c r="J32" s="31">
        <f>IF(H$12=0,0,H32/H$12)</f>
        <v>0.16770186335403728</v>
      </c>
      <c r="K32" s="15"/>
      <c r="L32" s="32">
        <f>D32-H32</f>
        <v>2356.7999999999997</v>
      </c>
      <c r="M32" s="15"/>
      <c r="N32" s="31">
        <f>IF(H32=0,0,L32/H32)</f>
        <v>87.288888888888877</v>
      </c>
      <c r="O32" s="25"/>
      <c r="P32" s="32">
        <f>+P28-P30</f>
        <v>2383.7999999999997</v>
      </c>
      <c r="Q32" s="13"/>
      <c r="R32" s="31">
        <f>IF(P$12=0,0,P32/P$12)</f>
        <v>10.058227848101264</v>
      </c>
      <c r="S32" s="13"/>
      <c r="T32" s="32">
        <f>+T28-T30</f>
        <v>27</v>
      </c>
      <c r="U32" s="13"/>
      <c r="V32" s="31">
        <f>IF(T$12=0,0,T32/T$12)</f>
        <v>0.16770186335403728</v>
      </c>
      <c r="W32" s="15"/>
      <c r="X32" s="32">
        <f>P32-T32</f>
        <v>2356.7999999999997</v>
      </c>
      <c r="Y32" s="15"/>
      <c r="Z32" s="31">
        <f>IF(T32=0,0,X32/T32)</f>
        <v>87.288888888888877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5</v>
      </c>
      <c r="C35" s="26"/>
      <c r="D35" s="33">
        <f>SUM(D32:D34)</f>
        <v>2383.7999999999997</v>
      </c>
      <c r="E35" s="13"/>
      <c r="F35" s="34">
        <f>IF(D$12=0,0,D35/D$12)</f>
        <v>10.058227848101264</v>
      </c>
      <c r="G35" s="13"/>
      <c r="H35" s="33">
        <f>SUM(H32:H34)</f>
        <v>27</v>
      </c>
      <c r="I35" s="13"/>
      <c r="J35" s="34">
        <f>IF(H$12=0,0,H35/H$12)</f>
        <v>0.16770186335403728</v>
      </c>
      <c r="K35" s="15"/>
      <c r="L35" s="33">
        <f>+D35-H35</f>
        <v>2356.7999999999997</v>
      </c>
      <c r="M35" s="15"/>
      <c r="N35" s="34">
        <f>IF(H35=0,0,L35/H35)</f>
        <v>87.288888888888877</v>
      </c>
      <c r="O35" s="25"/>
      <c r="P35" s="33">
        <f>SUM(P32:P34)</f>
        <v>2383.7999999999997</v>
      </c>
      <c r="Q35" s="13"/>
      <c r="R35" s="34">
        <f>IF(P$12=0,0,P35/P$12)</f>
        <v>10.058227848101264</v>
      </c>
      <c r="S35" s="13"/>
      <c r="T35" s="33">
        <f>SUM(T32:T34)</f>
        <v>27</v>
      </c>
      <c r="U35" s="13"/>
      <c r="V35" s="34">
        <f>IF(T$12=0,0,T35/T$12)</f>
        <v>0.16770186335403728</v>
      </c>
      <c r="W35" s="15"/>
      <c r="X35" s="33">
        <f>+P35-T35</f>
        <v>2356.7999999999997</v>
      </c>
      <c r="Y35" s="15"/>
      <c r="Z35" s="34">
        <f>IF(T35=0,0,X35/T35)</f>
        <v>87.288888888888877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25">
      <c r="A37" s="9"/>
      <c r="B37" s="61">
        <v>43726.678888622686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6" t="s">
        <v>314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3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688899.69</v>
      </c>
      <c r="E12" s="4"/>
      <c r="F12" s="12"/>
      <c r="G12" s="4"/>
      <c r="H12" s="4">
        <f>SUM(OSRRefH13x_0)</f>
        <v>747678</v>
      </c>
      <c r="I12" s="4"/>
      <c r="J12" s="12"/>
      <c r="K12" s="4"/>
      <c r="L12" s="4">
        <f t="shared" ref="L12:L24" si="0">+D12-H12</f>
        <v>-58778.310000000056</v>
      </c>
      <c r="M12" s="4"/>
      <c r="N12" s="12">
        <f t="shared" ref="N12:N24" si="1">IF(H12=0,0,L12/H12)</f>
        <v>-7.8614470400359585E-2</v>
      </c>
      <c r="O12" s="10"/>
      <c r="P12" s="4">
        <f>SUM(OSRRefP13x_0)</f>
        <v>688899.69</v>
      </c>
      <c r="Q12" s="4"/>
      <c r="R12" s="12"/>
      <c r="S12" s="4"/>
      <c r="T12" s="4">
        <f>SUM(OSRRefT13x_0)</f>
        <v>747678</v>
      </c>
      <c r="U12" s="4"/>
      <c r="V12" s="12"/>
      <c r="W12" s="4"/>
      <c r="X12" s="4">
        <f t="shared" ref="X12:X24" si="2">+P12-T12</f>
        <v>-58778.310000000056</v>
      </c>
      <c r="Y12" s="4"/>
      <c r="Z12" s="12">
        <f t="shared" ref="Z12:Z24" si="3">IF(T12=0,0,X12/T12)</f>
        <v>-7.8614470400359585E-2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160435</v>
      </c>
      <c r="I13" s="2"/>
      <c r="J13" s="22"/>
      <c r="K13" s="2"/>
      <c r="L13" s="2">
        <f t="shared" si="0"/>
        <v>-160435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160435</v>
      </c>
      <c r="U13" s="2"/>
      <c r="V13" s="22"/>
      <c r="W13" s="2"/>
      <c r="X13" s="2">
        <f t="shared" si="2"/>
        <v>-160435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--18878.7</f>
        <v>18878.7</v>
      </c>
      <c r="E14" s="2"/>
      <c r="F14" s="22"/>
      <c r="G14" s="2"/>
      <c r="H14" s="2"/>
      <c r="I14" s="2"/>
      <c r="J14" s="22"/>
      <c r="K14" s="2"/>
      <c r="L14" s="2">
        <f t="shared" si="0"/>
        <v>18878.7</v>
      </c>
      <c r="M14" s="2"/>
      <c r="N14" s="22">
        <f t="shared" si="1"/>
        <v>0</v>
      </c>
      <c r="O14" s="11"/>
      <c r="P14" s="2">
        <f>--18878.7</f>
        <v>18878.7</v>
      </c>
      <c r="Q14" s="2"/>
      <c r="R14" s="22"/>
      <c r="S14" s="2"/>
      <c r="T14" s="2"/>
      <c r="U14" s="2"/>
      <c r="V14" s="22"/>
      <c r="W14" s="2"/>
      <c r="X14" s="2">
        <f t="shared" si="2"/>
        <v>18878.7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--43778.84</f>
        <v>43778.84</v>
      </c>
      <c r="E15" s="2"/>
      <c r="F15" s="22"/>
      <c r="G15" s="2"/>
      <c r="H15" s="2"/>
      <c r="I15" s="2"/>
      <c r="J15" s="22"/>
      <c r="K15" s="2"/>
      <c r="L15" s="2">
        <f t="shared" si="0"/>
        <v>43778.84</v>
      </c>
      <c r="M15" s="2"/>
      <c r="N15" s="22">
        <f t="shared" si="1"/>
        <v>0</v>
      </c>
      <c r="O15" s="11"/>
      <c r="P15" s="2">
        <f>--43778.84</f>
        <v>43778.84</v>
      </c>
      <c r="Q15" s="2"/>
      <c r="R15" s="22"/>
      <c r="S15" s="2"/>
      <c r="T15" s="2"/>
      <c r="U15" s="2"/>
      <c r="V15" s="22"/>
      <c r="W15" s="2"/>
      <c r="X15" s="2">
        <f t="shared" si="2"/>
        <v>43778.84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"4053", " - ", "TAXABLE SALES-FOOD")</f>
        <v xml:space="preserve">          4053 - TAXABLE SALES-FOOD</v>
      </c>
      <c r="C16" s="11"/>
      <c r="D16" s="2">
        <f>--26075.21</f>
        <v>26075.21</v>
      </c>
      <c r="E16" s="2"/>
      <c r="F16" s="22"/>
      <c r="G16" s="2"/>
      <c r="H16" s="2"/>
      <c r="I16" s="2"/>
      <c r="J16" s="22"/>
      <c r="K16" s="2"/>
      <c r="L16" s="2">
        <f t="shared" si="0"/>
        <v>26075.21</v>
      </c>
      <c r="M16" s="2"/>
      <c r="N16" s="22">
        <f t="shared" si="1"/>
        <v>0</v>
      </c>
      <c r="O16" s="11"/>
      <c r="P16" s="2">
        <f>--26075.21</f>
        <v>26075.21</v>
      </c>
      <c r="Q16" s="2"/>
      <c r="R16" s="22"/>
      <c r="S16" s="2"/>
      <c r="T16" s="2"/>
      <c r="U16" s="2"/>
      <c r="V16" s="22"/>
      <c r="W16" s="2"/>
      <c r="X16" s="2">
        <f t="shared" si="2"/>
        <v>26075.21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"4055", " - ", "TAXABLE SALES-FOOD")</f>
        <v xml:space="preserve">          4055 - TAXABLE SALES-FOOD</v>
      </c>
      <c r="C17" s="11"/>
      <c r="D17" s="2">
        <f>--14243.63</f>
        <v>14243.63</v>
      </c>
      <c r="E17" s="2"/>
      <c r="F17" s="22"/>
      <c r="G17" s="2"/>
      <c r="H17" s="2"/>
      <c r="I17" s="2"/>
      <c r="J17" s="22"/>
      <c r="K17" s="2"/>
      <c r="L17" s="2">
        <f t="shared" si="0"/>
        <v>14243.63</v>
      </c>
      <c r="M17" s="2"/>
      <c r="N17" s="22">
        <f t="shared" si="1"/>
        <v>0</v>
      </c>
      <c r="O17" s="11"/>
      <c r="P17" s="2">
        <f>--14243.63</f>
        <v>14243.63</v>
      </c>
      <c r="Q17" s="2"/>
      <c r="R17" s="22"/>
      <c r="S17" s="2"/>
      <c r="T17" s="2"/>
      <c r="U17" s="2"/>
      <c r="V17" s="22"/>
      <c r="W17" s="2"/>
      <c r="X17" s="2">
        <f t="shared" si="2"/>
        <v>14243.63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"4058", " - ", "TAXABLE SALES-FOOD")</f>
        <v xml:space="preserve">          4058 - TAXABLE SALES-FOOD</v>
      </c>
      <c r="C18" s="11"/>
      <c r="D18" s="2">
        <f>--8401.66</f>
        <v>8401.66</v>
      </c>
      <c r="E18" s="2"/>
      <c r="F18" s="22"/>
      <c r="G18" s="2"/>
      <c r="H18" s="2"/>
      <c r="I18" s="2"/>
      <c r="J18" s="22"/>
      <c r="K18" s="2"/>
      <c r="L18" s="2">
        <f t="shared" si="0"/>
        <v>8401.66</v>
      </c>
      <c r="M18" s="2"/>
      <c r="N18" s="22">
        <f t="shared" si="1"/>
        <v>0</v>
      </c>
      <c r="O18" s="11"/>
      <c r="P18" s="2">
        <f>--8401.66</f>
        <v>8401.66</v>
      </c>
      <c r="Q18" s="2"/>
      <c r="R18" s="22"/>
      <c r="S18" s="2"/>
      <c r="T18" s="2"/>
      <c r="U18" s="2"/>
      <c r="V18" s="22"/>
      <c r="W18" s="2"/>
      <c r="X18" s="2">
        <f t="shared" si="2"/>
        <v>8401.66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587243</v>
      </c>
      <c r="I19" s="2"/>
      <c r="J19" s="22"/>
      <c r="K19" s="2"/>
      <c r="L19" s="2">
        <f t="shared" si="0"/>
        <v>-587243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587243</v>
      </c>
      <c r="U19" s="2"/>
      <c r="V19" s="22"/>
      <c r="W19" s="2"/>
      <c r="X19" s="2">
        <f t="shared" si="2"/>
        <v>-587243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"4151", " - ", "NON-TAXABLE SALES-FOOD")</f>
        <v xml:space="preserve">          4151 - NON-TAXABLE SALES-FOOD</v>
      </c>
      <c r="C20" s="11"/>
      <c r="D20" s="2">
        <f>--519646.5</f>
        <v>519646.5</v>
      </c>
      <c r="E20" s="2"/>
      <c r="F20" s="22"/>
      <c r="G20" s="2"/>
      <c r="H20" s="2"/>
      <c r="I20" s="2"/>
      <c r="J20" s="22"/>
      <c r="K20" s="2"/>
      <c r="L20" s="2">
        <f t="shared" si="0"/>
        <v>519646.5</v>
      </c>
      <c r="M20" s="2"/>
      <c r="N20" s="22">
        <f t="shared" si="1"/>
        <v>0</v>
      </c>
      <c r="O20" s="11"/>
      <c r="P20" s="2">
        <f>--519646.5</f>
        <v>519646.5</v>
      </c>
      <c r="Q20" s="2"/>
      <c r="R20" s="22"/>
      <c r="S20" s="2"/>
      <c r="T20" s="2"/>
      <c r="U20" s="2"/>
      <c r="V20" s="22"/>
      <c r="W20" s="2"/>
      <c r="X20" s="2">
        <f t="shared" si="2"/>
        <v>519646.5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"4152", " - ", "NON-TAXABLE SALES-FOOD")</f>
        <v xml:space="preserve">          4152 - NON-TAXABLE SALES-FOOD</v>
      </c>
      <c r="C21" s="11"/>
      <c r="D21" s="2">
        <f>--3667.09</f>
        <v>3667.09</v>
      </c>
      <c r="E21" s="2"/>
      <c r="F21" s="22"/>
      <c r="G21" s="2"/>
      <c r="H21" s="2"/>
      <c r="I21" s="2"/>
      <c r="J21" s="22"/>
      <c r="K21" s="2"/>
      <c r="L21" s="2">
        <f t="shared" si="0"/>
        <v>3667.09</v>
      </c>
      <c r="M21" s="2"/>
      <c r="N21" s="22">
        <f t="shared" si="1"/>
        <v>0</v>
      </c>
      <c r="O21" s="11"/>
      <c r="P21" s="2">
        <f>--3667.09</f>
        <v>3667.09</v>
      </c>
      <c r="Q21" s="2"/>
      <c r="R21" s="22"/>
      <c r="S21" s="2"/>
      <c r="T21" s="2"/>
      <c r="U21" s="2"/>
      <c r="V21" s="22"/>
      <c r="W21" s="2"/>
      <c r="X21" s="2">
        <f t="shared" si="2"/>
        <v>3667.09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"4153", " - ", "NON-TAXABLE SALES-FOOD")</f>
        <v xml:space="preserve">          4153 - NON-TAXABLE SALES-FOOD</v>
      </c>
      <c r="C22" s="11"/>
      <c r="D22" s="2">
        <f>--19011.71</f>
        <v>19011.71</v>
      </c>
      <c r="E22" s="2"/>
      <c r="F22" s="22"/>
      <c r="G22" s="2"/>
      <c r="H22" s="2"/>
      <c r="I22" s="2"/>
      <c r="J22" s="22"/>
      <c r="K22" s="2"/>
      <c r="L22" s="2">
        <f t="shared" si="0"/>
        <v>19011.71</v>
      </c>
      <c r="M22" s="2"/>
      <c r="N22" s="22">
        <f t="shared" si="1"/>
        <v>0</v>
      </c>
      <c r="O22" s="11"/>
      <c r="P22" s="2">
        <f>--19011.71</f>
        <v>19011.71</v>
      </c>
      <c r="Q22" s="2"/>
      <c r="R22" s="22"/>
      <c r="S22" s="2"/>
      <c r="T22" s="2"/>
      <c r="U22" s="2"/>
      <c r="V22" s="22"/>
      <c r="W22" s="2"/>
      <c r="X22" s="2">
        <f t="shared" si="2"/>
        <v>19011.71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"4155", " - ", "NON-TAXABLE SALES-FOOD")</f>
        <v xml:space="preserve">          4155 - NON-TAXABLE SALES-FOOD</v>
      </c>
      <c r="C23" s="11"/>
      <c r="D23" s="2">
        <f>--25636.66</f>
        <v>25636.66</v>
      </c>
      <c r="E23" s="2"/>
      <c r="F23" s="22"/>
      <c r="G23" s="2"/>
      <c r="H23" s="2"/>
      <c r="I23" s="2"/>
      <c r="J23" s="22"/>
      <c r="K23" s="2"/>
      <c r="L23" s="2">
        <f t="shared" si="0"/>
        <v>25636.66</v>
      </c>
      <c r="M23" s="2"/>
      <c r="N23" s="22">
        <f t="shared" si="1"/>
        <v>0</v>
      </c>
      <c r="O23" s="11"/>
      <c r="P23" s="2">
        <f>--25636.66</f>
        <v>25636.66</v>
      </c>
      <c r="Q23" s="2"/>
      <c r="R23" s="22"/>
      <c r="S23" s="2"/>
      <c r="T23" s="2"/>
      <c r="U23" s="2"/>
      <c r="V23" s="22"/>
      <c r="W23" s="2"/>
      <c r="X23" s="2">
        <f t="shared" si="2"/>
        <v>25636.66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"4158", " - ", "NON-TAXABLE SALES-FOOD")</f>
        <v xml:space="preserve">          4158 - NON-TAXABLE SALES-FOOD</v>
      </c>
      <c r="C24" s="11"/>
      <c r="D24" s="2">
        <f>--9559.69</f>
        <v>9559.69</v>
      </c>
      <c r="E24" s="2"/>
      <c r="F24" s="22"/>
      <c r="G24" s="2"/>
      <c r="H24" s="2"/>
      <c r="I24" s="2"/>
      <c r="J24" s="22"/>
      <c r="K24" s="2"/>
      <c r="L24" s="2">
        <f t="shared" si="0"/>
        <v>9559.69</v>
      </c>
      <c r="M24" s="2"/>
      <c r="N24" s="22">
        <f t="shared" si="1"/>
        <v>0</v>
      </c>
      <c r="O24" s="11"/>
      <c r="P24" s="2">
        <f>--9559.69</f>
        <v>9559.69</v>
      </c>
      <c r="Q24" s="2"/>
      <c r="R24" s="22"/>
      <c r="S24" s="2"/>
      <c r="T24" s="2"/>
      <c r="U24" s="2"/>
      <c r="V24" s="22"/>
      <c r="W24" s="2"/>
      <c r="X24" s="2">
        <f t="shared" si="2"/>
        <v>9559.69</v>
      </c>
      <c r="Y24" s="2"/>
      <c r="Z24" s="22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5" t="s">
        <v>8</v>
      </c>
      <c r="C26" s="10"/>
      <c r="D26" s="4">
        <f>SUM(OSRRefD16x_0)</f>
        <v>228028.7</v>
      </c>
      <c r="E26" s="4"/>
      <c r="F26" s="12">
        <f t="shared" ref="F26:F29" si="4">IF(D$12=0,0,D26/D$12)</f>
        <v>0.33100421340006703</v>
      </c>
      <c r="G26" s="4"/>
      <c r="H26" s="4">
        <f>SUM(OSRRefH16x_0)</f>
        <v>231400</v>
      </c>
      <c r="I26" s="4"/>
      <c r="J26" s="12">
        <f t="shared" ref="J26:J29" si="5">IF(H$12=0,0,H26/H$12)</f>
        <v>0.30949151907639383</v>
      </c>
      <c r="K26" s="4"/>
      <c r="L26" s="4">
        <f t="shared" ref="L26:L29" si="6">+D26-H26</f>
        <v>-3371.2999999999884</v>
      </c>
      <c r="M26" s="4"/>
      <c r="N26" s="12">
        <f t="shared" ref="N26:N29" si="7">IF(H26=0,0,L26/H26)</f>
        <v>-1.4569144338807211E-2</v>
      </c>
      <c r="O26" s="10"/>
      <c r="P26" s="4">
        <f>SUM(OSRRefP16x_0)</f>
        <v>228028.7</v>
      </c>
      <c r="Q26" s="4"/>
      <c r="R26" s="12">
        <f t="shared" ref="R26:R29" si="8">IF(P$12=0,0,P26/P$12)</f>
        <v>0.33100421340006703</v>
      </c>
      <c r="S26" s="4"/>
      <c r="T26" s="4">
        <f>SUM(OSRRefT16x_0)</f>
        <v>231400</v>
      </c>
      <c r="U26" s="4"/>
      <c r="V26" s="12">
        <f t="shared" ref="V26:V29" si="9">IF(T$12=0,0,T26/T$12)</f>
        <v>0.30949151907639383</v>
      </c>
      <c r="W26" s="4"/>
      <c r="X26" s="4">
        <f t="shared" ref="X26:X29" si="10">+P26-T26</f>
        <v>-3371.2999999999884</v>
      </c>
      <c r="Y26" s="4"/>
      <c r="Z26" s="12">
        <f t="shared" ref="Z26:Z29" si="11">IF(T26=0,0,X26/T26)</f>
        <v>-1.4569144338807211E-2</v>
      </c>
    </row>
    <row r="27" spans="1:26" s="24" customFormat="1" hidden="1" outlineLevel="1" x14ac:dyDescent="0.25">
      <c r="A27" s="51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22">
        <f t="shared" si="4"/>
        <v>0</v>
      </c>
      <c r="G27" s="2"/>
      <c r="H27" s="2">
        <v>231400</v>
      </c>
      <c r="I27" s="2"/>
      <c r="J27" s="22">
        <f t="shared" si="5"/>
        <v>0.30949151907639383</v>
      </c>
      <c r="K27" s="2"/>
      <c r="L27" s="2">
        <f t="shared" si="6"/>
        <v>-231400</v>
      </c>
      <c r="M27" s="2"/>
      <c r="N27" s="22">
        <f t="shared" si="7"/>
        <v>-1</v>
      </c>
      <c r="O27" s="11"/>
      <c r="P27" s="2"/>
      <c r="Q27" s="2"/>
      <c r="R27" s="22">
        <f t="shared" si="8"/>
        <v>0</v>
      </c>
      <c r="S27" s="2"/>
      <c r="T27" s="2">
        <v>231400</v>
      </c>
      <c r="U27" s="2"/>
      <c r="V27" s="22">
        <f t="shared" si="9"/>
        <v>0.30949151907639383</v>
      </c>
      <c r="W27" s="2"/>
      <c r="X27" s="2">
        <f t="shared" si="10"/>
        <v>-231400</v>
      </c>
      <c r="Y27" s="2"/>
      <c r="Z27" s="22">
        <f t="shared" si="11"/>
        <v>-1</v>
      </c>
    </row>
    <row r="28" spans="1:26" s="24" customFormat="1" hidden="1" outlineLevel="1" x14ac:dyDescent="0.25">
      <c r="A28" s="51"/>
      <c r="B28" s="11" t="str">
        <f>CONCATENATE("          ", "5053", " - ", "PURCHASES @ COST-FOOD")</f>
        <v xml:space="preserve">          5053 - PURCHASES @ COST-FOOD</v>
      </c>
      <c r="C28" s="11"/>
      <c r="D28" s="2">
        <v>232073.7</v>
      </c>
      <c r="E28" s="2"/>
      <c r="F28" s="22">
        <f t="shared" si="4"/>
        <v>0.33687589553132186</v>
      </c>
      <c r="G28" s="2"/>
      <c r="H28" s="2"/>
      <c r="I28" s="2"/>
      <c r="J28" s="22">
        <f t="shared" si="5"/>
        <v>0</v>
      </c>
      <c r="K28" s="2"/>
      <c r="L28" s="2">
        <f t="shared" si="6"/>
        <v>232073.7</v>
      </c>
      <c r="M28" s="2"/>
      <c r="N28" s="22">
        <f t="shared" si="7"/>
        <v>0</v>
      </c>
      <c r="O28" s="11"/>
      <c r="P28" s="2">
        <v>232073.7</v>
      </c>
      <c r="Q28" s="2"/>
      <c r="R28" s="22">
        <f t="shared" si="8"/>
        <v>0.33687589553132186</v>
      </c>
      <c r="S28" s="2"/>
      <c r="T28" s="2"/>
      <c r="U28" s="2"/>
      <c r="V28" s="22">
        <f t="shared" si="9"/>
        <v>0</v>
      </c>
      <c r="W28" s="2"/>
      <c r="X28" s="2">
        <f t="shared" si="10"/>
        <v>232073.7</v>
      </c>
      <c r="Y28" s="2"/>
      <c r="Z28" s="22">
        <f t="shared" si="11"/>
        <v>0</v>
      </c>
    </row>
    <row r="29" spans="1:26" s="24" customFormat="1" hidden="1" outlineLevel="1" x14ac:dyDescent="0.25">
      <c r="A29" s="51"/>
      <c r="B29" s="11" t="str">
        <f>CONCATENATE("          ", "5059", " - ", "PURCHASES @ COST-FOOD")</f>
        <v xml:space="preserve">          5059 - PURCHASES @ COST-FOOD</v>
      </c>
      <c r="C29" s="11"/>
      <c r="D29" s="2">
        <v>-4045</v>
      </c>
      <c r="E29" s="2"/>
      <c r="F29" s="22">
        <f t="shared" si="4"/>
        <v>-5.8716821312548425E-3</v>
      </c>
      <c r="G29" s="2"/>
      <c r="H29" s="2"/>
      <c r="I29" s="2"/>
      <c r="J29" s="22">
        <f t="shared" si="5"/>
        <v>0</v>
      </c>
      <c r="K29" s="2"/>
      <c r="L29" s="2">
        <f t="shared" si="6"/>
        <v>-4045</v>
      </c>
      <c r="M29" s="2"/>
      <c r="N29" s="22">
        <f t="shared" si="7"/>
        <v>0</v>
      </c>
      <c r="O29" s="11"/>
      <c r="P29" s="2">
        <v>-4045</v>
      </c>
      <c r="Q29" s="2"/>
      <c r="R29" s="22">
        <f t="shared" si="8"/>
        <v>-5.8716821312548425E-3</v>
      </c>
      <c r="S29" s="2"/>
      <c r="T29" s="2"/>
      <c r="U29" s="2"/>
      <c r="V29" s="22">
        <f t="shared" si="9"/>
        <v>0</v>
      </c>
      <c r="W29" s="2"/>
      <c r="X29" s="2">
        <f t="shared" si="10"/>
        <v>-4045</v>
      </c>
      <c r="Y29" s="2"/>
      <c r="Z29" s="22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6</v>
      </c>
      <c r="C31" s="26"/>
      <c r="D31" s="21">
        <f>D12-D26</f>
        <v>460870.98999999993</v>
      </c>
      <c r="E31" s="13"/>
      <c r="F31" s="19">
        <f>IF(D$12=0,0,D31/D$12)</f>
        <v>0.66899578659993297</v>
      </c>
      <c r="G31" s="13"/>
      <c r="H31" s="21">
        <f>H12-H26</f>
        <v>516278</v>
      </c>
      <c r="I31" s="13"/>
      <c r="J31" s="19">
        <f>IF(H$12=0,0,H31/H$12)</f>
        <v>0.69050848092360617</v>
      </c>
      <c r="K31" s="15"/>
      <c r="L31" s="21">
        <f>+D31-H31</f>
        <v>-55407.010000000068</v>
      </c>
      <c r="M31" s="15"/>
      <c r="N31" s="19">
        <f>IF(H31=0,0,L31/H31)</f>
        <v>-0.10732010660923004</v>
      </c>
      <c r="O31" s="25"/>
      <c r="P31" s="21">
        <f>P12-P26</f>
        <v>460870.98999999993</v>
      </c>
      <c r="Q31" s="13"/>
      <c r="R31" s="19">
        <f>IF(P$12=0,0,P31/P$12)</f>
        <v>0.66899578659993297</v>
      </c>
      <c r="S31" s="13"/>
      <c r="T31" s="21">
        <f>T12-T26</f>
        <v>516278</v>
      </c>
      <c r="U31" s="13"/>
      <c r="V31" s="19">
        <f>IF(T$12=0,0,T31/T$12)</f>
        <v>0.69050848092360617</v>
      </c>
      <c r="W31" s="15"/>
      <c r="X31" s="21">
        <f>+P31-T31</f>
        <v>-55407.010000000068</v>
      </c>
      <c r="Y31" s="15"/>
      <c r="Z31" s="19">
        <f>IF(T31=0,0,X31/T31)</f>
        <v>-0.10732010660923004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5" t="s">
        <v>9</v>
      </c>
      <c r="C33" s="10"/>
      <c r="D33" s="20">
        <f>SUM(OSRRefD22x_0)</f>
        <v>809379.65999999992</v>
      </c>
      <c r="E33" s="20"/>
      <c r="F33" s="30">
        <f t="shared" ref="F33:F44" si="12">IF(D$12=0,0,D33/D$12)</f>
        <v>1.1748875369649245</v>
      </c>
      <c r="G33" s="20"/>
      <c r="H33" s="20">
        <f>SUM(OSRRefH22x_0)</f>
        <v>810265.03873896494</v>
      </c>
      <c r="I33" s="20"/>
      <c r="J33" s="30">
        <f t="shared" ref="J33:J44" si="13">IF(H$12=0,0,H33/H$12)</f>
        <v>1.0837085466457017</v>
      </c>
      <c r="K33" s="4"/>
      <c r="L33" s="20">
        <f t="shared" ref="L33:L44" si="14">+D33-H33</f>
        <v>-885.37873896502424</v>
      </c>
      <c r="M33" s="4"/>
      <c r="N33" s="30">
        <f t="shared" ref="N33:N44" si="15">IF(H33=0,0,L33/H33)</f>
        <v>-1.0927026301701978E-3</v>
      </c>
      <c r="O33" s="10"/>
      <c r="P33" s="20">
        <f>SUM(OSRRefP22x_0)</f>
        <v>809379.65999999992</v>
      </c>
      <c r="Q33" s="20"/>
      <c r="R33" s="30">
        <f t="shared" ref="R33:R44" si="16">IF(P$12=0,0,P33/P$12)</f>
        <v>1.1748875369649245</v>
      </c>
      <c r="S33" s="20"/>
      <c r="T33" s="20">
        <f>SUM(OSRRefT22x_0)</f>
        <v>810265.03873896494</v>
      </c>
      <c r="U33" s="20"/>
      <c r="V33" s="30">
        <f t="shared" ref="V33:V44" si="17">IF(T$12=0,0,T33/T$12)</f>
        <v>1.0837085466457017</v>
      </c>
      <c r="W33" s="4"/>
      <c r="X33" s="20">
        <f t="shared" ref="X33:X44" si="18">+P33-T33</f>
        <v>-885.37873896502424</v>
      </c>
      <c r="Y33" s="4"/>
      <c r="Z33" s="30">
        <f t="shared" ref="Z33:Z44" si="19">IF(T33=0,0,X33/T33)</f>
        <v>-1.0927026301701978E-3</v>
      </c>
    </row>
    <row r="34" spans="1:26" s="27" customFormat="1" outlineLevel="1" collapsed="1" x14ac:dyDescent="0.25">
      <c r="A34" s="28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167115.46000000002</v>
      </c>
      <c r="E34" s="1"/>
      <c r="F34" s="5">
        <f t="shared" si="12"/>
        <v>0.24258315459541002</v>
      </c>
      <c r="G34" s="1"/>
      <c r="H34" s="1">
        <f>SUM(OSRRefH22_0x_0)</f>
        <v>154756.57527665733</v>
      </c>
      <c r="I34" s="1"/>
      <c r="J34" s="5">
        <f t="shared" si="13"/>
        <v>0.20698291948761008</v>
      </c>
      <c r="K34" s="1"/>
      <c r="L34" s="1">
        <f t="shared" si="14"/>
        <v>12358.884723342693</v>
      </c>
      <c r="M34" s="1"/>
      <c r="N34" s="5">
        <f t="shared" si="15"/>
        <v>7.9860159099855985E-2</v>
      </c>
      <c r="O34" s="14"/>
      <c r="P34" s="1">
        <f>SUM(OSRRefP22_0x_0)</f>
        <v>167115.46000000002</v>
      </c>
      <c r="Q34" s="1"/>
      <c r="R34" s="5">
        <f t="shared" si="16"/>
        <v>0.24258315459541002</v>
      </c>
      <c r="S34" s="1"/>
      <c r="T34" s="1">
        <f>SUM(OSRRefT22_0x_0)</f>
        <v>154756.57527665733</v>
      </c>
      <c r="U34" s="1"/>
      <c r="V34" s="5">
        <f t="shared" si="17"/>
        <v>0.20698291948761008</v>
      </c>
      <c r="W34" s="1"/>
      <c r="X34" s="1">
        <f t="shared" si="18"/>
        <v>12358.884723342693</v>
      </c>
      <c r="Y34" s="1"/>
      <c r="Z34" s="5">
        <f t="shared" si="19"/>
        <v>7.9860159099855985E-2</v>
      </c>
    </row>
    <row r="35" spans="1:26" s="24" customFormat="1" hidden="1" outlineLevel="2" x14ac:dyDescent="0.25">
      <c r="A35" s="29"/>
      <c r="B35" s="11" t="str">
        <f>CONCATENATE("          ", "6111", " - ", "F.I.C.A.")</f>
        <v xml:space="preserve">          6111 - F.I.C.A.</v>
      </c>
      <c r="C35" s="11"/>
      <c r="D35" s="7">
        <v>23591.030000000002</v>
      </c>
      <c r="E35" s="2"/>
      <c r="F35" s="6">
        <f t="shared" si="12"/>
        <v>3.4244506627663027E-2</v>
      </c>
      <c r="G35" s="2"/>
      <c r="H35" s="7">
        <v>28126.233523457318</v>
      </c>
      <c r="I35" s="2"/>
      <c r="J35" s="6">
        <f t="shared" si="13"/>
        <v>3.7618110367641309E-2</v>
      </c>
      <c r="K35" s="2"/>
      <c r="L35" s="7">
        <f t="shared" si="14"/>
        <v>-4535.2035234573159</v>
      </c>
      <c r="M35" s="2"/>
      <c r="N35" s="6">
        <f t="shared" si="15"/>
        <v>-0.16124460886933012</v>
      </c>
      <c r="O35" s="11"/>
      <c r="P35" s="7">
        <v>23591.030000000002</v>
      </c>
      <c r="Q35" s="2"/>
      <c r="R35" s="6">
        <f t="shared" si="16"/>
        <v>3.4244506627663027E-2</v>
      </c>
      <c r="S35" s="2"/>
      <c r="T35" s="7">
        <v>28126.233523457318</v>
      </c>
      <c r="U35" s="2"/>
      <c r="V35" s="6">
        <f t="shared" si="17"/>
        <v>3.7618110367641309E-2</v>
      </c>
      <c r="W35" s="2"/>
      <c r="X35" s="7">
        <f t="shared" si="18"/>
        <v>-4535.2035234573159</v>
      </c>
      <c r="Y35" s="2"/>
      <c r="Z35" s="6">
        <f t="shared" si="19"/>
        <v>-0.16124460886933012</v>
      </c>
    </row>
    <row r="36" spans="1:26" s="24" customFormat="1" hidden="1" outlineLevel="2" x14ac:dyDescent="0.25">
      <c r="A36" s="29"/>
      <c r="B36" s="11" t="str">
        <f>CONCATENATE("          ", "6112", " - ", "COMPENSATION INSURANCE")</f>
        <v xml:space="preserve">          6112 - COMPENSATION INSURANCE</v>
      </c>
      <c r="C36" s="11"/>
      <c r="D36" s="7">
        <v>12003.56</v>
      </c>
      <c r="E36" s="2"/>
      <c r="F36" s="6">
        <f t="shared" si="12"/>
        <v>1.7424249385276976E-2</v>
      </c>
      <c r="G36" s="2"/>
      <c r="H36" s="7">
        <v>15247.620113669229</v>
      </c>
      <c r="I36" s="2"/>
      <c r="J36" s="6">
        <f t="shared" si="13"/>
        <v>2.0393297801552579E-2</v>
      </c>
      <c r="K36" s="2"/>
      <c r="L36" s="7">
        <f t="shared" si="14"/>
        <v>-3244.0601136692294</v>
      </c>
      <c r="M36" s="2"/>
      <c r="N36" s="6">
        <f t="shared" si="15"/>
        <v>-0.21275845604003377</v>
      </c>
      <c r="O36" s="11"/>
      <c r="P36" s="7">
        <v>12003.56</v>
      </c>
      <c r="Q36" s="2"/>
      <c r="R36" s="6">
        <f t="shared" si="16"/>
        <v>1.7424249385276976E-2</v>
      </c>
      <c r="S36" s="2"/>
      <c r="T36" s="7">
        <v>15247.620113669229</v>
      </c>
      <c r="U36" s="2"/>
      <c r="V36" s="6">
        <f t="shared" si="17"/>
        <v>2.0393297801552579E-2</v>
      </c>
      <c r="W36" s="2"/>
      <c r="X36" s="7">
        <f t="shared" si="18"/>
        <v>-3244.0601136692294</v>
      </c>
      <c r="Y36" s="2"/>
      <c r="Z36" s="6">
        <f t="shared" si="19"/>
        <v>-0.21275845604003377</v>
      </c>
    </row>
    <row r="37" spans="1:26" s="24" customFormat="1" hidden="1" outlineLevel="2" x14ac:dyDescent="0.25">
      <c r="A37" s="29"/>
      <c r="B37" s="11" t="str">
        <f>CONCATENATE("          ", "6113", " - ", "GROUP INSURANCE")</f>
        <v xml:space="preserve">          6113 - GROUP INSURANCE</v>
      </c>
      <c r="C37" s="11"/>
      <c r="D37" s="7">
        <v>65063.590000000004</v>
      </c>
      <c r="E37" s="2"/>
      <c r="F37" s="6">
        <f t="shared" si="12"/>
        <v>9.4445665957550384E-2</v>
      </c>
      <c r="G37" s="2"/>
      <c r="H37" s="7">
        <v>71371.192307692312</v>
      </c>
      <c r="I37" s="2"/>
      <c r="J37" s="6">
        <f t="shared" si="13"/>
        <v>9.5457125002597787E-2</v>
      </c>
      <c r="K37" s="2"/>
      <c r="L37" s="7">
        <f t="shared" si="14"/>
        <v>-6307.6023076923084</v>
      </c>
      <c r="M37" s="2"/>
      <c r="N37" s="6">
        <f t="shared" si="15"/>
        <v>-8.8377426574285795E-2</v>
      </c>
      <c r="O37" s="11"/>
      <c r="P37" s="7">
        <v>65063.590000000004</v>
      </c>
      <c r="Q37" s="2"/>
      <c r="R37" s="6">
        <f t="shared" si="16"/>
        <v>9.4445665957550384E-2</v>
      </c>
      <c r="S37" s="2"/>
      <c r="T37" s="7">
        <v>71371.192307692312</v>
      </c>
      <c r="U37" s="2"/>
      <c r="V37" s="6">
        <f t="shared" si="17"/>
        <v>9.5457125002597787E-2</v>
      </c>
      <c r="W37" s="2"/>
      <c r="X37" s="7">
        <f t="shared" si="18"/>
        <v>-6307.6023076923084</v>
      </c>
      <c r="Y37" s="2"/>
      <c r="Z37" s="6">
        <f t="shared" si="19"/>
        <v>-8.8377426574285795E-2</v>
      </c>
    </row>
    <row r="38" spans="1:26" s="24" customFormat="1" hidden="1" outlineLevel="2" x14ac:dyDescent="0.25">
      <c r="A38" s="29"/>
      <c r="B38" s="11" t="str">
        <f>CONCATENATE("          ", "6114", " - ", "STATE UNEMPLOYMENT INSURANCE")</f>
        <v xml:space="preserve">          6114 - STATE UNEMPLOYMENT INSURANCE</v>
      </c>
      <c r="C38" s="11"/>
      <c r="D38" s="7">
        <v>823.47</v>
      </c>
      <c r="E38" s="2"/>
      <c r="F38" s="6">
        <f t="shared" si="12"/>
        <v>1.1953409356302658E-3</v>
      </c>
      <c r="G38" s="2"/>
      <c r="H38" s="7">
        <v>1073.6640932999999</v>
      </c>
      <c r="I38" s="2"/>
      <c r="J38" s="6">
        <f t="shared" si="13"/>
        <v>1.4359979741278997E-3</v>
      </c>
      <c r="K38" s="2"/>
      <c r="L38" s="7">
        <f t="shared" si="14"/>
        <v>-250.19409329999985</v>
      </c>
      <c r="M38" s="2"/>
      <c r="N38" s="6">
        <f t="shared" si="15"/>
        <v>-0.23302827659161682</v>
      </c>
      <c r="O38" s="11"/>
      <c r="P38" s="7">
        <v>823.47</v>
      </c>
      <c r="Q38" s="2"/>
      <c r="R38" s="6">
        <f t="shared" si="16"/>
        <v>1.1953409356302658E-3</v>
      </c>
      <c r="S38" s="2"/>
      <c r="T38" s="7">
        <v>1073.6640932999999</v>
      </c>
      <c r="U38" s="2"/>
      <c r="V38" s="6">
        <f t="shared" si="17"/>
        <v>1.4359979741278997E-3</v>
      </c>
      <c r="W38" s="2"/>
      <c r="X38" s="7">
        <f t="shared" si="18"/>
        <v>-250.19409329999985</v>
      </c>
      <c r="Y38" s="2"/>
      <c r="Z38" s="6">
        <f t="shared" si="19"/>
        <v>-0.23302827659161682</v>
      </c>
    </row>
    <row r="39" spans="1:26" s="24" customFormat="1" hidden="1" outlineLevel="2" x14ac:dyDescent="0.25">
      <c r="A39" s="29"/>
      <c r="B39" s="11" t="str">
        <f>CONCATENATE("          ", "6115", " - ", "P.E.R.S.")</f>
        <v xml:space="preserve">          6115 - P.E.R.S.</v>
      </c>
      <c r="C39" s="11"/>
      <c r="D39" s="7">
        <v>9742.1200000000008</v>
      </c>
      <c r="E39" s="2"/>
      <c r="F39" s="6">
        <f t="shared" si="12"/>
        <v>1.4141565370714568E-2</v>
      </c>
      <c r="G39" s="2"/>
      <c r="H39" s="7">
        <v>13040.824758538467</v>
      </c>
      <c r="I39" s="2"/>
      <c r="J39" s="6">
        <f t="shared" si="13"/>
        <v>1.7441766052416235E-2</v>
      </c>
      <c r="K39" s="2"/>
      <c r="L39" s="7">
        <f t="shared" si="14"/>
        <v>-3298.7047585384662</v>
      </c>
      <c r="M39" s="2"/>
      <c r="N39" s="6">
        <f t="shared" si="15"/>
        <v>-0.25295215752198819</v>
      </c>
      <c r="O39" s="11"/>
      <c r="P39" s="7">
        <v>9742.1200000000008</v>
      </c>
      <c r="Q39" s="2"/>
      <c r="R39" s="6">
        <f t="shared" si="16"/>
        <v>1.4141565370714568E-2</v>
      </c>
      <c r="S39" s="2"/>
      <c r="T39" s="7">
        <v>13040.824758538467</v>
      </c>
      <c r="U39" s="2"/>
      <c r="V39" s="6">
        <f t="shared" si="17"/>
        <v>1.7441766052416235E-2</v>
      </c>
      <c r="W39" s="2"/>
      <c r="X39" s="7">
        <f t="shared" si="18"/>
        <v>-3298.7047585384662</v>
      </c>
      <c r="Y39" s="2"/>
      <c r="Z39" s="6">
        <f t="shared" si="19"/>
        <v>-0.25295215752198819</v>
      </c>
    </row>
    <row r="40" spans="1:26" s="24" customFormat="1" hidden="1" outlineLevel="2" x14ac:dyDescent="0.25">
      <c r="A40" s="29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9"/>
      <c r="B41" s="11" t="str">
        <f>CONCATENATE("          ", "6117", " - ", "RETIREMENT STAFF HOURLY")</f>
        <v xml:space="preserve">          6117 - RETIREMENT STAFF HOURLY</v>
      </c>
      <c r="C41" s="11"/>
      <c r="D41" s="7">
        <v>1438.26</v>
      </c>
      <c r="E41" s="2"/>
      <c r="F41" s="6">
        <f t="shared" si="12"/>
        <v>2.0877640400738169E-3</v>
      </c>
      <c r="G41" s="2"/>
      <c r="H41" s="7"/>
      <c r="I41" s="2"/>
      <c r="J41" s="6">
        <f t="shared" si="13"/>
        <v>0</v>
      </c>
      <c r="K41" s="2"/>
      <c r="L41" s="7">
        <f t="shared" si="14"/>
        <v>1438.26</v>
      </c>
      <c r="M41" s="2"/>
      <c r="N41" s="6">
        <f t="shared" si="15"/>
        <v>0</v>
      </c>
      <c r="O41" s="11"/>
      <c r="P41" s="7">
        <v>1438.26</v>
      </c>
      <c r="Q41" s="2"/>
      <c r="R41" s="6">
        <f t="shared" si="16"/>
        <v>2.0877640400738169E-3</v>
      </c>
      <c r="S41" s="2"/>
      <c r="T41" s="7"/>
      <c r="U41" s="2"/>
      <c r="V41" s="6">
        <f t="shared" si="17"/>
        <v>0</v>
      </c>
      <c r="W41" s="2"/>
      <c r="X41" s="7">
        <f t="shared" si="18"/>
        <v>1438.26</v>
      </c>
      <c r="Y41" s="2"/>
      <c r="Z41" s="6">
        <f t="shared" si="19"/>
        <v>0</v>
      </c>
    </row>
    <row r="42" spans="1:26" s="24" customFormat="1" hidden="1" outlineLevel="2" x14ac:dyDescent="0.25">
      <c r="A42" s="29"/>
      <c r="B42" s="11" t="str">
        <f>CONCATENATE("          ", "6118", " - ", "VACATION")</f>
        <v xml:space="preserve">          6118 - VACATION</v>
      </c>
      <c r="C42" s="11"/>
      <c r="D42" s="7">
        <v>19462.36</v>
      </c>
      <c r="E42" s="2"/>
      <c r="F42" s="6">
        <f t="shared" si="12"/>
        <v>2.8251369949085045E-2</v>
      </c>
      <c r="G42" s="2"/>
      <c r="H42" s="7">
        <v>10780.832638076916</v>
      </c>
      <c r="I42" s="2"/>
      <c r="J42" s="6">
        <f t="shared" si="13"/>
        <v>1.4419085004610161E-2</v>
      </c>
      <c r="K42" s="2"/>
      <c r="L42" s="7">
        <f t="shared" si="14"/>
        <v>8681.5273619230848</v>
      </c>
      <c r="M42" s="2"/>
      <c r="N42" s="6">
        <f t="shared" si="15"/>
        <v>0.80527429126955585</v>
      </c>
      <c r="O42" s="11"/>
      <c r="P42" s="7">
        <v>19462.36</v>
      </c>
      <c r="Q42" s="2"/>
      <c r="R42" s="6">
        <f t="shared" si="16"/>
        <v>2.8251369949085045E-2</v>
      </c>
      <c r="S42" s="2"/>
      <c r="T42" s="7">
        <v>10780.832638076916</v>
      </c>
      <c r="U42" s="2"/>
      <c r="V42" s="6">
        <f t="shared" si="17"/>
        <v>1.4419085004610161E-2</v>
      </c>
      <c r="W42" s="2"/>
      <c r="X42" s="7">
        <f t="shared" si="18"/>
        <v>8681.5273619230848</v>
      </c>
      <c r="Y42" s="2"/>
      <c r="Z42" s="6">
        <f t="shared" si="19"/>
        <v>0.80527429126955585</v>
      </c>
    </row>
    <row r="43" spans="1:26" s="24" customFormat="1" hidden="1" outlineLevel="2" x14ac:dyDescent="0.25">
      <c r="A43" s="29"/>
      <c r="B43" s="11" t="str">
        <f>CONCATENATE("          ", "6119", " - ", "SICK LEAVE")</f>
        <v xml:space="preserve">          6119 - SICK LEAVE</v>
      </c>
      <c r="C43" s="11"/>
      <c r="D43" s="7">
        <v>29820.179999999997</v>
      </c>
      <c r="E43" s="2"/>
      <c r="F43" s="6">
        <f t="shared" si="12"/>
        <v>4.3286679371273923E-2</v>
      </c>
      <c r="G43" s="2"/>
      <c r="H43" s="7">
        <v>11891.207841923071</v>
      </c>
      <c r="I43" s="2"/>
      <c r="J43" s="6">
        <f t="shared" si="13"/>
        <v>1.5904183140232921E-2</v>
      </c>
      <c r="K43" s="2"/>
      <c r="L43" s="7">
        <f t="shared" si="14"/>
        <v>17928.972158076926</v>
      </c>
      <c r="M43" s="2"/>
      <c r="N43" s="6">
        <f t="shared" si="15"/>
        <v>1.507750297229471</v>
      </c>
      <c r="O43" s="11"/>
      <c r="P43" s="7">
        <v>29820.179999999997</v>
      </c>
      <c r="Q43" s="2"/>
      <c r="R43" s="6">
        <f t="shared" si="16"/>
        <v>4.3286679371273923E-2</v>
      </c>
      <c r="S43" s="2"/>
      <c r="T43" s="7">
        <v>11891.207841923071</v>
      </c>
      <c r="U43" s="2"/>
      <c r="V43" s="6">
        <f t="shared" si="17"/>
        <v>1.5904183140232921E-2</v>
      </c>
      <c r="W43" s="2"/>
      <c r="X43" s="7">
        <f t="shared" si="18"/>
        <v>17928.972158076926</v>
      </c>
      <c r="Y43" s="2"/>
      <c r="Z43" s="6">
        <f t="shared" si="19"/>
        <v>1.507750297229471</v>
      </c>
    </row>
    <row r="44" spans="1:26" s="24" customFormat="1" hidden="1" outlineLevel="2" x14ac:dyDescent="0.25">
      <c r="A44" s="29"/>
      <c r="B44" s="11" t="str">
        <f>CONCATENATE("          ", "6156", " - ", "EMPLOYEE MEALS")</f>
        <v xml:space="preserve">          6156 - EMPLOYEE MEALS</v>
      </c>
      <c r="C44" s="11"/>
      <c r="D44" s="7">
        <v>5170.8900000000003</v>
      </c>
      <c r="E44" s="2"/>
      <c r="F44" s="6">
        <f t="shared" si="12"/>
        <v>7.5060129581419914E-3</v>
      </c>
      <c r="G44" s="2"/>
      <c r="H44" s="7">
        <v>3225</v>
      </c>
      <c r="I44" s="2"/>
      <c r="J44" s="6">
        <f t="shared" si="13"/>
        <v>4.313354144431159E-3</v>
      </c>
      <c r="K44" s="2"/>
      <c r="L44" s="7">
        <f t="shared" si="14"/>
        <v>1945.8900000000003</v>
      </c>
      <c r="M44" s="2"/>
      <c r="N44" s="6">
        <f t="shared" si="15"/>
        <v>0.60337674418604659</v>
      </c>
      <c r="O44" s="11"/>
      <c r="P44" s="7">
        <v>5170.8900000000003</v>
      </c>
      <c r="Q44" s="2"/>
      <c r="R44" s="6">
        <f t="shared" si="16"/>
        <v>7.5060129581419914E-3</v>
      </c>
      <c r="S44" s="2"/>
      <c r="T44" s="7">
        <v>3225</v>
      </c>
      <c r="U44" s="2"/>
      <c r="V44" s="6">
        <f t="shared" si="17"/>
        <v>4.313354144431159E-3</v>
      </c>
      <c r="W44" s="2"/>
      <c r="X44" s="7">
        <f t="shared" si="18"/>
        <v>1945.8900000000003</v>
      </c>
      <c r="Y44" s="2"/>
      <c r="Z44" s="6">
        <f t="shared" si="19"/>
        <v>0.60337674418604659</v>
      </c>
    </row>
    <row r="45" spans="1:26" s="27" customFormat="1" outlineLevel="1" collapsed="1" x14ac:dyDescent="0.25">
      <c r="A45" s="28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365776.35</v>
      </c>
      <c r="E45" s="1"/>
      <c r="F45" s="5">
        <f t="shared" ref="F45:F55" si="20">IF(D$12=0,0,D45/D$12)</f>
        <v>0.53095734445750731</v>
      </c>
      <c r="G45" s="1"/>
      <c r="H45" s="1">
        <f>SUM(OSRRefH22_1x_0)</f>
        <v>387057.56346230762</v>
      </c>
      <c r="I45" s="1"/>
      <c r="J45" s="5">
        <f t="shared" ref="J45:J55" si="21">IF(H$12=0,0,H45/H$12)</f>
        <v>0.51767948697475064</v>
      </c>
      <c r="K45" s="1"/>
      <c r="L45" s="1">
        <f t="shared" ref="L45:L55" si="22">+D45-H45</f>
        <v>-21281.213462307642</v>
      </c>
      <c r="M45" s="1"/>
      <c r="N45" s="5">
        <f t="shared" ref="N45:N55" si="23">IF(H45=0,0,L45/H45)</f>
        <v>-5.4982037482856336E-2</v>
      </c>
      <c r="O45" s="14"/>
      <c r="P45" s="1">
        <f>SUM(OSRRefP22_1x_0)</f>
        <v>365776.35</v>
      </c>
      <c r="Q45" s="1"/>
      <c r="R45" s="5">
        <f t="shared" ref="R45:R55" si="24">IF(P$12=0,0,P45/P$12)</f>
        <v>0.53095734445750731</v>
      </c>
      <c r="S45" s="1"/>
      <c r="T45" s="1">
        <f>SUM(OSRRefT22_1x_0)</f>
        <v>387057.56346230762</v>
      </c>
      <c r="U45" s="1"/>
      <c r="V45" s="5">
        <f t="shared" ref="V45:V55" si="25">IF(T$12=0,0,T45/T$12)</f>
        <v>0.51767948697475064</v>
      </c>
      <c r="W45" s="1"/>
      <c r="X45" s="1">
        <f t="shared" ref="X45:X55" si="26">+P45-T45</f>
        <v>-21281.213462307642</v>
      </c>
      <c r="Y45" s="1"/>
      <c r="Z45" s="5">
        <f t="shared" ref="Z45:Z55" si="27">IF(T45=0,0,X45/T45)</f>
        <v>-5.4982037482856336E-2</v>
      </c>
    </row>
    <row r="46" spans="1:26" s="24" customFormat="1" hidden="1" outlineLevel="2" x14ac:dyDescent="0.25">
      <c r="A46" s="29"/>
      <c r="B46" s="11" t="str">
        <f>CONCATENATE("          ", "6001", " - ", "ADMINISTRATIVE SALARIES")</f>
        <v xml:space="preserve">          6001 - ADMINISTRATIVE SALARIES</v>
      </c>
      <c r="C46" s="11"/>
      <c r="D46" s="7">
        <v>28164.2</v>
      </c>
      <c r="E46" s="2"/>
      <c r="F46" s="6">
        <f t="shared" si="20"/>
        <v>4.0882875125114376E-2</v>
      </c>
      <c r="G46" s="2"/>
      <c r="H46" s="7">
        <v>25266.276346153853</v>
      </c>
      <c r="I46" s="2"/>
      <c r="J46" s="6">
        <f t="shared" si="21"/>
        <v>3.3792991563418813E-2</v>
      </c>
      <c r="K46" s="2"/>
      <c r="L46" s="7">
        <f t="shared" si="22"/>
        <v>2897.9236538461482</v>
      </c>
      <c r="M46" s="2"/>
      <c r="N46" s="6">
        <f t="shared" si="23"/>
        <v>0.11469532012331067</v>
      </c>
      <c r="O46" s="11"/>
      <c r="P46" s="7">
        <v>28164.2</v>
      </c>
      <c r="Q46" s="2"/>
      <c r="R46" s="6">
        <f t="shared" si="24"/>
        <v>4.0882875125114376E-2</v>
      </c>
      <c r="S46" s="2"/>
      <c r="T46" s="7">
        <v>25266.276346153853</v>
      </c>
      <c r="U46" s="2"/>
      <c r="V46" s="6">
        <f t="shared" si="25"/>
        <v>3.3792991563418813E-2</v>
      </c>
      <c r="W46" s="2"/>
      <c r="X46" s="7">
        <f t="shared" si="26"/>
        <v>2897.9236538461482</v>
      </c>
      <c r="Y46" s="2"/>
      <c r="Z46" s="6">
        <f t="shared" si="27"/>
        <v>0.11469532012331067</v>
      </c>
    </row>
    <row r="47" spans="1:26" s="24" customFormat="1" hidden="1" outlineLevel="2" x14ac:dyDescent="0.25">
      <c r="A47" s="29"/>
      <c r="B47" s="11" t="str">
        <f>CONCATENATE("          ", "6002", " - ", "STAFF SALARIES")</f>
        <v xml:space="preserve">          6002 - STAFF SALARIES</v>
      </c>
      <c r="C47" s="11"/>
      <c r="D47" s="7">
        <v>103410.72</v>
      </c>
      <c r="E47" s="2"/>
      <c r="F47" s="6">
        <f t="shared" si="20"/>
        <v>0.15010998190462244</v>
      </c>
      <c r="G47" s="2"/>
      <c r="H47" s="7">
        <v>113808.42577615376</v>
      </c>
      <c r="I47" s="2"/>
      <c r="J47" s="6">
        <f t="shared" si="21"/>
        <v>0.1522158279047314</v>
      </c>
      <c r="K47" s="2"/>
      <c r="L47" s="7">
        <f t="shared" si="22"/>
        <v>-10397.705776153758</v>
      </c>
      <c r="M47" s="2"/>
      <c r="N47" s="6">
        <f t="shared" si="23"/>
        <v>-9.1361476140656595E-2</v>
      </c>
      <c r="O47" s="11"/>
      <c r="P47" s="7">
        <v>103410.72</v>
      </c>
      <c r="Q47" s="2"/>
      <c r="R47" s="6">
        <f t="shared" si="24"/>
        <v>0.15010998190462244</v>
      </c>
      <c r="S47" s="2"/>
      <c r="T47" s="7">
        <v>113808.42577615376</v>
      </c>
      <c r="U47" s="2"/>
      <c r="V47" s="6">
        <f t="shared" si="25"/>
        <v>0.1522158279047314</v>
      </c>
      <c r="W47" s="2"/>
      <c r="X47" s="7">
        <f t="shared" si="26"/>
        <v>-10397.705776153758</v>
      </c>
      <c r="Y47" s="2"/>
      <c r="Z47" s="6">
        <f t="shared" si="27"/>
        <v>-9.1361476140656595E-2</v>
      </c>
    </row>
    <row r="48" spans="1:26" s="24" customFormat="1" hidden="1" outlineLevel="2" x14ac:dyDescent="0.25">
      <c r="A48" s="29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9"/>
      <c r="B49" s="11" t="str">
        <f>CONCATENATE("          ", "6004", " - ", "STAFF HOURLY")</f>
        <v xml:space="preserve">          6004 - STAFF HOURLY</v>
      </c>
      <c r="C49" s="11"/>
      <c r="D49" s="7">
        <v>61082.5</v>
      </c>
      <c r="E49" s="2"/>
      <c r="F49" s="6">
        <f t="shared" si="20"/>
        <v>8.8666754952379218E-2</v>
      </c>
      <c r="G49" s="2"/>
      <c r="H49" s="7">
        <v>127453.72644000001</v>
      </c>
      <c r="I49" s="2"/>
      <c r="J49" s="6">
        <f t="shared" si="21"/>
        <v>0.17046606485679666</v>
      </c>
      <c r="K49" s="2"/>
      <c r="L49" s="7">
        <f t="shared" si="22"/>
        <v>-66371.226440000013</v>
      </c>
      <c r="M49" s="2"/>
      <c r="N49" s="6">
        <f t="shared" si="23"/>
        <v>-0.52074763362250431</v>
      </c>
      <c r="O49" s="11"/>
      <c r="P49" s="7">
        <v>61082.5</v>
      </c>
      <c r="Q49" s="2"/>
      <c r="R49" s="6">
        <f t="shared" si="24"/>
        <v>8.8666754952379218E-2</v>
      </c>
      <c r="S49" s="2"/>
      <c r="T49" s="7">
        <v>127453.72644000001</v>
      </c>
      <c r="U49" s="2"/>
      <c r="V49" s="6">
        <f t="shared" si="25"/>
        <v>0.17046606485679666</v>
      </c>
      <c r="W49" s="2"/>
      <c r="X49" s="7">
        <f t="shared" si="26"/>
        <v>-66371.226440000013</v>
      </c>
      <c r="Y49" s="2"/>
      <c r="Z49" s="6">
        <f t="shared" si="27"/>
        <v>-0.52074763362250431</v>
      </c>
    </row>
    <row r="50" spans="1:26" s="24" customFormat="1" hidden="1" outlineLevel="2" x14ac:dyDescent="0.25">
      <c r="A50" s="29"/>
      <c r="B50" s="11" t="str">
        <f>CONCATENATE("          ", "6005", " - ", "TEMPORARY WAGES-HOURLY")</f>
        <v xml:space="preserve">          6005 - TEMPORARY WAGES-HOURLY</v>
      </c>
      <c r="C50" s="11"/>
      <c r="D50" s="7">
        <v>61498.25</v>
      </c>
      <c r="E50" s="2"/>
      <c r="F50" s="6">
        <f t="shared" si="20"/>
        <v>8.9270253554621287E-2</v>
      </c>
      <c r="G50" s="2"/>
      <c r="H50" s="7">
        <v>35008.022400000002</v>
      </c>
      <c r="I50" s="2"/>
      <c r="J50" s="6">
        <f t="shared" si="21"/>
        <v>4.6822325118567085E-2</v>
      </c>
      <c r="K50" s="2"/>
      <c r="L50" s="7">
        <f t="shared" si="22"/>
        <v>26490.227599999998</v>
      </c>
      <c r="M50" s="2"/>
      <c r="N50" s="6">
        <f t="shared" si="23"/>
        <v>0.75669020367171602</v>
      </c>
      <c r="O50" s="11"/>
      <c r="P50" s="7">
        <v>61498.25</v>
      </c>
      <c r="Q50" s="2"/>
      <c r="R50" s="6">
        <f t="shared" si="24"/>
        <v>8.9270253554621287E-2</v>
      </c>
      <c r="S50" s="2"/>
      <c r="T50" s="7">
        <v>35008.022400000002</v>
      </c>
      <c r="U50" s="2"/>
      <c r="V50" s="6">
        <f t="shared" si="25"/>
        <v>4.6822325118567085E-2</v>
      </c>
      <c r="W50" s="2"/>
      <c r="X50" s="7">
        <f t="shared" si="26"/>
        <v>26490.227599999998</v>
      </c>
      <c r="Y50" s="2"/>
      <c r="Z50" s="6">
        <f t="shared" si="27"/>
        <v>0.75669020367171602</v>
      </c>
    </row>
    <row r="51" spans="1:26" s="24" customFormat="1" hidden="1" outlineLevel="2" x14ac:dyDescent="0.25">
      <c r="A51" s="29"/>
      <c r="B51" s="11" t="str">
        <f>CONCATENATE("          ", "6006", " - ", "TEMPORARY PART TIME")</f>
        <v xml:space="preserve">          6006 - TEMPORARY PART TIME</v>
      </c>
      <c r="C51" s="11"/>
      <c r="D51" s="7">
        <v>8575.2099999999991</v>
      </c>
      <c r="E51" s="2"/>
      <c r="F51" s="6">
        <f t="shared" si="20"/>
        <v>1.2447690316132963E-2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8575.2099999999991</v>
      </c>
      <c r="M51" s="2"/>
      <c r="N51" s="6">
        <f t="shared" si="23"/>
        <v>0</v>
      </c>
      <c r="O51" s="11"/>
      <c r="P51" s="7">
        <v>8575.2099999999991</v>
      </c>
      <c r="Q51" s="2"/>
      <c r="R51" s="6">
        <f t="shared" si="24"/>
        <v>1.2447690316132963E-2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8575.2099999999991</v>
      </c>
      <c r="Y51" s="2"/>
      <c r="Z51" s="6">
        <f t="shared" si="27"/>
        <v>0</v>
      </c>
    </row>
    <row r="52" spans="1:26" s="24" customFormat="1" hidden="1" outlineLevel="2" x14ac:dyDescent="0.25">
      <c r="A52" s="29"/>
      <c r="B52" s="11" t="str">
        <f>CONCATENATE("          ", "6007", " - ", "STUDENT HOURLY")</f>
        <v xml:space="preserve">          6007 - STUDENT HOURLY</v>
      </c>
      <c r="C52" s="11"/>
      <c r="D52" s="7">
        <v>93042.05</v>
      </c>
      <c r="E52" s="2"/>
      <c r="F52" s="6">
        <f t="shared" si="20"/>
        <v>0.13505892272937445</v>
      </c>
      <c r="G52" s="2"/>
      <c r="H52" s="7">
        <v>75903.45</v>
      </c>
      <c r="I52" s="2"/>
      <c r="J52" s="6">
        <f t="shared" si="21"/>
        <v>0.10151890252220876</v>
      </c>
      <c r="K52" s="2"/>
      <c r="L52" s="7">
        <f t="shared" si="22"/>
        <v>17138.600000000006</v>
      </c>
      <c r="M52" s="2"/>
      <c r="N52" s="6">
        <f t="shared" si="23"/>
        <v>0.22579474319019763</v>
      </c>
      <c r="O52" s="11"/>
      <c r="P52" s="7">
        <v>93042.05</v>
      </c>
      <c r="Q52" s="2"/>
      <c r="R52" s="6">
        <f t="shared" si="24"/>
        <v>0.13505892272937445</v>
      </c>
      <c r="S52" s="2"/>
      <c r="T52" s="7">
        <v>75903.45</v>
      </c>
      <c r="U52" s="2"/>
      <c r="V52" s="6">
        <f t="shared" si="25"/>
        <v>0.10151890252220876</v>
      </c>
      <c r="W52" s="2"/>
      <c r="X52" s="7">
        <f t="shared" si="26"/>
        <v>17138.600000000006</v>
      </c>
      <c r="Y52" s="2"/>
      <c r="Z52" s="6">
        <f t="shared" si="27"/>
        <v>0.22579474319019763</v>
      </c>
    </row>
    <row r="53" spans="1:26" s="24" customFormat="1" hidden="1" outlineLevel="2" x14ac:dyDescent="0.25">
      <c r="A53" s="29"/>
      <c r="B53" s="11" t="str">
        <f>CONCATENATE("          ", "6008", " - ", "STUDENT HOURLY-FICA EXEMPT")</f>
        <v xml:space="preserve">          6008 - STUDENT HOURLY-FICA EXEMPT</v>
      </c>
      <c r="C53" s="11"/>
      <c r="D53" s="7">
        <v>10003.42</v>
      </c>
      <c r="E53" s="2"/>
      <c r="F53" s="6">
        <f t="shared" si="20"/>
        <v>1.4520865875262625E-2</v>
      </c>
      <c r="G53" s="2"/>
      <c r="H53" s="7">
        <v>9617.6625000000004</v>
      </c>
      <c r="I53" s="2"/>
      <c r="J53" s="6">
        <f t="shared" si="21"/>
        <v>1.2863375009027952E-2</v>
      </c>
      <c r="K53" s="2"/>
      <c r="L53" s="7">
        <f t="shared" si="22"/>
        <v>385.75749999999971</v>
      </c>
      <c r="M53" s="2"/>
      <c r="N53" s="6">
        <f t="shared" si="23"/>
        <v>4.0109278112015229E-2</v>
      </c>
      <c r="O53" s="11"/>
      <c r="P53" s="7">
        <v>10003.42</v>
      </c>
      <c r="Q53" s="2"/>
      <c r="R53" s="6">
        <f t="shared" si="24"/>
        <v>1.4520865875262625E-2</v>
      </c>
      <c r="S53" s="2"/>
      <c r="T53" s="7">
        <v>9617.6625000000004</v>
      </c>
      <c r="U53" s="2"/>
      <c r="V53" s="6">
        <f t="shared" si="25"/>
        <v>1.2863375009027952E-2</v>
      </c>
      <c r="W53" s="2"/>
      <c r="X53" s="7">
        <f t="shared" si="26"/>
        <v>385.75749999999971</v>
      </c>
      <c r="Y53" s="2"/>
      <c r="Z53" s="6">
        <f t="shared" si="27"/>
        <v>4.0109278112015229E-2</v>
      </c>
    </row>
    <row r="54" spans="1:26" s="24" customFormat="1" hidden="1" outlineLevel="2" x14ac:dyDescent="0.25">
      <c r="A54" s="29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9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7" customFormat="1" outlineLevel="1" collapsed="1" x14ac:dyDescent="0.25">
      <c r="A56" s="28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3916.9</v>
      </c>
      <c r="E56" s="1"/>
      <c r="F56" s="5">
        <f t="shared" ref="F56:F60" si="28">IF(D$12=0,0,D56/D$12)</f>
        <v>5.6857334338472421E-3</v>
      </c>
      <c r="G56" s="1"/>
      <c r="H56" s="1">
        <f>SUM(OSRRefH22_2x_0)</f>
        <v>5375</v>
      </c>
      <c r="I56" s="1"/>
      <c r="J56" s="5">
        <f t="shared" ref="J56:J60" si="29">IF(H$12=0,0,H56/H$12)</f>
        <v>7.1889235740519317E-3</v>
      </c>
      <c r="K56" s="1"/>
      <c r="L56" s="1">
        <f t="shared" ref="L56:L60" si="30">+D56-H56</f>
        <v>-1458.1</v>
      </c>
      <c r="M56" s="1"/>
      <c r="N56" s="5">
        <f t="shared" ref="N56:N60" si="31">IF(H56=0,0,L56/H56)</f>
        <v>-0.27127441860465112</v>
      </c>
      <c r="O56" s="14"/>
      <c r="P56" s="1">
        <f>SUM(OSRRefP22_2x_0)</f>
        <v>3916.9</v>
      </c>
      <c r="Q56" s="1"/>
      <c r="R56" s="5">
        <f t="shared" ref="R56:R60" si="32">IF(P$12=0,0,P56/P$12)</f>
        <v>5.6857334338472421E-3</v>
      </c>
      <c r="S56" s="1"/>
      <c r="T56" s="1">
        <f>SUM(OSRRefT22_2x_0)</f>
        <v>5375</v>
      </c>
      <c r="U56" s="1"/>
      <c r="V56" s="5">
        <f t="shared" ref="V56:V60" si="33">IF(T$12=0,0,T56/T$12)</f>
        <v>7.1889235740519317E-3</v>
      </c>
      <c r="W56" s="1"/>
      <c r="X56" s="1">
        <f t="shared" ref="X56:X60" si="34">+P56-T56</f>
        <v>-1458.1</v>
      </c>
      <c r="Y56" s="1"/>
      <c r="Z56" s="5">
        <f t="shared" ref="Z56:Z60" si="35">IF(T56=0,0,X56/T56)</f>
        <v>-0.27127441860465112</v>
      </c>
    </row>
    <row r="57" spans="1:26" s="24" customFormat="1" hidden="1" outlineLevel="2" x14ac:dyDescent="0.25">
      <c r="A57" s="29"/>
      <c r="B57" s="11" t="str">
        <f>CONCATENATE("          ", "6362", " - ", "ADVERTISING EXPENSE")</f>
        <v xml:space="preserve">          6362 - ADVERTISING EXPENSE</v>
      </c>
      <c r="C57" s="11"/>
      <c r="D57" s="7">
        <v>3916.9</v>
      </c>
      <c r="E57" s="2"/>
      <c r="F57" s="6">
        <f t="shared" si="28"/>
        <v>5.6857334338472421E-3</v>
      </c>
      <c r="G57" s="2"/>
      <c r="H57" s="7">
        <v>5375</v>
      </c>
      <c r="I57" s="2"/>
      <c r="J57" s="6">
        <f t="shared" si="29"/>
        <v>7.1889235740519317E-3</v>
      </c>
      <c r="K57" s="2"/>
      <c r="L57" s="7">
        <f t="shared" si="30"/>
        <v>-1458.1</v>
      </c>
      <c r="M57" s="2"/>
      <c r="N57" s="6">
        <f t="shared" si="31"/>
        <v>-0.27127441860465112</v>
      </c>
      <c r="O57" s="11"/>
      <c r="P57" s="7">
        <v>3916.9</v>
      </c>
      <c r="Q57" s="2"/>
      <c r="R57" s="6">
        <f t="shared" si="32"/>
        <v>5.6857334338472421E-3</v>
      </c>
      <c r="S57" s="2"/>
      <c r="T57" s="7">
        <v>5375</v>
      </c>
      <c r="U57" s="2"/>
      <c r="V57" s="6">
        <f t="shared" si="33"/>
        <v>7.1889235740519317E-3</v>
      </c>
      <c r="W57" s="2"/>
      <c r="X57" s="7">
        <f t="shared" si="34"/>
        <v>-1458.1</v>
      </c>
      <c r="Y57" s="2"/>
      <c r="Z57" s="6">
        <f t="shared" si="35"/>
        <v>-0.27127441860465112</v>
      </c>
    </row>
    <row r="58" spans="1:26" s="27" customFormat="1" outlineLevel="1" collapsed="1" x14ac:dyDescent="0.25">
      <c r="A58" s="28"/>
      <c r="B58" s="14" t="str">
        <f>CONCATENATE("     ","Bad Debts/Over/Short                              ")</f>
        <v xml:space="preserve">     Bad Debts/Over/Short                              </v>
      </c>
      <c r="C58" s="14"/>
      <c r="D58" s="1">
        <f>SUM(OSRRefD22_3x_0)</f>
        <v>-20.68</v>
      </c>
      <c r="E58" s="1"/>
      <c r="F58" s="5">
        <f t="shared" si="28"/>
        <v>-3.0018884171656402E-5</v>
      </c>
      <c r="G58" s="1"/>
      <c r="H58" s="1">
        <f>SUM(OSRRefH22_3x_0)</f>
        <v>152</v>
      </c>
      <c r="I58" s="1"/>
      <c r="J58" s="5">
        <f t="shared" si="29"/>
        <v>2.0329607130342207E-4</v>
      </c>
      <c r="K58" s="1"/>
      <c r="L58" s="1">
        <f t="shared" si="30"/>
        <v>-172.68</v>
      </c>
      <c r="M58" s="1"/>
      <c r="N58" s="5">
        <f t="shared" si="31"/>
        <v>-1.1360526315789474</v>
      </c>
      <c r="O58" s="14"/>
      <c r="P58" s="1">
        <f>SUM(OSRRefP22_3x_0)</f>
        <v>-20.68</v>
      </c>
      <c r="Q58" s="1"/>
      <c r="R58" s="5">
        <f t="shared" si="32"/>
        <v>-3.0018884171656402E-5</v>
      </c>
      <c r="S58" s="1"/>
      <c r="T58" s="1">
        <f>SUM(OSRRefT22_3x_0)</f>
        <v>152</v>
      </c>
      <c r="U58" s="1"/>
      <c r="V58" s="5">
        <f t="shared" si="33"/>
        <v>2.0329607130342207E-4</v>
      </c>
      <c r="W58" s="1"/>
      <c r="X58" s="1">
        <f t="shared" si="34"/>
        <v>-172.68</v>
      </c>
      <c r="Y58" s="1"/>
      <c r="Z58" s="5">
        <f t="shared" si="35"/>
        <v>-1.1360526315789474</v>
      </c>
    </row>
    <row r="59" spans="1:26" s="24" customFormat="1" hidden="1" outlineLevel="2" x14ac:dyDescent="0.25">
      <c r="A59" s="29"/>
      <c r="B59" s="11" t="str">
        <f>CONCATENATE("          ", "6272", " - ", "CASH (OVER/SHORT)")</f>
        <v xml:space="preserve">          6272 - CASH (OVER/SHORT)</v>
      </c>
      <c r="C59" s="11"/>
      <c r="D59" s="7">
        <v>-20.68</v>
      </c>
      <c r="E59" s="2"/>
      <c r="F59" s="6">
        <f t="shared" si="28"/>
        <v>-3.0018884171656402E-5</v>
      </c>
      <c r="G59" s="2"/>
      <c r="H59" s="7">
        <v>152</v>
      </c>
      <c r="I59" s="2"/>
      <c r="J59" s="6">
        <f t="shared" si="29"/>
        <v>2.0329607130342207E-4</v>
      </c>
      <c r="K59" s="2"/>
      <c r="L59" s="7">
        <f t="shared" si="30"/>
        <v>-172.68</v>
      </c>
      <c r="M59" s="2"/>
      <c r="N59" s="6">
        <f t="shared" si="31"/>
        <v>-1.1360526315789474</v>
      </c>
      <c r="O59" s="11"/>
      <c r="P59" s="7">
        <v>-20.68</v>
      </c>
      <c r="Q59" s="2"/>
      <c r="R59" s="6">
        <f t="shared" si="32"/>
        <v>-3.0018884171656402E-5</v>
      </c>
      <c r="S59" s="2"/>
      <c r="T59" s="7">
        <v>152</v>
      </c>
      <c r="U59" s="2"/>
      <c r="V59" s="6">
        <f t="shared" si="33"/>
        <v>2.0329607130342207E-4</v>
      </c>
      <c r="W59" s="2"/>
      <c r="X59" s="7">
        <f t="shared" si="34"/>
        <v>-172.68</v>
      </c>
      <c r="Y59" s="2"/>
      <c r="Z59" s="6">
        <f t="shared" si="35"/>
        <v>-1.1360526315789474</v>
      </c>
    </row>
    <row r="60" spans="1:26" s="24" customFormat="1" hidden="1" outlineLevel="2" x14ac:dyDescent="0.25">
      <c r="A60" s="29"/>
      <c r="B60" s="11" t="str">
        <f>CONCATENATE("          ", "6342", " - ", "BAD DEBT")</f>
        <v xml:space="preserve">          6342 - BAD DEBT</v>
      </c>
      <c r="C60" s="11"/>
      <c r="D60" s="7"/>
      <c r="E60" s="2"/>
      <c r="F60" s="6">
        <f t="shared" si="28"/>
        <v>0</v>
      </c>
      <c r="G60" s="2"/>
      <c r="H60" s="7">
        <v>0</v>
      </c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/>
      <c r="Q60" s="2"/>
      <c r="R60" s="6">
        <f t="shared" si="32"/>
        <v>0</v>
      </c>
      <c r="S60" s="2"/>
      <c r="T60" s="7">
        <v>0</v>
      </c>
      <c r="U60" s="2"/>
      <c r="V60" s="6">
        <f t="shared" si="33"/>
        <v>0</v>
      </c>
      <c r="W60" s="2"/>
      <c r="X60" s="7">
        <f t="shared" si="34"/>
        <v>0</v>
      </c>
      <c r="Y60" s="2"/>
      <c r="Z60" s="6">
        <f t="shared" si="35"/>
        <v>0</v>
      </c>
    </row>
    <row r="61" spans="1:26" s="27" customFormat="1" outlineLevel="1" collapsed="1" x14ac:dyDescent="0.25">
      <c r="A61" s="28"/>
      <c r="B61" s="14" t="str">
        <f>CONCATENATE("     ","Bank/card Fees                                    ")</f>
        <v xml:space="preserve">     Bank/card Fees                                    </v>
      </c>
      <c r="C61" s="14"/>
      <c r="D61" s="1">
        <f>SUM(OSRRefD22_4x_0)</f>
        <v>4542.6400000000003</v>
      </c>
      <c r="E61" s="1"/>
      <c r="F61" s="5">
        <f t="shared" ref="F61:F67" si="36">IF(D$12=0,0,D61/D$12)</f>
        <v>6.5940514503642772E-3</v>
      </c>
      <c r="G61" s="1"/>
      <c r="H61" s="1">
        <f>SUM(OSRRefH22_4x_0)</f>
        <v>5010</v>
      </c>
      <c r="I61" s="1"/>
      <c r="J61" s="5">
        <f t="shared" ref="J61:J67" si="37">IF(H$12=0,0,H61/H$12)</f>
        <v>6.7007455080930565E-3</v>
      </c>
      <c r="K61" s="1"/>
      <c r="L61" s="1">
        <f t="shared" ref="L61:L67" si="38">+D61-H61</f>
        <v>-467.35999999999967</v>
      </c>
      <c r="M61" s="1"/>
      <c r="N61" s="5">
        <f t="shared" ref="N61:N67" si="39">IF(H61=0,0,L61/H61)</f>
        <v>-9.3285429141716503E-2</v>
      </c>
      <c r="O61" s="14"/>
      <c r="P61" s="1">
        <f>SUM(OSRRefP22_4x_0)</f>
        <v>4542.6400000000003</v>
      </c>
      <c r="Q61" s="1"/>
      <c r="R61" s="5">
        <f t="shared" ref="R61:R67" si="40">IF(P$12=0,0,P61/P$12)</f>
        <v>6.5940514503642772E-3</v>
      </c>
      <c r="S61" s="1"/>
      <c r="T61" s="1">
        <f>SUM(OSRRefT22_4x_0)</f>
        <v>5010</v>
      </c>
      <c r="U61" s="1"/>
      <c r="V61" s="5">
        <f t="shared" ref="V61:V67" si="41">IF(T$12=0,0,T61/T$12)</f>
        <v>6.7007455080930565E-3</v>
      </c>
      <c r="W61" s="1"/>
      <c r="X61" s="1">
        <f t="shared" ref="X61:X67" si="42">+P61-T61</f>
        <v>-467.35999999999967</v>
      </c>
      <c r="Y61" s="1"/>
      <c r="Z61" s="5">
        <f t="shared" ref="Z61:Z67" si="43">IF(T61=0,0,X61/T61)</f>
        <v>-9.3285429141716503E-2</v>
      </c>
    </row>
    <row r="62" spans="1:26" s="24" customFormat="1" hidden="1" outlineLevel="2" x14ac:dyDescent="0.25">
      <c r="A62" s="29"/>
      <c r="B62" s="11" t="str">
        <f>CONCATENATE("          ", "6381", " - ", "BANK/CREDIT CARD FEES")</f>
        <v xml:space="preserve">          6381 - BANK/CREDIT CARD FEES</v>
      </c>
      <c r="C62" s="11"/>
      <c r="D62" s="7">
        <v>4542.6400000000003</v>
      </c>
      <c r="E62" s="2"/>
      <c r="F62" s="6">
        <f t="shared" si="36"/>
        <v>6.5940514503642772E-3</v>
      </c>
      <c r="G62" s="2"/>
      <c r="H62" s="7">
        <v>5010</v>
      </c>
      <c r="I62" s="2"/>
      <c r="J62" s="6">
        <f t="shared" si="37"/>
        <v>6.7007455080930565E-3</v>
      </c>
      <c r="K62" s="2"/>
      <c r="L62" s="7">
        <f t="shared" si="38"/>
        <v>-467.35999999999967</v>
      </c>
      <c r="M62" s="2"/>
      <c r="N62" s="6">
        <f t="shared" si="39"/>
        <v>-9.3285429141716503E-2</v>
      </c>
      <c r="O62" s="11"/>
      <c r="P62" s="7">
        <v>4542.6400000000003</v>
      </c>
      <c r="Q62" s="2"/>
      <c r="R62" s="6">
        <f t="shared" si="40"/>
        <v>6.5940514503642772E-3</v>
      </c>
      <c r="S62" s="2"/>
      <c r="T62" s="7">
        <v>5010</v>
      </c>
      <c r="U62" s="2"/>
      <c r="V62" s="6">
        <f t="shared" si="41"/>
        <v>6.7007455080930565E-3</v>
      </c>
      <c r="W62" s="2"/>
      <c r="X62" s="7">
        <f t="shared" si="42"/>
        <v>-467.35999999999967</v>
      </c>
      <c r="Y62" s="2"/>
      <c r="Z62" s="6">
        <f t="shared" si="43"/>
        <v>-9.3285429141716503E-2</v>
      </c>
    </row>
    <row r="63" spans="1:26" s="27" customFormat="1" outlineLevel="1" collapsed="1" x14ac:dyDescent="0.25">
      <c r="A63" s="28"/>
      <c r="B63" s="14" t="str">
        <f>CONCATENATE("     ","Depreciation                                      ")</f>
        <v xml:space="preserve">     Depreciation                                      </v>
      </c>
      <c r="C63" s="14"/>
      <c r="D63" s="1">
        <f>SUM(OSRRefD22_5x_0)</f>
        <v>39571.050000000003</v>
      </c>
      <c r="E63" s="1"/>
      <c r="F63" s="5">
        <f t="shared" si="36"/>
        <v>5.7440946155745846E-2</v>
      </c>
      <c r="G63" s="1"/>
      <c r="H63" s="1">
        <f>SUM(OSRRefH22_5x_0)</f>
        <v>39187</v>
      </c>
      <c r="I63" s="1"/>
      <c r="J63" s="5">
        <f t="shared" si="37"/>
        <v>5.2411599645836845E-2</v>
      </c>
      <c r="K63" s="1"/>
      <c r="L63" s="1">
        <f t="shared" si="38"/>
        <v>384.05000000000291</v>
      </c>
      <c r="M63" s="1"/>
      <c r="N63" s="5">
        <f t="shared" si="39"/>
        <v>9.8004440248042179E-3</v>
      </c>
      <c r="O63" s="14"/>
      <c r="P63" s="1">
        <f>SUM(OSRRefP22_5x_0)</f>
        <v>39571.050000000003</v>
      </c>
      <c r="Q63" s="1"/>
      <c r="R63" s="5">
        <f t="shared" si="40"/>
        <v>5.7440946155745846E-2</v>
      </c>
      <c r="S63" s="1"/>
      <c r="T63" s="1">
        <f>SUM(OSRRefT22_5x_0)</f>
        <v>39187</v>
      </c>
      <c r="U63" s="1"/>
      <c r="V63" s="5">
        <f t="shared" si="41"/>
        <v>5.2411599645836845E-2</v>
      </c>
      <c r="W63" s="1"/>
      <c r="X63" s="1">
        <f t="shared" si="42"/>
        <v>384.05000000000291</v>
      </c>
      <c r="Y63" s="1"/>
      <c r="Z63" s="5">
        <f t="shared" si="43"/>
        <v>9.8004440248042179E-3</v>
      </c>
    </row>
    <row r="64" spans="1:26" s="24" customFormat="1" hidden="1" outlineLevel="2" x14ac:dyDescent="0.25">
      <c r="A64" s="29"/>
      <c r="B64" s="11" t="str">
        <f>CONCATENATE("          ", "6321", " - ", "BUILDING DEPRECIATION")</f>
        <v xml:space="preserve">          6321 - BUILDING DEPRECIATION</v>
      </c>
      <c r="C64" s="11"/>
      <c r="D64" s="7">
        <v>24042.959999999999</v>
      </c>
      <c r="E64" s="2"/>
      <c r="F64" s="6">
        <f t="shared" si="36"/>
        <v>3.4900523761304057E-2</v>
      </c>
      <c r="G64" s="2"/>
      <c r="H64" s="7">
        <v>23119</v>
      </c>
      <c r="I64" s="2"/>
      <c r="J64" s="6">
        <f t="shared" si="37"/>
        <v>3.0921064950419835E-2</v>
      </c>
      <c r="K64" s="2"/>
      <c r="L64" s="7">
        <f t="shared" si="38"/>
        <v>923.95999999999913</v>
      </c>
      <c r="M64" s="2"/>
      <c r="N64" s="6">
        <f t="shared" si="39"/>
        <v>3.9965396427181069E-2</v>
      </c>
      <c r="O64" s="11"/>
      <c r="P64" s="7">
        <v>24042.959999999999</v>
      </c>
      <c r="Q64" s="2"/>
      <c r="R64" s="6">
        <f t="shared" si="40"/>
        <v>3.4900523761304057E-2</v>
      </c>
      <c r="S64" s="2"/>
      <c r="T64" s="7">
        <v>23119</v>
      </c>
      <c r="U64" s="2"/>
      <c r="V64" s="6">
        <f t="shared" si="41"/>
        <v>3.0921064950419835E-2</v>
      </c>
      <c r="W64" s="2"/>
      <c r="X64" s="7">
        <f t="shared" si="42"/>
        <v>923.95999999999913</v>
      </c>
      <c r="Y64" s="2"/>
      <c r="Z64" s="6">
        <f t="shared" si="43"/>
        <v>3.9965396427181069E-2</v>
      </c>
    </row>
    <row r="65" spans="1:26" s="24" customFormat="1" hidden="1" outlineLevel="2" x14ac:dyDescent="0.25">
      <c r="A65" s="29"/>
      <c r="B65" s="11" t="str">
        <f>CONCATENATE("          ", "6322", " - ", "EQUIPMENT DEPRECIATION EXPENSE")</f>
        <v xml:space="preserve">          6322 - EQUIPMENT DEPRECIATION EXPENSE</v>
      </c>
      <c r="C65" s="11"/>
      <c r="D65" s="7">
        <v>15103.84</v>
      </c>
      <c r="E65" s="2"/>
      <c r="F65" s="6">
        <f t="shared" si="36"/>
        <v>2.1924585275978278E-2</v>
      </c>
      <c r="G65" s="2"/>
      <c r="H65" s="7">
        <v>15301</v>
      </c>
      <c r="I65" s="2"/>
      <c r="J65" s="6">
        <f t="shared" si="37"/>
        <v>2.0464692019826716E-2</v>
      </c>
      <c r="K65" s="2"/>
      <c r="L65" s="7">
        <f t="shared" si="38"/>
        <v>-197.15999999999985</v>
      </c>
      <c r="M65" s="2"/>
      <c r="N65" s="6">
        <f t="shared" si="39"/>
        <v>-1.2885432324684651E-2</v>
      </c>
      <c r="O65" s="11"/>
      <c r="P65" s="7">
        <v>15103.84</v>
      </c>
      <c r="Q65" s="2"/>
      <c r="R65" s="6">
        <f t="shared" si="40"/>
        <v>2.1924585275978278E-2</v>
      </c>
      <c r="S65" s="2"/>
      <c r="T65" s="7">
        <v>15301</v>
      </c>
      <c r="U65" s="2"/>
      <c r="V65" s="6">
        <f t="shared" si="41"/>
        <v>2.0464692019826716E-2</v>
      </c>
      <c r="W65" s="2"/>
      <c r="X65" s="7">
        <f t="shared" si="42"/>
        <v>-197.15999999999985</v>
      </c>
      <c r="Y65" s="2"/>
      <c r="Z65" s="6">
        <f t="shared" si="43"/>
        <v>-1.2885432324684651E-2</v>
      </c>
    </row>
    <row r="66" spans="1:26" s="24" customFormat="1" hidden="1" outlineLevel="2" x14ac:dyDescent="0.25">
      <c r="A66" s="29"/>
      <c r="B66" s="11" t="str">
        <f>CONCATENATE("          ", "6324", " - ", "FURNITURE + FIXT DEPRECIATION")</f>
        <v xml:space="preserve">          6324 - FURNITURE + FIXT DEPRECIATION</v>
      </c>
      <c r="C66" s="11"/>
      <c r="D66" s="7"/>
      <c r="E66" s="2"/>
      <c r="F66" s="6">
        <f t="shared" si="36"/>
        <v>0</v>
      </c>
      <c r="G66" s="2"/>
      <c r="H66" s="7">
        <v>343</v>
      </c>
      <c r="I66" s="2"/>
      <c r="J66" s="6">
        <f t="shared" si="37"/>
        <v>4.5875363458601162E-4</v>
      </c>
      <c r="K66" s="2"/>
      <c r="L66" s="7">
        <f t="shared" si="38"/>
        <v>-343</v>
      </c>
      <c r="M66" s="2"/>
      <c r="N66" s="6">
        <f t="shared" si="39"/>
        <v>-1</v>
      </c>
      <c r="O66" s="11"/>
      <c r="P66" s="7"/>
      <c r="Q66" s="2"/>
      <c r="R66" s="6">
        <f t="shared" si="40"/>
        <v>0</v>
      </c>
      <c r="S66" s="2"/>
      <c r="T66" s="7">
        <v>343</v>
      </c>
      <c r="U66" s="2"/>
      <c r="V66" s="6">
        <f t="shared" si="41"/>
        <v>4.5875363458601162E-4</v>
      </c>
      <c r="W66" s="2"/>
      <c r="X66" s="7">
        <f t="shared" si="42"/>
        <v>-343</v>
      </c>
      <c r="Y66" s="2"/>
      <c r="Z66" s="6">
        <f t="shared" si="43"/>
        <v>-1</v>
      </c>
    </row>
    <row r="67" spans="1:26" s="24" customFormat="1" hidden="1" outlineLevel="2" x14ac:dyDescent="0.25">
      <c r="A67" s="29"/>
      <c r="B67" s="11" t="str">
        <f>CONCATENATE("          ", "6326", " - ", "VEHICLES DEPRECIATION EXPENSE")</f>
        <v xml:space="preserve">          6326 - VEHICLES DEPRECIATION EXPENSE</v>
      </c>
      <c r="C67" s="11"/>
      <c r="D67" s="7">
        <v>424.25</v>
      </c>
      <c r="E67" s="2"/>
      <c r="F67" s="6">
        <f t="shared" si="36"/>
        <v>6.1583711846350229E-4</v>
      </c>
      <c r="G67" s="2"/>
      <c r="H67" s="7">
        <v>424</v>
      </c>
      <c r="I67" s="2"/>
      <c r="J67" s="6">
        <f t="shared" si="37"/>
        <v>5.6708904100428255E-4</v>
      </c>
      <c r="K67" s="2"/>
      <c r="L67" s="7">
        <f t="shared" si="38"/>
        <v>0.25</v>
      </c>
      <c r="M67" s="2"/>
      <c r="N67" s="6">
        <f t="shared" si="39"/>
        <v>5.8962264150943394E-4</v>
      </c>
      <c r="O67" s="11"/>
      <c r="P67" s="7">
        <v>424.25</v>
      </c>
      <c r="Q67" s="2"/>
      <c r="R67" s="6">
        <f t="shared" si="40"/>
        <v>6.1583711846350229E-4</v>
      </c>
      <c r="S67" s="2"/>
      <c r="T67" s="7">
        <v>424</v>
      </c>
      <c r="U67" s="2"/>
      <c r="V67" s="6">
        <f t="shared" si="41"/>
        <v>5.6708904100428255E-4</v>
      </c>
      <c r="W67" s="2"/>
      <c r="X67" s="7">
        <f t="shared" si="42"/>
        <v>0.25</v>
      </c>
      <c r="Y67" s="2"/>
      <c r="Z67" s="6">
        <f t="shared" si="43"/>
        <v>5.8962264150943394E-4</v>
      </c>
    </row>
    <row r="68" spans="1:26" s="27" customFormat="1" outlineLevel="1" collapsed="1" x14ac:dyDescent="0.25">
      <c r="A68" s="28"/>
      <c r="B68" s="14" t="str">
        <f>CONCATENATE("     ","Donations                                         ")</f>
        <v xml:space="preserve">     Donations                                         </v>
      </c>
      <c r="C68" s="14"/>
      <c r="D68" s="1">
        <f>SUM(OSRRefD22_6x_0)</f>
        <v>0</v>
      </c>
      <c r="E68" s="1"/>
      <c r="F68" s="5">
        <f t="shared" ref="F68:F78" si="44">IF(D$12=0,0,D68/D$12)</f>
        <v>0</v>
      </c>
      <c r="G68" s="1"/>
      <c r="H68" s="1">
        <f>SUM(OSRRefH22_6x_0)</f>
        <v>100</v>
      </c>
      <c r="I68" s="1"/>
      <c r="J68" s="5">
        <f t="shared" ref="J68:J78" si="45">IF(H$12=0,0,H68/H$12)</f>
        <v>1.3374741533119872E-4</v>
      </c>
      <c r="K68" s="1"/>
      <c r="L68" s="1">
        <f t="shared" ref="L68:L78" si="46">+D68-H68</f>
        <v>-100</v>
      </c>
      <c r="M68" s="1"/>
      <c r="N68" s="5">
        <f t="shared" ref="N68:N78" si="47">IF(H68=0,0,L68/H68)</f>
        <v>-1</v>
      </c>
      <c r="O68" s="14"/>
      <c r="P68" s="1">
        <f>SUM(OSRRefP22_6x_0)</f>
        <v>0</v>
      </c>
      <c r="Q68" s="1"/>
      <c r="R68" s="5">
        <f t="shared" ref="R68:R78" si="48">IF(P$12=0,0,P68/P$12)</f>
        <v>0</v>
      </c>
      <c r="S68" s="1"/>
      <c r="T68" s="1">
        <f>SUM(OSRRefT22_6x_0)</f>
        <v>100</v>
      </c>
      <c r="U68" s="1"/>
      <c r="V68" s="5">
        <f t="shared" ref="V68:V78" si="49">IF(T$12=0,0,T68/T$12)</f>
        <v>1.3374741533119872E-4</v>
      </c>
      <c r="W68" s="1"/>
      <c r="X68" s="1">
        <f t="shared" ref="X68:X78" si="50">+P68-T68</f>
        <v>-100</v>
      </c>
      <c r="Y68" s="1"/>
      <c r="Z68" s="5">
        <f t="shared" ref="Z68:Z78" si="51">IF(T68=0,0,X68/T68)</f>
        <v>-1</v>
      </c>
    </row>
    <row r="69" spans="1:26" s="24" customFormat="1" hidden="1" outlineLevel="2" x14ac:dyDescent="0.25">
      <c r="A69" s="29"/>
      <c r="B69" s="11" t="str">
        <f>CONCATENATE("          ", "6396", " - ", "COUPONS-CHARTROOM")</f>
        <v xml:space="preserve">          6396 - COUPONS-CHARTROOM</v>
      </c>
      <c r="C69" s="11"/>
      <c r="D69" s="7"/>
      <c r="E69" s="2"/>
      <c r="F69" s="6">
        <f t="shared" si="44"/>
        <v>0</v>
      </c>
      <c r="G69" s="2"/>
      <c r="H69" s="7">
        <v>100</v>
      </c>
      <c r="I69" s="2"/>
      <c r="J69" s="6">
        <f t="shared" si="45"/>
        <v>1.3374741533119872E-4</v>
      </c>
      <c r="K69" s="2"/>
      <c r="L69" s="7">
        <f t="shared" si="46"/>
        <v>-100</v>
      </c>
      <c r="M69" s="2"/>
      <c r="N69" s="6">
        <f t="shared" si="47"/>
        <v>-1</v>
      </c>
      <c r="O69" s="11"/>
      <c r="P69" s="7"/>
      <c r="Q69" s="2"/>
      <c r="R69" s="6">
        <f t="shared" si="48"/>
        <v>0</v>
      </c>
      <c r="S69" s="2"/>
      <c r="T69" s="7">
        <v>100</v>
      </c>
      <c r="U69" s="2"/>
      <c r="V69" s="6">
        <f t="shared" si="49"/>
        <v>1.3374741533119872E-4</v>
      </c>
      <c r="W69" s="2"/>
      <c r="X69" s="7">
        <f t="shared" si="50"/>
        <v>-100</v>
      </c>
      <c r="Y69" s="2"/>
      <c r="Z69" s="6">
        <f t="shared" si="51"/>
        <v>-1</v>
      </c>
    </row>
    <row r="70" spans="1:26" s="27" customFormat="1" outlineLevel="1" collapsed="1" x14ac:dyDescent="0.25">
      <c r="A70" s="28"/>
      <c r="B70" s="14" t="str">
        <f>CONCATENATE("     ","Employees' Appreciation                           ")</f>
        <v xml:space="preserve">     Employees' Appreciation                           </v>
      </c>
      <c r="C70" s="14"/>
      <c r="D70" s="1">
        <f>SUM(OSRRefD22_7x_0)</f>
        <v>109.76</v>
      </c>
      <c r="E70" s="1"/>
      <c r="F70" s="5">
        <f t="shared" si="44"/>
        <v>1.5932653417219568E-4</v>
      </c>
      <c r="G70" s="1"/>
      <c r="H70" s="1">
        <f>SUM(OSRRefH22_7x_0)</f>
        <v>960</v>
      </c>
      <c r="I70" s="1"/>
      <c r="J70" s="5">
        <f t="shared" si="45"/>
        <v>1.2839751871795077E-3</v>
      </c>
      <c r="K70" s="1"/>
      <c r="L70" s="1">
        <f t="shared" si="46"/>
        <v>-850.24</v>
      </c>
      <c r="M70" s="1"/>
      <c r="N70" s="5">
        <f t="shared" si="47"/>
        <v>-0.88566666666666671</v>
      </c>
      <c r="O70" s="14"/>
      <c r="P70" s="1">
        <f>SUM(OSRRefP22_7x_0)</f>
        <v>109.76</v>
      </c>
      <c r="Q70" s="1"/>
      <c r="R70" s="5">
        <f t="shared" si="48"/>
        <v>1.5932653417219568E-4</v>
      </c>
      <c r="S70" s="1"/>
      <c r="T70" s="1">
        <f>SUM(OSRRefT22_7x_0)</f>
        <v>960</v>
      </c>
      <c r="U70" s="1"/>
      <c r="V70" s="5">
        <f t="shared" si="49"/>
        <v>1.2839751871795077E-3</v>
      </c>
      <c r="W70" s="1"/>
      <c r="X70" s="1">
        <f t="shared" si="50"/>
        <v>-850.24</v>
      </c>
      <c r="Y70" s="1"/>
      <c r="Z70" s="5">
        <f t="shared" si="51"/>
        <v>-0.88566666666666671</v>
      </c>
    </row>
    <row r="71" spans="1:26" s="24" customFormat="1" hidden="1" outlineLevel="2" x14ac:dyDescent="0.25">
      <c r="A71" s="29"/>
      <c r="B71" s="11" t="str">
        <f>CONCATENATE("          ", "6277", " - ", "EMPLOYEE APPRECIATION")</f>
        <v xml:space="preserve">          6277 - EMPLOYEE APPRECIATION</v>
      </c>
      <c r="C71" s="11"/>
      <c r="D71" s="7">
        <v>109.76</v>
      </c>
      <c r="E71" s="2"/>
      <c r="F71" s="6">
        <f t="shared" si="44"/>
        <v>1.5932653417219568E-4</v>
      </c>
      <c r="G71" s="2"/>
      <c r="H71" s="7">
        <v>960</v>
      </c>
      <c r="I71" s="2"/>
      <c r="J71" s="6">
        <f t="shared" si="45"/>
        <v>1.2839751871795077E-3</v>
      </c>
      <c r="K71" s="2"/>
      <c r="L71" s="7">
        <f t="shared" si="46"/>
        <v>-850.24</v>
      </c>
      <c r="M71" s="2"/>
      <c r="N71" s="6">
        <f t="shared" si="47"/>
        <v>-0.88566666666666671</v>
      </c>
      <c r="O71" s="11"/>
      <c r="P71" s="7">
        <v>109.76</v>
      </c>
      <c r="Q71" s="2"/>
      <c r="R71" s="6">
        <f t="shared" si="48"/>
        <v>1.5932653417219568E-4</v>
      </c>
      <c r="S71" s="2"/>
      <c r="T71" s="7">
        <v>960</v>
      </c>
      <c r="U71" s="2"/>
      <c r="V71" s="6">
        <f t="shared" si="49"/>
        <v>1.2839751871795077E-3</v>
      </c>
      <c r="W71" s="2"/>
      <c r="X71" s="7">
        <f t="shared" si="50"/>
        <v>-850.24</v>
      </c>
      <c r="Y71" s="2"/>
      <c r="Z71" s="6">
        <f t="shared" si="51"/>
        <v>-0.88566666666666671</v>
      </c>
    </row>
    <row r="72" spans="1:26" s="27" customFormat="1" outlineLevel="1" collapsed="1" x14ac:dyDescent="0.25">
      <c r="A72" s="28"/>
      <c r="B72" s="14" t="str">
        <f>CONCATENATE("     ","Equipment Rental                                  ")</f>
        <v xml:space="preserve">     Equipment Rental                                  </v>
      </c>
      <c r="C72" s="14"/>
      <c r="D72" s="1">
        <f>SUM(OSRRefD22_8x_0)</f>
        <v>1789.64</v>
      </c>
      <c r="E72" s="1"/>
      <c r="F72" s="5">
        <f t="shared" si="44"/>
        <v>2.5978237847661106E-3</v>
      </c>
      <c r="G72" s="1"/>
      <c r="H72" s="1">
        <f>SUM(OSRRefH22_8x_0)</f>
        <v>2460</v>
      </c>
      <c r="I72" s="1"/>
      <c r="J72" s="5">
        <f t="shared" si="45"/>
        <v>3.2901864171474885E-3</v>
      </c>
      <c r="K72" s="1"/>
      <c r="L72" s="1">
        <f t="shared" si="46"/>
        <v>-670.3599999999999</v>
      </c>
      <c r="M72" s="1"/>
      <c r="N72" s="5">
        <f t="shared" si="47"/>
        <v>-0.27250406504065039</v>
      </c>
      <c r="O72" s="14"/>
      <c r="P72" s="1">
        <f>SUM(OSRRefP22_8x_0)</f>
        <v>1789.64</v>
      </c>
      <c r="Q72" s="1"/>
      <c r="R72" s="5">
        <f t="shared" si="48"/>
        <v>2.5978237847661106E-3</v>
      </c>
      <c r="S72" s="1"/>
      <c r="T72" s="1">
        <f>SUM(OSRRefT22_8x_0)</f>
        <v>2460</v>
      </c>
      <c r="U72" s="1"/>
      <c r="V72" s="5">
        <f t="shared" si="49"/>
        <v>3.2901864171474885E-3</v>
      </c>
      <c r="W72" s="1"/>
      <c r="X72" s="1">
        <f t="shared" si="50"/>
        <v>-670.3599999999999</v>
      </c>
      <c r="Y72" s="1"/>
      <c r="Z72" s="5">
        <f t="shared" si="51"/>
        <v>-0.27250406504065039</v>
      </c>
    </row>
    <row r="73" spans="1:26" s="24" customFormat="1" hidden="1" outlineLevel="2" x14ac:dyDescent="0.25">
      <c r="A73" s="29"/>
      <c r="B73" s="11" t="str">
        <f>CONCATENATE("          ", "6351", " - ", "EQUIPMENT RENTAL")</f>
        <v xml:space="preserve">          6351 - EQUIPMENT RENTAL</v>
      </c>
      <c r="C73" s="11"/>
      <c r="D73" s="7">
        <v>1789.64</v>
      </c>
      <c r="E73" s="2"/>
      <c r="F73" s="6">
        <f t="shared" si="44"/>
        <v>2.5978237847661106E-3</v>
      </c>
      <c r="G73" s="2"/>
      <c r="H73" s="7">
        <v>2460</v>
      </c>
      <c r="I73" s="2"/>
      <c r="J73" s="6">
        <f t="shared" si="45"/>
        <v>3.2901864171474885E-3</v>
      </c>
      <c r="K73" s="2"/>
      <c r="L73" s="7">
        <f t="shared" si="46"/>
        <v>-670.3599999999999</v>
      </c>
      <c r="M73" s="2"/>
      <c r="N73" s="6">
        <f t="shared" si="47"/>
        <v>-0.27250406504065039</v>
      </c>
      <c r="O73" s="11"/>
      <c r="P73" s="7">
        <v>1789.64</v>
      </c>
      <c r="Q73" s="2"/>
      <c r="R73" s="6">
        <f t="shared" si="48"/>
        <v>2.5978237847661106E-3</v>
      </c>
      <c r="S73" s="2"/>
      <c r="T73" s="7">
        <v>2460</v>
      </c>
      <c r="U73" s="2"/>
      <c r="V73" s="6">
        <f t="shared" si="49"/>
        <v>3.2901864171474885E-3</v>
      </c>
      <c r="W73" s="2"/>
      <c r="X73" s="7">
        <f t="shared" si="50"/>
        <v>-670.3599999999999</v>
      </c>
      <c r="Y73" s="2"/>
      <c r="Z73" s="6">
        <f t="shared" si="51"/>
        <v>-0.27250406504065039</v>
      </c>
    </row>
    <row r="74" spans="1:26" s="27" customFormat="1" outlineLevel="1" collapsed="1" x14ac:dyDescent="0.25">
      <c r="A74" s="28"/>
      <c r="B74" s="14" t="str">
        <f>CONCATENATE("     ","Freight out/Postage                               ")</f>
        <v xml:space="preserve">     Freight out/Postage                               </v>
      </c>
      <c r="C74" s="14"/>
      <c r="D74" s="1">
        <f>SUM(OSRRefD22_9x_0)</f>
        <v>0</v>
      </c>
      <c r="E74" s="1"/>
      <c r="F74" s="5">
        <f t="shared" si="44"/>
        <v>0</v>
      </c>
      <c r="G74" s="1"/>
      <c r="H74" s="1">
        <f>SUM(OSRRefH22_9x_0)</f>
        <v>1</v>
      </c>
      <c r="I74" s="1"/>
      <c r="J74" s="5">
        <f t="shared" si="45"/>
        <v>1.3374741533119873E-6</v>
      </c>
      <c r="K74" s="1"/>
      <c r="L74" s="1">
        <f t="shared" si="46"/>
        <v>-1</v>
      </c>
      <c r="M74" s="1"/>
      <c r="N74" s="5">
        <f t="shared" si="47"/>
        <v>-1</v>
      </c>
      <c r="O74" s="14"/>
      <c r="P74" s="1">
        <f>SUM(OSRRefP22_9x_0)</f>
        <v>0</v>
      </c>
      <c r="Q74" s="1"/>
      <c r="R74" s="5">
        <f t="shared" si="48"/>
        <v>0</v>
      </c>
      <c r="S74" s="1"/>
      <c r="T74" s="1">
        <f>SUM(OSRRefT22_9x_0)</f>
        <v>1</v>
      </c>
      <c r="U74" s="1"/>
      <c r="V74" s="5">
        <f t="shared" si="49"/>
        <v>1.3374741533119873E-6</v>
      </c>
      <c r="W74" s="1"/>
      <c r="X74" s="1">
        <f t="shared" si="50"/>
        <v>-1</v>
      </c>
      <c r="Y74" s="1"/>
      <c r="Z74" s="5">
        <f t="shared" si="51"/>
        <v>-1</v>
      </c>
    </row>
    <row r="75" spans="1:26" s="24" customFormat="1" hidden="1" outlineLevel="2" x14ac:dyDescent="0.25">
      <c r="A75" s="29"/>
      <c r="B75" s="11" t="str">
        <f>CONCATENATE("          ", "6307", " - ", "POSTAGE")</f>
        <v xml:space="preserve">          6307 - POSTAGE</v>
      </c>
      <c r="C75" s="11"/>
      <c r="D75" s="7"/>
      <c r="E75" s="2"/>
      <c r="F75" s="6">
        <f t="shared" si="44"/>
        <v>0</v>
      </c>
      <c r="G75" s="2"/>
      <c r="H75" s="7">
        <v>1</v>
      </c>
      <c r="I75" s="2"/>
      <c r="J75" s="6">
        <f t="shared" si="45"/>
        <v>1.3374741533119873E-6</v>
      </c>
      <c r="K75" s="2"/>
      <c r="L75" s="7">
        <f t="shared" si="46"/>
        <v>-1</v>
      </c>
      <c r="M75" s="2"/>
      <c r="N75" s="6">
        <f t="shared" si="47"/>
        <v>-1</v>
      </c>
      <c r="O75" s="11"/>
      <c r="P75" s="7"/>
      <c r="Q75" s="2"/>
      <c r="R75" s="6">
        <f t="shared" si="48"/>
        <v>0</v>
      </c>
      <c r="S75" s="2"/>
      <c r="T75" s="7">
        <v>1</v>
      </c>
      <c r="U75" s="2"/>
      <c r="V75" s="6">
        <f t="shared" si="49"/>
        <v>1.3374741533119873E-6</v>
      </c>
      <c r="W75" s="2"/>
      <c r="X75" s="7">
        <f t="shared" si="50"/>
        <v>-1</v>
      </c>
      <c r="Y75" s="2"/>
      <c r="Z75" s="6">
        <f t="shared" si="51"/>
        <v>-1</v>
      </c>
    </row>
    <row r="76" spans="1:26" s="27" customFormat="1" outlineLevel="1" collapsed="1" x14ac:dyDescent="0.25">
      <c r="A76" s="28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SUM(OSRRefD22_10x_0)</f>
        <v>23238.91</v>
      </c>
      <c r="E76" s="1"/>
      <c r="F76" s="5">
        <f t="shared" si="44"/>
        <v>3.3733372706264392E-2</v>
      </c>
      <c r="G76" s="1"/>
      <c r="H76" s="1">
        <f>SUM(OSRRefH22_10x_0)</f>
        <v>14425</v>
      </c>
      <c r="I76" s="1"/>
      <c r="J76" s="5">
        <f t="shared" si="45"/>
        <v>1.9293064661525416E-2</v>
      </c>
      <c r="K76" s="1"/>
      <c r="L76" s="1">
        <f t="shared" si="46"/>
        <v>8813.91</v>
      </c>
      <c r="M76" s="1"/>
      <c r="N76" s="5">
        <f t="shared" si="47"/>
        <v>0.6110162911611785</v>
      </c>
      <c r="O76" s="14"/>
      <c r="P76" s="1">
        <f>SUM(OSRRefP22_10x_0)</f>
        <v>23238.91</v>
      </c>
      <c r="Q76" s="1"/>
      <c r="R76" s="5">
        <f t="shared" si="48"/>
        <v>3.3733372706264392E-2</v>
      </c>
      <c r="S76" s="1"/>
      <c r="T76" s="1">
        <f>SUM(OSRRefT22_10x_0)</f>
        <v>14425</v>
      </c>
      <c r="U76" s="1"/>
      <c r="V76" s="5">
        <f t="shared" si="49"/>
        <v>1.9293064661525416E-2</v>
      </c>
      <c r="W76" s="1"/>
      <c r="X76" s="1">
        <f t="shared" si="50"/>
        <v>8813.91</v>
      </c>
      <c r="Y76" s="1"/>
      <c r="Z76" s="5">
        <f t="shared" si="51"/>
        <v>0.6110162911611785</v>
      </c>
    </row>
    <row r="77" spans="1:26" s="24" customFormat="1" hidden="1" outlineLevel="2" x14ac:dyDescent="0.25">
      <c r="A77" s="29"/>
      <c r="B77" s="11" t="str">
        <f>CONCATENATE("          ", "6269", " - ", "ENTERTAINMENT")</f>
        <v xml:space="preserve">          6269 - ENTERTAINMENT</v>
      </c>
      <c r="C77" s="11"/>
      <c r="D77" s="7"/>
      <c r="E77" s="2"/>
      <c r="F77" s="6">
        <f t="shared" si="44"/>
        <v>0</v>
      </c>
      <c r="G77" s="2"/>
      <c r="H77" s="7">
        <v>1150</v>
      </c>
      <c r="I77" s="2"/>
      <c r="J77" s="6">
        <f t="shared" si="45"/>
        <v>1.5380952763087853E-3</v>
      </c>
      <c r="K77" s="2"/>
      <c r="L77" s="7">
        <f t="shared" si="46"/>
        <v>-1150</v>
      </c>
      <c r="M77" s="2"/>
      <c r="N77" s="6">
        <f t="shared" si="47"/>
        <v>-1</v>
      </c>
      <c r="O77" s="11"/>
      <c r="P77" s="7"/>
      <c r="Q77" s="2"/>
      <c r="R77" s="6">
        <f t="shared" si="48"/>
        <v>0</v>
      </c>
      <c r="S77" s="2"/>
      <c r="T77" s="7">
        <v>1150</v>
      </c>
      <c r="U77" s="2"/>
      <c r="V77" s="6">
        <f t="shared" si="49"/>
        <v>1.5380952763087853E-3</v>
      </c>
      <c r="W77" s="2"/>
      <c r="X77" s="7">
        <f t="shared" si="50"/>
        <v>-1150</v>
      </c>
      <c r="Y77" s="2"/>
      <c r="Z77" s="6">
        <f t="shared" si="51"/>
        <v>-1</v>
      </c>
    </row>
    <row r="78" spans="1:26" s="24" customFormat="1" hidden="1" outlineLevel="2" x14ac:dyDescent="0.25">
      <c r="A78" s="29"/>
      <c r="B78" s="11" t="str">
        <f>CONCATENATE("          ", "6279", " - ", "GENERAL EXPENSE")</f>
        <v xml:space="preserve">          6279 - GENERAL EXPENSE</v>
      </c>
      <c r="C78" s="11"/>
      <c r="D78" s="7">
        <v>23238.91</v>
      </c>
      <c r="E78" s="2"/>
      <c r="F78" s="6">
        <f t="shared" si="44"/>
        <v>3.3733372706264392E-2</v>
      </c>
      <c r="G78" s="2"/>
      <c r="H78" s="7">
        <v>13275</v>
      </c>
      <c r="I78" s="2"/>
      <c r="J78" s="6">
        <f t="shared" si="45"/>
        <v>1.7754969385216632E-2</v>
      </c>
      <c r="K78" s="2"/>
      <c r="L78" s="7">
        <f t="shared" si="46"/>
        <v>9963.91</v>
      </c>
      <c r="M78" s="2"/>
      <c r="N78" s="6">
        <f t="shared" si="47"/>
        <v>0.75057702448210917</v>
      </c>
      <c r="O78" s="11"/>
      <c r="P78" s="7">
        <v>23238.91</v>
      </c>
      <c r="Q78" s="2"/>
      <c r="R78" s="6">
        <f t="shared" si="48"/>
        <v>3.3733372706264392E-2</v>
      </c>
      <c r="S78" s="2"/>
      <c r="T78" s="7">
        <v>13275</v>
      </c>
      <c r="U78" s="2"/>
      <c r="V78" s="6">
        <f t="shared" si="49"/>
        <v>1.7754969385216632E-2</v>
      </c>
      <c r="W78" s="2"/>
      <c r="X78" s="7">
        <f t="shared" si="50"/>
        <v>9963.91</v>
      </c>
      <c r="Y78" s="2"/>
      <c r="Z78" s="6">
        <f t="shared" si="51"/>
        <v>0.75057702448210917</v>
      </c>
    </row>
    <row r="79" spans="1:26" s="27" customFormat="1" outlineLevel="1" collapsed="1" x14ac:dyDescent="0.25">
      <c r="A79" s="28"/>
      <c r="B79" s="14" t="str">
        <f>CONCATENATE("     ","Insurance                                         ")</f>
        <v xml:space="preserve">     Insurance                                         </v>
      </c>
      <c r="C79" s="14"/>
      <c r="D79" s="1">
        <f>SUM(OSRRefD22_11x_0)</f>
        <v>4246.03</v>
      </c>
      <c r="E79" s="1"/>
      <c r="F79" s="5">
        <f t="shared" ref="F79:F91" si="52">IF(D$12=0,0,D79/D$12)</f>
        <v>6.163495297842274E-3</v>
      </c>
      <c r="G79" s="1"/>
      <c r="H79" s="1">
        <f>SUM(OSRRefH22_11x_0)</f>
        <v>4009</v>
      </c>
      <c r="I79" s="1"/>
      <c r="J79" s="5">
        <f t="shared" ref="J79:J91" si="53">IF(H$12=0,0,H79/H$12)</f>
        <v>5.3619338806277566E-3</v>
      </c>
      <c r="K79" s="1"/>
      <c r="L79" s="1">
        <f t="shared" ref="L79:L91" si="54">+D79-H79</f>
        <v>237.02999999999975</v>
      </c>
      <c r="M79" s="1"/>
      <c r="N79" s="5">
        <f t="shared" ref="N79:N91" si="55">IF(H79=0,0,L79/H79)</f>
        <v>5.9124469942629022E-2</v>
      </c>
      <c r="O79" s="14"/>
      <c r="P79" s="1">
        <f>SUM(OSRRefP22_11x_0)</f>
        <v>4246.03</v>
      </c>
      <c r="Q79" s="1"/>
      <c r="R79" s="5">
        <f t="shared" ref="R79:R91" si="56">IF(P$12=0,0,P79/P$12)</f>
        <v>6.163495297842274E-3</v>
      </c>
      <c r="S79" s="1"/>
      <c r="T79" s="1">
        <f>SUM(OSRRefT22_11x_0)</f>
        <v>4009</v>
      </c>
      <c r="U79" s="1"/>
      <c r="V79" s="5">
        <f t="shared" ref="V79:V91" si="57">IF(T$12=0,0,T79/T$12)</f>
        <v>5.3619338806277566E-3</v>
      </c>
      <c r="W79" s="1"/>
      <c r="X79" s="1">
        <f t="shared" ref="X79:X91" si="58">+P79-T79</f>
        <v>237.02999999999975</v>
      </c>
      <c r="Y79" s="1"/>
      <c r="Z79" s="5">
        <f t="shared" ref="Z79:Z91" si="59">IF(T79=0,0,X79/T79)</f>
        <v>5.9124469942629022E-2</v>
      </c>
    </row>
    <row r="80" spans="1:26" s="24" customFormat="1" hidden="1" outlineLevel="2" x14ac:dyDescent="0.25">
      <c r="A80" s="29"/>
      <c r="B80" s="11" t="str">
        <f>CONCATENATE("          ", "6314", " - ", "LIABILITY INSURANCE")</f>
        <v xml:space="preserve">          6314 - LIABILITY INSURANCE</v>
      </c>
      <c r="C80" s="11"/>
      <c r="D80" s="7">
        <v>4246.03</v>
      </c>
      <c r="E80" s="2"/>
      <c r="F80" s="6">
        <f t="shared" si="52"/>
        <v>6.163495297842274E-3</v>
      </c>
      <c r="G80" s="2"/>
      <c r="H80" s="7">
        <v>4009</v>
      </c>
      <c r="I80" s="2"/>
      <c r="J80" s="6">
        <f t="shared" si="53"/>
        <v>5.3619338806277566E-3</v>
      </c>
      <c r="K80" s="2"/>
      <c r="L80" s="7">
        <f t="shared" si="54"/>
        <v>237.02999999999975</v>
      </c>
      <c r="M80" s="2"/>
      <c r="N80" s="6">
        <f t="shared" si="55"/>
        <v>5.9124469942629022E-2</v>
      </c>
      <c r="O80" s="11"/>
      <c r="P80" s="7">
        <v>4246.03</v>
      </c>
      <c r="Q80" s="2"/>
      <c r="R80" s="6">
        <f t="shared" si="56"/>
        <v>6.163495297842274E-3</v>
      </c>
      <c r="S80" s="2"/>
      <c r="T80" s="7">
        <v>4009</v>
      </c>
      <c r="U80" s="2"/>
      <c r="V80" s="6">
        <f t="shared" si="57"/>
        <v>5.3619338806277566E-3</v>
      </c>
      <c r="W80" s="2"/>
      <c r="X80" s="7">
        <f t="shared" si="58"/>
        <v>237.02999999999975</v>
      </c>
      <c r="Y80" s="2"/>
      <c r="Z80" s="6">
        <f t="shared" si="59"/>
        <v>5.9124469942629022E-2</v>
      </c>
    </row>
    <row r="81" spans="1:26" s="27" customFormat="1" outlineLevel="1" collapsed="1" x14ac:dyDescent="0.25">
      <c r="A81" s="28"/>
      <c r="B81" s="14" t="str">
        <f>CONCATENATE("     ","Interest                                          ")</f>
        <v xml:space="preserve">     Interest                                          </v>
      </c>
      <c r="C81" s="14"/>
      <c r="D81" s="1">
        <f>SUM(OSRRefD22_12x_0)</f>
        <v>7630</v>
      </c>
      <c r="E81" s="1"/>
      <c r="F81" s="5">
        <f t="shared" si="52"/>
        <v>1.107563279640901E-2</v>
      </c>
      <c r="G81" s="1"/>
      <c r="H81" s="1">
        <f>SUM(OSRRefH22_12x_0)</f>
        <v>7754</v>
      </c>
      <c r="I81" s="1"/>
      <c r="J81" s="5">
        <f t="shared" si="53"/>
        <v>1.037077458478115E-2</v>
      </c>
      <c r="K81" s="1"/>
      <c r="L81" s="1">
        <f t="shared" si="54"/>
        <v>-124</v>
      </c>
      <c r="M81" s="1"/>
      <c r="N81" s="5">
        <f t="shared" si="55"/>
        <v>-1.5991746195511993E-2</v>
      </c>
      <c r="O81" s="14"/>
      <c r="P81" s="1">
        <f>SUM(OSRRefP22_12x_0)</f>
        <v>7630</v>
      </c>
      <c r="Q81" s="1"/>
      <c r="R81" s="5">
        <f t="shared" si="56"/>
        <v>1.107563279640901E-2</v>
      </c>
      <c r="S81" s="1"/>
      <c r="T81" s="1">
        <f>SUM(OSRRefT22_12x_0)</f>
        <v>7754</v>
      </c>
      <c r="U81" s="1"/>
      <c r="V81" s="5">
        <f t="shared" si="57"/>
        <v>1.037077458478115E-2</v>
      </c>
      <c r="W81" s="1"/>
      <c r="X81" s="1">
        <f t="shared" si="58"/>
        <v>-124</v>
      </c>
      <c r="Y81" s="1"/>
      <c r="Z81" s="5">
        <f t="shared" si="59"/>
        <v>-1.5991746195511993E-2</v>
      </c>
    </row>
    <row r="82" spans="1:26" s="24" customFormat="1" hidden="1" outlineLevel="2" x14ac:dyDescent="0.25">
      <c r="A82" s="29"/>
      <c r="B82" s="11" t="str">
        <f>CONCATENATE("          ", "6401", " - ", "INTEREST EXPENSE")</f>
        <v xml:space="preserve">          6401 - INTEREST EXPENSE</v>
      </c>
      <c r="C82" s="11"/>
      <c r="D82" s="7">
        <v>7630</v>
      </c>
      <c r="E82" s="2"/>
      <c r="F82" s="6">
        <f t="shared" si="52"/>
        <v>1.107563279640901E-2</v>
      </c>
      <c r="G82" s="2"/>
      <c r="H82" s="7">
        <v>7754</v>
      </c>
      <c r="I82" s="2"/>
      <c r="J82" s="6">
        <f t="shared" si="53"/>
        <v>1.037077458478115E-2</v>
      </c>
      <c r="K82" s="2"/>
      <c r="L82" s="7">
        <f t="shared" si="54"/>
        <v>-124</v>
      </c>
      <c r="M82" s="2"/>
      <c r="N82" s="6">
        <f t="shared" si="55"/>
        <v>-1.5991746195511993E-2</v>
      </c>
      <c r="O82" s="11"/>
      <c r="P82" s="7">
        <v>7630</v>
      </c>
      <c r="Q82" s="2"/>
      <c r="R82" s="6">
        <f t="shared" si="56"/>
        <v>1.107563279640901E-2</v>
      </c>
      <c r="S82" s="2"/>
      <c r="T82" s="7">
        <v>7754</v>
      </c>
      <c r="U82" s="2"/>
      <c r="V82" s="6">
        <f t="shared" si="57"/>
        <v>1.037077458478115E-2</v>
      </c>
      <c r="W82" s="2"/>
      <c r="X82" s="7">
        <f t="shared" si="58"/>
        <v>-124</v>
      </c>
      <c r="Y82" s="2"/>
      <c r="Z82" s="6">
        <f t="shared" si="59"/>
        <v>-1.5991746195511993E-2</v>
      </c>
    </row>
    <row r="83" spans="1:26" s="27" customFormat="1" outlineLevel="1" collapsed="1" x14ac:dyDescent="0.25">
      <c r="A83" s="28"/>
      <c r="B83" s="14" t="str">
        <f>CONCATENATE("     ","R/H Commissions                                   ")</f>
        <v xml:space="preserve">     R/H Commissions                                   </v>
      </c>
      <c r="C83" s="14"/>
      <c r="D83" s="1">
        <f>SUM(OSRRefD22_13x_0)</f>
        <v>39712.65</v>
      </c>
      <c r="E83" s="1"/>
      <c r="F83" s="5">
        <f t="shared" si="52"/>
        <v>5.7646491320093356E-2</v>
      </c>
      <c r="G83" s="1"/>
      <c r="H83" s="1">
        <f>SUM(OSRRefH22_13x_0)</f>
        <v>39824</v>
      </c>
      <c r="I83" s="1"/>
      <c r="J83" s="5">
        <f t="shared" si="53"/>
        <v>5.3263570681496578E-2</v>
      </c>
      <c r="K83" s="1"/>
      <c r="L83" s="1">
        <f t="shared" si="54"/>
        <v>-111.34999999999854</v>
      </c>
      <c r="M83" s="1"/>
      <c r="N83" s="5">
        <f t="shared" si="55"/>
        <v>-2.796052631578911E-3</v>
      </c>
      <c r="O83" s="14"/>
      <c r="P83" s="1">
        <f>SUM(OSRRefP22_13x_0)</f>
        <v>39712.65</v>
      </c>
      <c r="Q83" s="1"/>
      <c r="R83" s="5">
        <f t="shared" si="56"/>
        <v>5.7646491320093356E-2</v>
      </c>
      <c r="S83" s="1"/>
      <c r="T83" s="1">
        <f>SUM(OSRRefT22_13x_0)</f>
        <v>39824</v>
      </c>
      <c r="U83" s="1"/>
      <c r="V83" s="5">
        <f t="shared" si="57"/>
        <v>5.3263570681496578E-2</v>
      </c>
      <c r="W83" s="1"/>
      <c r="X83" s="1">
        <f t="shared" si="58"/>
        <v>-111.34999999999854</v>
      </c>
      <c r="Y83" s="1"/>
      <c r="Z83" s="5">
        <f t="shared" si="59"/>
        <v>-2.796052631578911E-3</v>
      </c>
    </row>
    <row r="84" spans="1:26" s="24" customFormat="1" hidden="1" outlineLevel="2" x14ac:dyDescent="0.25">
      <c r="A84" s="29"/>
      <c r="B84" s="11" t="str">
        <f>CONCATENATE("          ", "6387", " - ", "COMMISSION DUE HOUSING")</f>
        <v xml:space="preserve">          6387 - COMMISSION DUE HOUSING</v>
      </c>
      <c r="C84" s="11"/>
      <c r="D84" s="7">
        <v>39712.65</v>
      </c>
      <c r="E84" s="2"/>
      <c r="F84" s="6">
        <f t="shared" si="52"/>
        <v>5.7646491320093356E-2</v>
      </c>
      <c r="G84" s="2"/>
      <c r="H84" s="7">
        <v>39824</v>
      </c>
      <c r="I84" s="2"/>
      <c r="J84" s="6">
        <f t="shared" si="53"/>
        <v>5.3263570681496578E-2</v>
      </c>
      <c r="K84" s="2"/>
      <c r="L84" s="7">
        <f t="shared" si="54"/>
        <v>-111.34999999999854</v>
      </c>
      <c r="M84" s="2"/>
      <c r="N84" s="6">
        <f t="shared" si="55"/>
        <v>-2.796052631578911E-3</v>
      </c>
      <c r="O84" s="11"/>
      <c r="P84" s="7">
        <v>39712.65</v>
      </c>
      <c r="Q84" s="2"/>
      <c r="R84" s="6">
        <f t="shared" si="56"/>
        <v>5.7646491320093356E-2</v>
      </c>
      <c r="S84" s="2"/>
      <c r="T84" s="7">
        <v>39824</v>
      </c>
      <c r="U84" s="2"/>
      <c r="V84" s="6">
        <f t="shared" si="57"/>
        <v>5.3263570681496578E-2</v>
      </c>
      <c r="W84" s="2"/>
      <c r="X84" s="7">
        <f t="shared" si="58"/>
        <v>-111.34999999999854</v>
      </c>
      <c r="Y84" s="2"/>
      <c r="Z84" s="6">
        <f t="shared" si="59"/>
        <v>-2.796052631578911E-3</v>
      </c>
    </row>
    <row r="85" spans="1:26" s="27" customFormat="1" outlineLevel="1" collapsed="1" x14ac:dyDescent="0.25">
      <c r="A85" s="28"/>
      <c r="B85" s="14" t="str">
        <f>CONCATENATE("     ","Rent                                              ")</f>
        <v xml:space="preserve">     Rent                                              </v>
      </c>
      <c r="C85" s="14"/>
      <c r="D85" s="1">
        <f>SUM(OSRRefD22_14x_0)</f>
        <v>1850</v>
      </c>
      <c r="E85" s="1"/>
      <c r="F85" s="5">
        <f t="shared" si="52"/>
        <v>2.6854417658396684E-3</v>
      </c>
      <c r="G85" s="1"/>
      <c r="H85" s="1">
        <f>SUM(OSRRefH22_14x_0)</f>
        <v>1850</v>
      </c>
      <c r="I85" s="1"/>
      <c r="J85" s="5">
        <f t="shared" si="53"/>
        <v>2.4743271836271765E-3</v>
      </c>
      <c r="K85" s="1"/>
      <c r="L85" s="1">
        <f t="shared" si="54"/>
        <v>0</v>
      </c>
      <c r="M85" s="1"/>
      <c r="N85" s="5">
        <f t="shared" si="55"/>
        <v>0</v>
      </c>
      <c r="O85" s="14"/>
      <c r="P85" s="1">
        <f>SUM(OSRRefP22_14x_0)</f>
        <v>1850</v>
      </c>
      <c r="Q85" s="1"/>
      <c r="R85" s="5">
        <f t="shared" si="56"/>
        <v>2.6854417658396684E-3</v>
      </c>
      <c r="S85" s="1"/>
      <c r="T85" s="1">
        <f>SUM(OSRRefT22_14x_0)</f>
        <v>1850</v>
      </c>
      <c r="U85" s="1"/>
      <c r="V85" s="5">
        <f t="shared" si="57"/>
        <v>2.4743271836271765E-3</v>
      </c>
      <c r="W85" s="1"/>
      <c r="X85" s="1">
        <f t="shared" si="58"/>
        <v>0</v>
      </c>
      <c r="Y85" s="1"/>
      <c r="Z85" s="5">
        <f t="shared" si="59"/>
        <v>0</v>
      </c>
    </row>
    <row r="86" spans="1:26" s="24" customFormat="1" hidden="1" outlineLevel="2" x14ac:dyDescent="0.25">
      <c r="A86" s="29"/>
      <c r="B86" s="11" t="str">
        <f>CONCATENATE("          ", "6273", " - ", "RENT")</f>
        <v xml:space="preserve">          6273 - RENT</v>
      </c>
      <c r="C86" s="11"/>
      <c r="D86" s="7">
        <v>1850</v>
      </c>
      <c r="E86" s="2"/>
      <c r="F86" s="6">
        <f t="shared" si="52"/>
        <v>2.6854417658396684E-3</v>
      </c>
      <c r="G86" s="2"/>
      <c r="H86" s="7">
        <v>1850</v>
      </c>
      <c r="I86" s="2"/>
      <c r="J86" s="6">
        <f t="shared" si="53"/>
        <v>2.4743271836271765E-3</v>
      </c>
      <c r="K86" s="2"/>
      <c r="L86" s="7">
        <f t="shared" si="54"/>
        <v>0</v>
      </c>
      <c r="M86" s="2"/>
      <c r="N86" s="6">
        <f t="shared" si="55"/>
        <v>0</v>
      </c>
      <c r="O86" s="11"/>
      <c r="P86" s="7">
        <v>1850</v>
      </c>
      <c r="Q86" s="2"/>
      <c r="R86" s="6">
        <f t="shared" si="56"/>
        <v>2.6854417658396684E-3</v>
      </c>
      <c r="S86" s="2"/>
      <c r="T86" s="7">
        <v>1850</v>
      </c>
      <c r="U86" s="2"/>
      <c r="V86" s="6">
        <f t="shared" si="57"/>
        <v>2.4743271836271765E-3</v>
      </c>
      <c r="W86" s="2"/>
      <c r="X86" s="7">
        <f t="shared" si="58"/>
        <v>0</v>
      </c>
      <c r="Y86" s="2"/>
      <c r="Z86" s="6">
        <f t="shared" si="59"/>
        <v>0</v>
      </c>
    </row>
    <row r="87" spans="1:26" s="27" customFormat="1" outlineLevel="1" collapsed="1" x14ac:dyDescent="0.25">
      <c r="A87" s="28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SUM(OSRRefD22_15x_0)</f>
        <v>25876.370000000003</v>
      </c>
      <c r="E87" s="1"/>
      <c r="F87" s="5">
        <f t="shared" si="52"/>
        <v>3.7561883646659799E-2</v>
      </c>
      <c r="G87" s="1"/>
      <c r="H87" s="1">
        <f>SUM(OSRRefH22_15x_0)</f>
        <v>20212</v>
      </c>
      <c r="I87" s="1"/>
      <c r="J87" s="5">
        <f t="shared" si="53"/>
        <v>2.7033027586741885E-2</v>
      </c>
      <c r="K87" s="1"/>
      <c r="L87" s="1">
        <f t="shared" si="54"/>
        <v>5664.3700000000026</v>
      </c>
      <c r="M87" s="1"/>
      <c r="N87" s="5">
        <f t="shared" si="55"/>
        <v>0.28024787255095995</v>
      </c>
      <c r="O87" s="14"/>
      <c r="P87" s="1">
        <f>SUM(OSRRefP22_15x_0)</f>
        <v>25876.370000000003</v>
      </c>
      <c r="Q87" s="1"/>
      <c r="R87" s="5">
        <f t="shared" si="56"/>
        <v>3.7561883646659799E-2</v>
      </c>
      <c r="S87" s="1"/>
      <c r="T87" s="1">
        <f>SUM(OSRRefT22_15x_0)</f>
        <v>20212</v>
      </c>
      <c r="U87" s="1"/>
      <c r="V87" s="5">
        <f t="shared" si="57"/>
        <v>2.7033027586741885E-2</v>
      </c>
      <c r="W87" s="1"/>
      <c r="X87" s="1">
        <f t="shared" si="58"/>
        <v>5664.3700000000026</v>
      </c>
      <c r="Y87" s="1"/>
      <c r="Z87" s="5">
        <f t="shared" si="59"/>
        <v>0.28024787255095995</v>
      </c>
    </row>
    <row r="88" spans="1:26" s="24" customFormat="1" hidden="1" outlineLevel="2" x14ac:dyDescent="0.25">
      <c r="A88" s="29"/>
      <c r="B88" s="11" t="str">
        <f>CONCATENATE("          ", "6371", " - ", "COMPUTER SOFTWARE MAINTENANCE")</f>
        <v xml:space="preserve">          6371 - COMPUTER SOFTWARE MAINTENANCE</v>
      </c>
      <c r="C88" s="11"/>
      <c r="D88" s="7"/>
      <c r="E88" s="2"/>
      <c r="F88" s="6">
        <f t="shared" si="52"/>
        <v>0</v>
      </c>
      <c r="G88" s="2"/>
      <c r="H88" s="7">
        <v>2047</v>
      </c>
      <c r="I88" s="2"/>
      <c r="J88" s="6">
        <f t="shared" si="53"/>
        <v>2.7378095918296377E-3</v>
      </c>
      <c r="K88" s="2"/>
      <c r="L88" s="7">
        <f t="shared" si="54"/>
        <v>-2047</v>
      </c>
      <c r="M88" s="2"/>
      <c r="N88" s="6">
        <f t="shared" si="55"/>
        <v>-1</v>
      </c>
      <c r="O88" s="11"/>
      <c r="P88" s="7"/>
      <c r="Q88" s="2"/>
      <c r="R88" s="6">
        <f t="shared" si="56"/>
        <v>0</v>
      </c>
      <c r="S88" s="2"/>
      <c r="T88" s="7">
        <v>2047</v>
      </c>
      <c r="U88" s="2"/>
      <c r="V88" s="6">
        <f t="shared" si="57"/>
        <v>2.7378095918296377E-3</v>
      </c>
      <c r="W88" s="2"/>
      <c r="X88" s="7">
        <f t="shared" si="58"/>
        <v>-2047</v>
      </c>
      <c r="Y88" s="2"/>
      <c r="Z88" s="6">
        <f t="shared" si="59"/>
        <v>-1</v>
      </c>
    </row>
    <row r="89" spans="1:26" s="24" customFormat="1" hidden="1" outlineLevel="2" x14ac:dyDescent="0.25">
      <c r="A89" s="29"/>
      <c r="B89" s="11" t="str">
        <f>CONCATENATE("          ", "6372", " - ", "COMPUTER HARDWARE MAINTENANCE")</f>
        <v xml:space="preserve">          6372 - COMPUTER HARDWARE MAINTENANCE</v>
      </c>
      <c r="C89" s="11"/>
      <c r="D89" s="7"/>
      <c r="E89" s="2"/>
      <c r="F89" s="6">
        <f t="shared" si="52"/>
        <v>0</v>
      </c>
      <c r="G89" s="2"/>
      <c r="H89" s="7">
        <v>200</v>
      </c>
      <c r="I89" s="2"/>
      <c r="J89" s="6">
        <f t="shared" si="53"/>
        <v>2.6749483066239744E-4</v>
      </c>
      <c r="K89" s="2"/>
      <c r="L89" s="7">
        <f t="shared" si="54"/>
        <v>-200</v>
      </c>
      <c r="M89" s="2"/>
      <c r="N89" s="6">
        <f t="shared" si="55"/>
        <v>-1</v>
      </c>
      <c r="O89" s="11"/>
      <c r="P89" s="7"/>
      <c r="Q89" s="2"/>
      <c r="R89" s="6">
        <f t="shared" si="56"/>
        <v>0</v>
      </c>
      <c r="S89" s="2"/>
      <c r="T89" s="7">
        <v>200</v>
      </c>
      <c r="U89" s="2"/>
      <c r="V89" s="6">
        <f t="shared" si="57"/>
        <v>2.6749483066239744E-4</v>
      </c>
      <c r="W89" s="2"/>
      <c r="X89" s="7">
        <f t="shared" si="58"/>
        <v>-200</v>
      </c>
      <c r="Y89" s="2"/>
      <c r="Z89" s="6">
        <f t="shared" si="59"/>
        <v>-1</v>
      </c>
    </row>
    <row r="90" spans="1:26" s="24" customFormat="1" hidden="1" outlineLevel="2" x14ac:dyDescent="0.25">
      <c r="A90" s="29"/>
      <c r="B90" s="11" t="str">
        <f>CONCATENATE("          ", "6373", " - ", "MAINTENANCE CONTRACTS")</f>
        <v xml:space="preserve">          6373 - MAINTENANCE CONTRACTS</v>
      </c>
      <c r="C90" s="11"/>
      <c r="D90" s="7">
        <v>6037.7</v>
      </c>
      <c r="E90" s="2"/>
      <c r="F90" s="6">
        <f t="shared" si="52"/>
        <v>8.764265810600089E-3</v>
      </c>
      <c r="G90" s="2"/>
      <c r="H90" s="7">
        <v>2230</v>
      </c>
      <c r="I90" s="2"/>
      <c r="J90" s="6">
        <f t="shared" si="53"/>
        <v>2.9825673618857317E-3</v>
      </c>
      <c r="K90" s="2"/>
      <c r="L90" s="7">
        <f t="shared" si="54"/>
        <v>3807.7</v>
      </c>
      <c r="M90" s="2"/>
      <c r="N90" s="6">
        <f t="shared" si="55"/>
        <v>1.707488789237668</v>
      </c>
      <c r="O90" s="11"/>
      <c r="P90" s="7">
        <v>6037.7</v>
      </c>
      <c r="Q90" s="2"/>
      <c r="R90" s="6">
        <f t="shared" si="56"/>
        <v>8.764265810600089E-3</v>
      </c>
      <c r="S90" s="2"/>
      <c r="T90" s="7">
        <v>2230</v>
      </c>
      <c r="U90" s="2"/>
      <c r="V90" s="6">
        <f t="shared" si="57"/>
        <v>2.9825673618857317E-3</v>
      </c>
      <c r="W90" s="2"/>
      <c r="X90" s="7">
        <f t="shared" si="58"/>
        <v>3807.7</v>
      </c>
      <c r="Y90" s="2"/>
      <c r="Z90" s="6">
        <f t="shared" si="59"/>
        <v>1.707488789237668</v>
      </c>
    </row>
    <row r="91" spans="1:26" s="24" customFormat="1" hidden="1" outlineLevel="2" x14ac:dyDescent="0.25">
      <c r="A91" s="29"/>
      <c r="B91" s="11" t="str">
        <f>CONCATENATE("          ", "6375", " - ", "OUTSIDE REPAIRS &amp; MAINTENANCE")</f>
        <v xml:space="preserve">          6375 - OUTSIDE REPAIRS &amp; MAINTENANCE</v>
      </c>
      <c r="C91" s="11"/>
      <c r="D91" s="7">
        <v>19838.670000000002</v>
      </c>
      <c r="E91" s="2"/>
      <c r="F91" s="6">
        <f t="shared" si="52"/>
        <v>2.8797617836059709E-2</v>
      </c>
      <c r="G91" s="2"/>
      <c r="H91" s="7">
        <v>15735</v>
      </c>
      <c r="I91" s="2"/>
      <c r="J91" s="6">
        <f t="shared" si="53"/>
        <v>2.1045155802364119E-2</v>
      </c>
      <c r="K91" s="2"/>
      <c r="L91" s="7">
        <f t="shared" si="54"/>
        <v>4103.6700000000019</v>
      </c>
      <c r="M91" s="2"/>
      <c r="N91" s="6">
        <f t="shared" si="55"/>
        <v>0.26079885605338432</v>
      </c>
      <c r="O91" s="11"/>
      <c r="P91" s="7">
        <v>19838.670000000002</v>
      </c>
      <c r="Q91" s="2"/>
      <c r="R91" s="6">
        <f t="shared" si="56"/>
        <v>2.8797617836059709E-2</v>
      </c>
      <c r="S91" s="2"/>
      <c r="T91" s="7">
        <v>15735</v>
      </c>
      <c r="U91" s="2"/>
      <c r="V91" s="6">
        <f t="shared" si="57"/>
        <v>2.1045155802364119E-2</v>
      </c>
      <c r="W91" s="2"/>
      <c r="X91" s="7">
        <f t="shared" si="58"/>
        <v>4103.6700000000019</v>
      </c>
      <c r="Y91" s="2"/>
      <c r="Z91" s="6">
        <f t="shared" si="59"/>
        <v>0.26079885605338432</v>
      </c>
    </row>
    <row r="92" spans="1:26" s="27" customFormat="1" outlineLevel="1" collapsed="1" x14ac:dyDescent="0.25">
      <c r="A92" s="28"/>
      <c r="B92" s="14" t="str">
        <f>CONCATENATE("     ","Royalty &amp; Commissions                             ")</f>
        <v xml:space="preserve">     Royalty &amp; Commissions                             </v>
      </c>
      <c r="C92" s="14"/>
      <c r="D92" s="1">
        <f>SUM(OSRRefD22_16x_0)</f>
        <v>16858.099999999999</v>
      </c>
      <c r="E92" s="1"/>
      <c r="F92" s="5">
        <f t="shared" ref="F92:F94" si="60">IF(D$12=0,0,D92/D$12)</f>
        <v>2.4471051801460385E-2</v>
      </c>
      <c r="G92" s="1"/>
      <c r="H92" s="1">
        <f>SUM(OSRRefH22_16x_0)</f>
        <v>9157</v>
      </c>
      <c r="I92" s="1"/>
      <c r="J92" s="5">
        <f t="shared" ref="J92:J94" si="61">IF(H$12=0,0,H92/H$12)</f>
        <v>1.2247250821877867E-2</v>
      </c>
      <c r="K92" s="1"/>
      <c r="L92" s="1">
        <f t="shared" ref="L92:L94" si="62">+D92-H92</f>
        <v>7701.0999999999985</v>
      </c>
      <c r="M92" s="1"/>
      <c r="N92" s="5">
        <f t="shared" ref="N92:N94" si="63">IF(H92=0,0,L92/H92)</f>
        <v>0.84100687998252688</v>
      </c>
      <c r="O92" s="14"/>
      <c r="P92" s="1">
        <f>SUM(OSRRefP22_16x_0)</f>
        <v>16858.099999999999</v>
      </c>
      <c r="Q92" s="1"/>
      <c r="R92" s="5">
        <f t="shared" ref="R92:R94" si="64">IF(P$12=0,0,P92/P$12)</f>
        <v>2.4471051801460385E-2</v>
      </c>
      <c r="S92" s="1"/>
      <c r="T92" s="1">
        <f>SUM(OSRRefT22_16x_0)</f>
        <v>9157</v>
      </c>
      <c r="U92" s="1"/>
      <c r="V92" s="5">
        <f t="shared" ref="V92:V94" si="65">IF(T$12=0,0,T92/T$12)</f>
        <v>1.2247250821877867E-2</v>
      </c>
      <c r="W92" s="1"/>
      <c r="X92" s="1">
        <f t="shared" ref="X92:X94" si="66">+P92-T92</f>
        <v>7701.0999999999985</v>
      </c>
      <c r="Y92" s="1"/>
      <c r="Z92" s="5">
        <f t="shared" ref="Z92:Z94" si="67">IF(T92=0,0,X92/T92)</f>
        <v>0.84100687998252688</v>
      </c>
    </row>
    <row r="93" spans="1:26" s="24" customFormat="1" hidden="1" outlineLevel="2" x14ac:dyDescent="0.25">
      <c r="A93" s="29"/>
      <c r="B93" s="11" t="str">
        <f>CONCATENATE("          ", "6254", " - ", "ROYALTY &amp; COMMISSIONS")</f>
        <v xml:space="preserve">          6254 - ROYALTY &amp; COMMISSIONS</v>
      </c>
      <c r="C93" s="11"/>
      <c r="D93" s="7">
        <v>13972.66</v>
      </c>
      <c r="E93" s="2"/>
      <c r="F93" s="6">
        <f t="shared" si="60"/>
        <v>2.0282575537230972E-2</v>
      </c>
      <c r="G93" s="2"/>
      <c r="H93" s="7">
        <v>4117</v>
      </c>
      <c r="I93" s="2"/>
      <c r="J93" s="6">
        <f t="shared" si="61"/>
        <v>5.5063810891854519E-3</v>
      </c>
      <c r="K93" s="2"/>
      <c r="L93" s="7">
        <f t="shared" si="62"/>
        <v>9855.66</v>
      </c>
      <c r="M93" s="2"/>
      <c r="N93" s="6">
        <f t="shared" si="63"/>
        <v>2.3938936118532914</v>
      </c>
      <c r="O93" s="11"/>
      <c r="P93" s="7">
        <v>13972.66</v>
      </c>
      <c r="Q93" s="2"/>
      <c r="R93" s="6">
        <f t="shared" si="64"/>
        <v>2.0282575537230972E-2</v>
      </c>
      <c r="S93" s="2"/>
      <c r="T93" s="7">
        <v>4117</v>
      </c>
      <c r="U93" s="2"/>
      <c r="V93" s="6">
        <f t="shared" si="65"/>
        <v>5.5063810891854519E-3</v>
      </c>
      <c r="W93" s="2"/>
      <c r="X93" s="7">
        <f t="shared" si="66"/>
        <v>9855.66</v>
      </c>
      <c r="Y93" s="2"/>
      <c r="Z93" s="6">
        <f t="shared" si="67"/>
        <v>2.3938936118532914</v>
      </c>
    </row>
    <row r="94" spans="1:26" s="24" customFormat="1" hidden="1" outlineLevel="2" x14ac:dyDescent="0.25">
      <c r="A94" s="29"/>
      <c r="B94" s="11" t="str">
        <f>CONCATENATE("          ", "6259", " - ", "ROYALTY &amp; COMMISSIONS")</f>
        <v xml:space="preserve">          6259 - ROYALTY &amp; COMMISSIONS</v>
      </c>
      <c r="C94" s="11"/>
      <c r="D94" s="7">
        <v>2885.44</v>
      </c>
      <c r="E94" s="2"/>
      <c r="F94" s="6">
        <f t="shared" si="60"/>
        <v>4.1884762642294127E-3</v>
      </c>
      <c r="G94" s="2"/>
      <c r="H94" s="7">
        <v>5040</v>
      </c>
      <c r="I94" s="2"/>
      <c r="J94" s="6">
        <f t="shared" si="61"/>
        <v>6.7408697326924154E-3</v>
      </c>
      <c r="K94" s="2"/>
      <c r="L94" s="7">
        <f t="shared" si="62"/>
        <v>-2154.56</v>
      </c>
      <c r="M94" s="2"/>
      <c r="N94" s="6">
        <f t="shared" si="63"/>
        <v>-0.42749206349206348</v>
      </c>
      <c r="O94" s="11"/>
      <c r="P94" s="7">
        <v>2885.44</v>
      </c>
      <c r="Q94" s="2"/>
      <c r="R94" s="6">
        <f t="shared" si="64"/>
        <v>4.1884762642294127E-3</v>
      </c>
      <c r="S94" s="2"/>
      <c r="T94" s="7">
        <v>5040</v>
      </c>
      <c r="U94" s="2"/>
      <c r="V94" s="6">
        <f t="shared" si="65"/>
        <v>6.7408697326924154E-3</v>
      </c>
      <c r="W94" s="2"/>
      <c r="X94" s="7">
        <f t="shared" si="66"/>
        <v>-2154.56</v>
      </c>
      <c r="Y94" s="2"/>
      <c r="Z94" s="6">
        <f t="shared" si="67"/>
        <v>-0.42749206349206348</v>
      </c>
    </row>
    <row r="95" spans="1:26" s="27" customFormat="1" outlineLevel="1" collapsed="1" x14ac:dyDescent="0.25">
      <c r="A95" s="28"/>
      <c r="B95" s="14" t="str">
        <f>CONCATENATE("     ","Services                                          ")</f>
        <v xml:space="preserve">     Services                                          </v>
      </c>
      <c r="C95" s="14"/>
      <c r="D95" s="1">
        <f>SUM(OSRRefD22_17x_0)</f>
        <v>41236.94</v>
      </c>
      <c r="E95" s="1"/>
      <c r="F95" s="5">
        <f t="shared" ref="F95:F100" si="68">IF(D$12=0,0,D95/D$12)</f>
        <v>5.9859135660229441E-2</v>
      </c>
      <c r="G95" s="1"/>
      <c r="H95" s="1">
        <f>SUM(OSRRefH22_17x_0)</f>
        <v>37826</v>
      </c>
      <c r="I95" s="1"/>
      <c r="J95" s="5">
        <f t="shared" ref="J95:J100" si="69">IF(H$12=0,0,H95/H$12)</f>
        <v>5.0591297323179227E-2</v>
      </c>
      <c r="K95" s="1"/>
      <c r="L95" s="1">
        <f t="shared" ref="L95:L100" si="70">+D95-H95</f>
        <v>3410.9400000000023</v>
      </c>
      <c r="M95" s="1"/>
      <c r="N95" s="5">
        <f t="shared" ref="N95:N100" si="71">IF(H95=0,0,L95/H95)</f>
        <v>9.0174483159731464E-2</v>
      </c>
      <c r="O95" s="14"/>
      <c r="P95" s="1">
        <f>SUM(OSRRefP22_17x_0)</f>
        <v>41236.94</v>
      </c>
      <c r="Q95" s="1"/>
      <c r="R95" s="5">
        <f t="shared" ref="R95:R100" si="72">IF(P$12=0,0,P95/P$12)</f>
        <v>5.9859135660229441E-2</v>
      </c>
      <c r="S95" s="1"/>
      <c r="T95" s="1">
        <f>SUM(OSRRefT22_17x_0)</f>
        <v>37826</v>
      </c>
      <c r="U95" s="1"/>
      <c r="V95" s="5">
        <f t="shared" ref="V95:V100" si="73">IF(T$12=0,0,T95/T$12)</f>
        <v>5.0591297323179227E-2</v>
      </c>
      <c r="W95" s="1"/>
      <c r="X95" s="1">
        <f t="shared" ref="X95:X100" si="74">+P95-T95</f>
        <v>3410.9400000000023</v>
      </c>
      <c r="Y95" s="1"/>
      <c r="Z95" s="5">
        <f t="shared" ref="Z95:Z100" si="75">IF(T95=0,0,X95/T95)</f>
        <v>9.0174483159731464E-2</v>
      </c>
    </row>
    <row r="96" spans="1:26" s="24" customFormat="1" hidden="1" outlineLevel="2" x14ac:dyDescent="0.25">
      <c r="A96" s="29"/>
      <c r="B96" s="11" t="str">
        <f>CONCATENATE("          ", "6282", " - ", "JANITORIAL/EXTERMINATOR EXPENS")</f>
        <v xml:space="preserve">          6282 - JANITORIAL/EXTERMINATOR EXPENS</v>
      </c>
      <c r="C96" s="11"/>
      <c r="D96" s="7">
        <v>2785.87</v>
      </c>
      <c r="E96" s="2"/>
      <c r="F96" s="6">
        <f t="shared" si="68"/>
        <v>4.04394143362149E-3</v>
      </c>
      <c r="G96" s="2"/>
      <c r="H96" s="7">
        <v>2780</v>
      </c>
      <c r="I96" s="2"/>
      <c r="J96" s="6">
        <f t="shared" si="69"/>
        <v>3.7181781462073244E-3</v>
      </c>
      <c r="K96" s="2"/>
      <c r="L96" s="7">
        <f t="shared" si="70"/>
        <v>5.8699999999998909</v>
      </c>
      <c r="M96" s="2"/>
      <c r="N96" s="6">
        <f t="shared" si="71"/>
        <v>2.111510791366867E-3</v>
      </c>
      <c r="O96" s="11"/>
      <c r="P96" s="7">
        <v>2785.87</v>
      </c>
      <c r="Q96" s="2"/>
      <c r="R96" s="6">
        <f t="shared" si="72"/>
        <v>4.04394143362149E-3</v>
      </c>
      <c r="S96" s="2"/>
      <c r="T96" s="7">
        <v>2780</v>
      </c>
      <c r="U96" s="2"/>
      <c r="V96" s="6">
        <f t="shared" si="73"/>
        <v>3.7181781462073244E-3</v>
      </c>
      <c r="W96" s="2"/>
      <c r="X96" s="7">
        <f t="shared" si="74"/>
        <v>5.8699999999998909</v>
      </c>
      <c r="Y96" s="2"/>
      <c r="Z96" s="6">
        <f t="shared" si="75"/>
        <v>2.111510791366867E-3</v>
      </c>
    </row>
    <row r="97" spans="1:26" s="24" customFormat="1" hidden="1" outlineLevel="2" x14ac:dyDescent="0.25">
      <c r="A97" s="29"/>
      <c r="B97" s="11" t="str">
        <f>CONCATENATE("          ", "6283", " - ", "PLANT SERVICE")</f>
        <v xml:space="preserve">          6283 - PLANT SERVICE</v>
      </c>
      <c r="C97" s="11"/>
      <c r="D97" s="7">
        <v>199.78</v>
      </c>
      <c r="E97" s="2"/>
      <c r="F97" s="6">
        <f t="shared" si="68"/>
        <v>2.8999867890781026E-4</v>
      </c>
      <c r="G97" s="2"/>
      <c r="H97" s="7">
        <v>150</v>
      </c>
      <c r="I97" s="2"/>
      <c r="J97" s="6">
        <f t="shared" si="69"/>
        <v>2.0062112299679808E-4</v>
      </c>
      <c r="K97" s="2"/>
      <c r="L97" s="7">
        <f t="shared" si="70"/>
        <v>49.78</v>
      </c>
      <c r="M97" s="2"/>
      <c r="N97" s="6">
        <f t="shared" si="71"/>
        <v>0.3318666666666667</v>
      </c>
      <c r="O97" s="11"/>
      <c r="P97" s="7">
        <v>199.78</v>
      </c>
      <c r="Q97" s="2"/>
      <c r="R97" s="6">
        <f t="shared" si="72"/>
        <v>2.8999867890781026E-4</v>
      </c>
      <c r="S97" s="2"/>
      <c r="T97" s="7">
        <v>150</v>
      </c>
      <c r="U97" s="2"/>
      <c r="V97" s="6">
        <f t="shared" si="73"/>
        <v>2.0062112299679808E-4</v>
      </c>
      <c r="W97" s="2"/>
      <c r="X97" s="7">
        <f t="shared" si="74"/>
        <v>49.78</v>
      </c>
      <c r="Y97" s="2"/>
      <c r="Z97" s="6">
        <f t="shared" si="75"/>
        <v>0.3318666666666667</v>
      </c>
    </row>
    <row r="98" spans="1:26" s="24" customFormat="1" hidden="1" outlineLevel="2" x14ac:dyDescent="0.25">
      <c r="A98" s="29"/>
      <c r="B98" s="11" t="str">
        <f>CONCATENATE("          ", "6284", " - ", "TRASH REMOVAL EXPENSE")</f>
        <v xml:space="preserve">          6284 - TRASH REMOVAL EXPENSE</v>
      </c>
      <c r="C98" s="11"/>
      <c r="D98" s="7">
        <v>4199</v>
      </c>
      <c r="E98" s="2"/>
      <c r="F98" s="6">
        <f t="shared" si="68"/>
        <v>6.0952270133841991E-3</v>
      </c>
      <c r="G98" s="2"/>
      <c r="H98" s="7">
        <v>4065</v>
      </c>
      <c r="I98" s="2"/>
      <c r="J98" s="6">
        <f t="shared" si="69"/>
        <v>5.4368324332132283E-3</v>
      </c>
      <c r="K98" s="2"/>
      <c r="L98" s="7">
        <f t="shared" si="70"/>
        <v>134</v>
      </c>
      <c r="M98" s="2"/>
      <c r="N98" s="6">
        <f t="shared" si="71"/>
        <v>3.2964329643296431E-2</v>
      </c>
      <c r="O98" s="11"/>
      <c r="P98" s="7">
        <v>4199</v>
      </c>
      <c r="Q98" s="2"/>
      <c r="R98" s="6">
        <f t="shared" si="72"/>
        <v>6.0952270133841991E-3</v>
      </c>
      <c r="S98" s="2"/>
      <c r="T98" s="7">
        <v>4065</v>
      </c>
      <c r="U98" s="2"/>
      <c r="V98" s="6">
        <f t="shared" si="73"/>
        <v>5.4368324332132283E-3</v>
      </c>
      <c r="W98" s="2"/>
      <c r="X98" s="7">
        <f t="shared" si="74"/>
        <v>134</v>
      </c>
      <c r="Y98" s="2"/>
      <c r="Z98" s="6">
        <f t="shared" si="75"/>
        <v>3.2964329643296431E-2</v>
      </c>
    </row>
    <row r="99" spans="1:26" s="24" customFormat="1" hidden="1" outlineLevel="2" x14ac:dyDescent="0.25">
      <c r="A99" s="29"/>
      <c r="B99" s="11" t="str">
        <f>CONCATENATE("          ", "6285", " - ", "JANITORIAL SERVICES")</f>
        <v xml:space="preserve">          6285 - JANITORIAL SERVICES</v>
      </c>
      <c r="C99" s="11"/>
      <c r="D99" s="7">
        <v>25905.47</v>
      </c>
      <c r="E99" s="2"/>
      <c r="F99" s="6">
        <f t="shared" si="68"/>
        <v>3.7604124919841379E-2</v>
      </c>
      <c r="G99" s="2"/>
      <c r="H99" s="7">
        <v>23463</v>
      </c>
      <c r="I99" s="2"/>
      <c r="J99" s="6">
        <f t="shared" si="69"/>
        <v>3.1381156059159157E-2</v>
      </c>
      <c r="K99" s="2"/>
      <c r="L99" s="7">
        <f t="shared" si="70"/>
        <v>2442.4700000000012</v>
      </c>
      <c r="M99" s="2"/>
      <c r="N99" s="6">
        <f t="shared" si="71"/>
        <v>0.10409879384562934</v>
      </c>
      <c r="O99" s="11"/>
      <c r="P99" s="7">
        <v>25905.47</v>
      </c>
      <c r="Q99" s="2"/>
      <c r="R99" s="6">
        <f t="shared" si="72"/>
        <v>3.7604124919841379E-2</v>
      </c>
      <c r="S99" s="2"/>
      <c r="T99" s="7">
        <v>23463</v>
      </c>
      <c r="U99" s="2"/>
      <c r="V99" s="6">
        <f t="shared" si="73"/>
        <v>3.1381156059159157E-2</v>
      </c>
      <c r="W99" s="2"/>
      <c r="X99" s="7">
        <f t="shared" si="74"/>
        <v>2442.4700000000012</v>
      </c>
      <c r="Y99" s="2"/>
      <c r="Z99" s="6">
        <f t="shared" si="75"/>
        <v>0.10409879384562934</v>
      </c>
    </row>
    <row r="100" spans="1:26" s="24" customFormat="1" hidden="1" outlineLevel="2" x14ac:dyDescent="0.25">
      <c r="A100" s="29"/>
      <c r="B100" s="11" t="str">
        <f>CONCATENATE("          ", "6286", " - ", "LAUNDRY EXPENSE")</f>
        <v xml:space="preserve">          6286 - LAUNDRY EXPENSE</v>
      </c>
      <c r="C100" s="11"/>
      <c r="D100" s="7">
        <v>8146.82</v>
      </c>
      <c r="E100" s="2"/>
      <c r="F100" s="6">
        <f t="shared" si="68"/>
        <v>1.1825843614474555E-2</v>
      </c>
      <c r="G100" s="2"/>
      <c r="H100" s="7">
        <v>7368</v>
      </c>
      <c r="I100" s="2"/>
      <c r="J100" s="6">
        <f t="shared" si="69"/>
        <v>9.8545095616027218E-3</v>
      </c>
      <c r="K100" s="2"/>
      <c r="L100" s="7">
        <f t="shared" si="70"/>
        <v>778.81999999999971</v>
      </c>
      <c r="M100" s="2"/>
      <c r="N100" s="6">
        <f t="shared" si="71"/>
        <v>0.10570304017372417</v>
      </c>
      <c r="O100" s="11"/>
      <c r="P100" s="7">
        <v>8146.82</v>
      </c>
      <c r="Q100" s="2"/>
      <c r="R100" s="6">
        <f t="shared" si="72"/>
        <v>1.1825843614474555E-2</v>
      </c>
      <c r="S100" s="2"/>
      <c r="T100" s="7">
        <v>7368</v>
      </c>
      <c r="U100" s="2"/>
      <c r="V100" s="6">
        <f t="shared" si="73"/>
        <v>9.8545095616027218E-3</v>
      </c>
      <c r="W100" s="2"/>
      <c r="X100" s="7">
        <f t="shared" si="74"/>
        <v>778.81999999999971</v>
      </c>
      <c r="Y100" s="2"/>
      <c r="Z100" s="6">
        <f t="shared" si="75"/>
        <v>0.10570304017372417</v>
      </c>
    </row>
    <row r="101" spans="1:26" s="27" customFormat="1" outlineLevel="1" collapsed="1" x14ac:dyDescent="0.25">
      <c r="A101" s="28"/>
      <c r="B101" s="14" t="str">
        <f>CONCATENATE("     ","Subscriptions &amp; Dues                              ")</f>
        <v xml:space="preserve">     Subscriptions &amp; Dues                              </v>
      </c>
      <c r="C101" s="14"/>
      <c r="D101" s="1">
        <f>SUM(OSRRefD22_18x_0)</f>
        <v>393.42</v>
      </c>
      <c r="E101" s="1"/>
      <c r="F101" s="5">
        <f t="shared" ref="F101:F113" si="76">IF(D$12=0,0,D101/D$12)</f>
        <v>5.7108459433332021E-4</v>
      </c>
      <c r="G101" s="1"/>
      <c r="H101" s="1">
        <f>SUM(OSRRefH22_18x_0)</f>
        <v>394</v>
      </c>
      <c r="I101" s="1"/>
      <c r="J101" s="5">
        <f t="shared" ref="J101:J113" si="77">IF(H$12=0,0,H101/H$12)</f>
        <v>5.2696481640492293E-4</v>
      </c>
      <c r="K101" s="1"/>
      <c r="L101" s="1">
        <f t="shared" ref="L101:L113" si="78">+D101-H101</f>
        <v>-0.57999999999998408</v>
      </c>
      <c r="M101" s="1"/>
      <c r="N101" s="5">
        <f t="shared" ref="N101:N113" si="79">IF(H101=0,0,L101/H101)</f>
        <v>-1.4720812182740712E-3</v>
      </c>
      <c r="O101" s="14"/>
      <c r="P101" s="1">
        <f>SUM(OSRRefP22_18x_0)</f>
        <v>393.42</v>
      </c>
      <c r="Q101" s="1"/>
      <c r="R101" s="5">
        <f t="shared" ref="R101:R113" si="80">IF(P$12=0,0,P101/P$12)</f>
        <v>5.7108459433332021E-4</v>
      </c>
      <c r="S101" s="1"/>
      <c r="T101" s="1">
        <f>SUM(OSRRefT22_18x_0)</f>
        <v>394</v>
      </c>
      <c r="U101" s="1"/>
      <c r="V101" s="5">
        <f t="shared" ref="V101:V113" si="81">IF(T$12=0,0,T101/T$12)</f>
        <v>5.2696481640492293E-4</v>
      </c>
      <c r="W101" s="1"/>
      <c r="X101" s="1">
        <f t="shared" ref="X101:X113" si="82">+P101-T101</f>
        <v>-0.57999999999998408</v>
      </c>
      <c r="Y101" s="1"/>
      <c r="Z101" s="5">
        <f t="shared" ref="Z101:Z113" si="83">IF(T101=0,0,X101/T101)</f>
        <v>-1.4720812182740712E-3</v>
      </c>
    </row>
    <row r="102" spans="1:26" s="24" customFormat="1" hidden="1" outlineLevel="2" x14ac:dyDescent="0.25">
      <c r="A102" s="29"/>
      <c r="B102" s="11" t="str">
        <f>CONCATENATE("          ", "6275", " - ", "SUBSCRIPTIONS")</f>
        <v xml:space="preserve">          6275 - SUBSCRIPTIONS</v>
      </c>
      <c r="C102" s="11"/>
      <c r="D102" s="7">
        <v>393.42</v>
      </c>
      <c r="E102" s="2"/>
      <c r="F102" s="6">
        <f t="shared" si="76"/>
        <v>5.7108459433332021E-4</v>
      </c>
      <c r="G102" s="2"/>
      <c r="H102" s="7">
        <v>394</v>
      </c>
      <c r="I102" s="2"/>
      <c r="J102" s="6">
        <f t="shared" si="77"/>
        <v>5.2696481640492293E-4</v>
      </c>
      <c r="K102" s="2"/>
      <c r="L102" s="7">
        <f t="shared" si="78"/>
        <v>-0.57999999999998408</v>
      </c>
      <c r="M102" s="2"/>
      <c r="N102" s="6">
        <f t="shared" si="79"/>
        <v>-1.4720812182740712E-3</v>
      </c>
      <c r="O102" s="11"/>
      <c r="P102" s="7">
        <v>393.42</v>
      </c>
      <c r="Q102" s="2"/>
      <c r="R102" s="6">
        <f t="shared" si="80"/>
        <v>5.7108459433332021E-4</v>
      </c>
      <c r="S102" s="2"/>
      <c r="T102" s="7">
        <v>394</v>
      </c>
      <c r="U102" s="2"/>
      <c r="V102" s="6">
        <f t="shared" si="81"/>
        <v>5.2696481640492293E-4</v>
      </c>
      <c r="W102" s="2"/>
      <c r="X102" s="7">
        <f t="shared" si="82"/>
        <v>-0.57999999999998408</v>
      </c>
      <c r="Y102" s="2"/>
      <c r="Z102" s="6">
        <f t="shared" si="83"/>
        <v>-1.4720812182740712E-3</v>
      </c>
    </row>
    <row r="103" spans="1:26" s="27" customFormat="1" outlineLevel="1" collapsed="1" x14ac:dyDescent="0.25">
      <c r="A103" s="28"/>
      <c r="B103" s="14" t="str">
        <f>CONCATENATE("     ","Supplies                                          ")</f>
        <v xml:space="preserve">     Supplies                                          </v>
      </c>
      <c r="C103" s="14"/>
      <c r="D103" s="1">
        <f>SUM(OSRRefD22_19x_0)</f>
        <v>44923.08</v>
      </c>
      <c r="E103" s="1"/>
      <c r="F103" s="5">
        <f t="shared" si="76"/>
        <v>6.5209900152517139E-2</v>
      </c>
      <c r="G103" s="1"/>
      <c r="H103" s="1">
        <f>SUM(OSRRefH22_19x_0)</f>
        <v>51359.9</v>
      </c>
      <c r="I103" s="1"/>
      <c r="J103" s="5">
        <f t="shared" si="77"/>
        <v>6.8692538766688335E-2</v>
      </c>
      <c r="K103" s="1"/>
      <c r="L103" s="1">
        <f t="shared" si="78"/>
        <v>-6436.82</v>
      </c>
      <c r="M103" s="1"/>
      <c r="N103" s="5">
        <f t="shared" si="79"/>
        <v>-0.125327736230016</v>
      </c>
      <c r="O103" s="14"/>
      <c r="P103" s="1">
        <f>SUM(OSRRefP22_19x_0)</f>
        <v>44923.08</v>
      </c>
      <c r="Q103" s="1"/>
      <c r="R103" s="5">
        <f t="shared" si="80"/>
        <v>6.5209900152517139E-2</v>
      </c>
      <c r="S103" s="1"/>
      <c r="T103" s="1">
        <f>SUM(OSRRefT22_19x_0)</f>
        <v>51359.9</v>
      </c>
      <c r="U103" s="1"/>
      <c r="V103" s="5">
        <f t="shared" si="81"/>
        <v>6.8692538766688335E-2</v>
      </c>
      <c r="W103" s="1"/>
      <c r="X103" s="1">
        <f t="shared" si="82"/>
        <v>-6436.82</v>
      </c>
      <c r="Y103" s="1"/>
      <c r="Z103" s="5">
        <f t="shared" si="83"/>
        <v>-0.125327736230016</v>
      </c>
    </row>
    <row r="104" spans="1:26" s="24" customFormat="1" hidden="1" outlineLevel="2" x14ac:dyDescent="0.25">
      <c r="A104" s="29"/>
      <c r="B104" s="11" t="str">
        <f>CONCATENATE("          ", "6234", " - ", "EXPENDABLE SUPPLIES &amp; EQUIPMEN")</f>
        <v xml:space="preserve">          6234 - EXPENDABLE SUPPLIES &amp; EQUIPMEN</v>
      </c>
      <c r="C104" s="11"/>
      <c r="D104" s="7"/>
      <c r="E104" s="2"/>
      <c r="F104" s="6">
        <f t="shared" si="76"/>
        <v>0</v>
      </c>
      <c r="G104" s="2"/>
      <c r="H104" s="7">
        <v>900</v>
      </c>
      <c r="I104" s="2"/>
      <c r="J104" s="6">
        <f t="shared" si="77"/>
        <v>1.2037267379807885E-3</v>
      </c>
      <c r="K104" s="2"/>
      <c r="L104" s="7">
        <f t="shared" si="78"/>
        <v>-900</v>
      </c>
      <c r="M104" s="2"/>
      <c r="N104" s="6">
        <f t="shared" si="79"/>
        <v>-1</v>
      </c>
      <c r="O104" s="11"/>
      <c r="P104" s="7"/>
      <c r="Q104" s="2"/>
      <c r="R104" s="6">
        <f t="shared" si="80"/>
        <v>0</v>
      </c>
      <c r="S104" s="2"/>
      <c r="T104" s="7">
        <v>900</v>
      </c>
      <c r="U104" s="2"/>
      <c r="V104" s="6">
        <f t="shared" si="81"/>
        <v>1.2037267379807885E-3</v>
      </c>
      <c r="W104" s="2"/>
      <c r="X104" s="7">
        <f t="shared" si="82"/>
        <v>-900</v>
      </c>
      <c r="Y104" s="2"/>
      <c r="Z104" s="6">
        <f t="shared" si="83"/>
        <v>-1</v>
      </c>
    </row>
    <row r="105" spans="1:26" s="24" customFormat="1" hidden="1" outlineLevel="2" x14ac:dyDescent="0.25">
      <c r="A105" s="29"/>
      <c r="B105" s="11" t="str">
        <f>CONCATENATE("          ", "6237", " - ", "JANITORIAL SUPPLIES")</f>
        <v xml:space="preserve">          6237 - JANITORIAL SUPPLIES</v>
      </c>
      <c r="C105" s="11"/>
      <c r="D105" s="7">
        <v>11125.77</v>
      </c>
      <c r="E105" s="2"/>
      <c r="F105" s="6">
        <f t="shared" si="76"/>
        <v>1.6150058073041085E-2</v>
      </c>
      <c r="G105" s="2"/>
      <c r="H105" s="7">
        <v>13061</v>
      </c>
      <c r="I105" s="2"/>
      <c r="J105" s="6">
        <f t="shared" si="77"/>
        <v>1.7468749916407865E-2</v>
      </c>
      <c r="K105" s="2"/>
      <c r="L105" s="7">
        <f t="shared" si="78"/>
        <v>-1935.2299999999996</v>
      </c>
      <c r="M105" s="2"/>
      <c r="N105" s="6">
        <f t="shared" si="79"/>
        <v>-0.14816859352270115</v>
      </c>
      <c r="O105" s="11"/>
      <c r="P105" s="7">
        <v>11125.77</v>
      </c>
      <c r="Q105" s="2"/>
      <c r="R105" s="6">
        <f t="shared" si="80"/>
        <v>1.6150058073041085E-2</v>
      </c>
      <c r="S105" s="2"/>
      <c r="T105" s="7">
        <v>13061</v>
      </c>
      <c r="U105" s="2"/>
      <c r="V105" s="6">
        <f t="shared" si="81"/>
        <v>1.7468749916407865E-2</v>
      </c>
      <c r="W105" s="2"/>
      <c r="X105" s="7">
        <f t="shared" si="82"/>
        <v>-1935.2299999999996</v>
      </c>
      <c r="Y105" s="2"/>
      <c r="Z105" s="6">
        <f t="shared" si="83"/>
        <v>-0.14816859352270115</v>
      </c>
    </row>
    <row r="106" spans="1:26" s="24" customFormat="1" hidden="1" outlineLevel="2" x14ac:dyDescent="0.25">
      <c r="A106" s="29"/>
      <c r="B106" s="11" t="str">
        <f>CONCATENATE("          ", "6239", " - ", "KITCHEN SUPPLIES")</f>
        <v xml:space="preserve">          6239 - KITCHEN SUPPLIES</v>
      </c>
      <c r="C106" s="11"/>
      <c r="D106" s="7">
        <v>7252.5</v>
      </c>
      <c r="E106" s="2"/>
      <c r="F106" s="6">
        <f t="shared" si="76"/>
        <v>1.0527657517163348E-2</v>
      </c>
      <c r="G106" s="2"/>
      <c r="H106" s="7">
        <v>14916</v>
      </c>
      <c r="I106" s="2"/>
      <c r="J106" s="6">
        <f t="shared" si="77"/>
        <v>1.9949764470801601E-2</v>
      </c>
      <c r="K106" s="2"/>
      <c r="L106" s="7">
        <f t="shared" si="78"/>
        <v>-7663.5</v>
      </c>
      <c r="M106" s="2"/>
      <c r="N106" s="6">
        <f t="shared" si="79"/>
        <v>-0.51377715205148833</v>
      </c>
      <c r="O106" s="11"/>
      <c r="P106" s="7">
        <v>7252.5</v>
      </c>
      <c r="Q106" s="2"/>
      <c r="R106" s="6">
        <f t="shared" si="80"/>
        <v>1.0527657517163348E-2</v>
      </c>
      <c r="S106" s="2"/>
      <c r="T106" s="7">
        <v>14916</v>
      </c>
      <c r="U106" s="2"/>
      <c r="V106" s="6">
        <f t="shared" si="81"/>
        <v>1.9949764470801601E-2</v>
      </c>
      <c r="W106" s="2"/>
      <c r="X106" s="7">
        <f t="shared" si="82"/>
        <v>-7663.5</v>
      </c>
      <c r="Y106" s="2"/>
      <c r="Z106" s="6">
        <f t="shared" si="83"/>
        <v>-0.51377715205148833</v>
      </c>
    </row>
    <row r="107" spans="1:26" s="24" customFormat="1" hidden="1" outlineLevel="2" x14ac:dyDescent="0.25">
      <c r="A107" s="29"/>
      <c r="B107" s="11" t="str">
        <f>CONCATENATE("          ", "6241", " - ", "OFFICE EXPENSE")</f>
        <v xml:space="preserve">          6241 - OFFICE EXPENSE</v>
      </c>
      <c r="C107" s="11"/>
      <c r="D107" s="7">
        <v>23594.880000000001</v>
      </c>
      <c r="E107" s="2"/>
      <c r="F107" s="6">
        <f t="shared" si="76"/>
        <v>3.4250095249716256E-2</v>
      </c>
      <c r="G107" s="2"/>
      <c r="H107" s="7">
        <v>2056.25</v>
      </c>
      <c r="I107" s="2"/>
      <c r="J107" s="6">
        <f t="shared" si="77"/>
        <v>2.7501812277477737E-3</v>
      </c>
      <c r="K107" s="2"/>
      <c r="L107" s="7">
        <f t="shared" si="78"/>
        <v>21538.63</v>
      </c>
      <c r="M107" s="2"/>
      <c r="N107" s="6">
        <f t="shared" si="79"/>
        <v>10.47471367781155</v>
      </c>
      <c r="O107" s="11"/>
      <c r="P107" s="7">
        <v>23594.880000000001</v>
      </c>
      <c r="Q107" s="2"/>
      <c r="R107" s="6">
        <f t="shared" si="80"/>
        <v>3.4250095249716256E-2</v>
      </c>
      <c r="S107" s="2"/>
      <c r="T107" s="7">
        <v>2056.25</v>
      </c>
      <c r="U107" s="2"/>
      <c r="V107" s="6">
        <f t="shared" si="81"/>
        <v>2.7501812277477737E-3</v>
      </c>
      <c r="W107" s="2"/>
      <c r="X107" s="7">
        <f t="shared" si="82"/>
        <v>21538.63</v>
      </c>
      <c r="Y107" s="2"/>
      <c r="Z107" s="6">
        <f t="shared" si="83"/>
        <v>10.47471367781155</v>
      </c>
    </row>
    <row r="108" spans="1:26" s="24" customFormat="1" hidden="1" outlineLevel="2" x14ac:dyDescent="0.25">
      <c r="A108" s="29"/>
      <c r="B108" s="11" t="str">
        <f>CONCATENATE("          ", "6243", " - ", "PAPER SUPPLIES")</f>
        <v xml:space="preserve">          6243 - PAPER SUPPLIES</v>
      </c>
      <c r="C108" s="11"/>
      <c r="D108" s="7">
        <v>7435.44</v>
      </c>
      <c r="E108" s="2"/>
      <c r="F108" s="6">
        <f t="shared" si="76"/>
        <v>1.0793211418051299E-2</v>
      </c>
      <c r="G108" s="2"/>
      <c r="H108" s="7">
        <v>7330</v>
      </c>
      <c r="I108" s="2"/>
      <c r="J108" s="6">
        <f t="shared" si="77"/>
        <v>9.8036855437768668E-3</v>
      </c>
      <c r="K108" s="2"/>
      <c r="L108" s="7">
        <f t="shared" si="78"/>
        <v>105.4399999999996</v>
      </c>
      <c r="M108" s="2"/>
      <c r="N108" s="6">
        <f t="shared" si="79"/>
        <v>1.4384720327421502E-2</v>
      </c>
      <c r="O108" s="11"/>
      <c r="P108" s="7">
        <v>7435.44</v>
      </c>
      <c r="Q108" s="2"/>
      <c r="R108" s="6">
        <f t="shared" si="80"/>
        <v>1.0793211418051299E-2</v>
      </c>
      <c r="S108" s="2"/>
      <c r="T108" s="7">
        <v>7330</v>
      </c>
      <c r="U108" s="2"/>
      <c r="V108" s="6">
        <f t="shared" si="81"/>
        <v>9.8036855437768668E-3</v>
      </c>
      <c r="W108" s="2"/>
      <c r="X108" s="7">
        <f t="shared" si="82"/>
        <v>105.4399999999996</v>
      </c>
      <c r="Y108" s="2"/>
      <c r="Z108" s="6">
        <f t="shared" si="83"/>
        <v>1.4384720327421502E-2</v>
      </c>
    </row>
    <row r="109" spans="1:26" s="24" customFormat="1" hidden="1" outlineLevel="2" x14ac:dyDescent="0.25">
      <c r="A109" s="29"/>
      <c r="B109" s="11" t="str">
        <f>CONCATENATE("          ", "6244", " - ", "SAFETY SUPPLY EXPENSE")</f>
        <v xml:space="preserve">          6244 - SAFETY SUPPLY EXPENSE</v>
      </c>
      <c r="C109" s="11"/>
      <c r="D109" s="7"/>
      <c r="E109" s="2"/>
      <c r="F109" s="6">
        <f t="shared" si="76"/>
        <v>0</v>
      </c>
      <c r="G109" s="2"/>
      <c r="H109" s="7">
        <v>235</v>
      </c>
      <c r="I109" s="2"/>
      <c r="J109" s="6">
        <f t="shared" si="77"/>
        <v>3.1430642602831699E-4</v>
      </c>
      <c r="K109" s="2"/>
      <c r="L109" s="7">
        <f t="shared" si="78"/>
        <v>-235</v>
      </c>
      <c r="M109" s="2"/>
      <c r="N109" s="6">
        <f t="shared" si="79"/>
        <v>-1</v>
      </c>
      <c r="O109" s="11"/>
      <c r="P109" s="7"/>
      <c r="Q109" s="2"/>
      <c r="R109" s="6">
        <f t="shared" si="80"/>
        <v>0</v>
      </c>
      <c r="S109" s="2"/>
      <c r="T109" s="7">
        <v>235</v>
      </c>
      <c r="U109" s="2"/>
      <c r="V109" s="6">
        <f t="shared" si="81"/>
        <v>3.1430642602831699E-4</v>
      </c>
      <c r="W109" s="2"/>
      <c r="X109" s="7">
        <f t="shared" si="82"/>
        <v>-235</v>
      </c>
      <c r="Y109" s="2"/>
      <c r="Z109" s="6">
        <f t="shared" si="83"/>
        <v>-1</v>
      </c>
    </row>
    <row r="110" spans="1:26" s="24" customFormat="1" hidden="1" outlineLevel="2" x14ac:dyDescent="0.25">
      <c r="A110" s="29"/>
      <c r="B110" s="11" t="str">
        <f>CONCATENATE("          ", "6245", " - ", "PRINTING")</f>
        <v xml:space="preserve">          6245 - PRINTING</v>
      </c>
      <c r="C110" s="11"/>
      <c r="D110" s="7">
        <v>137.76</v>
      </c>
      <c r="E110" s="2"/>
      <c r="F110" s="6">
        <f t="shared" si="76"/>
        <v>1.9997105819571497E-4</v>
      </c>
      <c r="G110" s="2"/>
      <c r="H110" s="7">
        <v>200</v>
      </c>
      <c r="I110" s="2"/>
      <c r="J110" s="6">
        <f t="shared" si="77"/>
        <v>2.6749483066239744E-4</v>
      </c>
      <c r="K110" s="2"/>
      <c r="L110" s="7">
        <f t="shared" si="78"/>
        <v>-62.240000000000009</v>
      </c>
      <c r="M110" s="2"/>
      <c r="N110" s="6">
        <f t="shared" si="79"/>
        <v>-0.31120000000000003</v>
      </c>
      <c r="O110" s="11"/>
      <c r="P110" s="7">
        <v>137.76</v>
      </c>
      <c r="Q110" s="2"/>
      <c r="R110" s="6">
        <f t="shared" si="80"/>
        <v>1.9997105819571497E-4</v>
      </c>
      <c r="S110" s="2"/>
      <c r="T110" s="7">
        <v>200</v>
      </c>
      <c r="U110" s="2"/>
      <c r="V110" s="6">
        <f t="shared" si="81"/>
        <v>2.6749483066239744E-4</v>
      </c>
      <c r="W110" s="2"/>
      <c r="X110" s="7">
        <f t="shared" si="82"/>
        <v>-62.240000000000009</v>
      </c>
      <c r="Y110" s="2"/>
      <c r="Z110" s="6">
        <f t="shared" si="83"/>
        <v>-0.31120000000000003</v>
      </c>
    </row>
    <row r="111" spans="1:26" s="24" customFormat="1" hidden="1" outlineLevel="2" x14ac:dyDescent="0.25">
      <c r="A111" s="29"/>
      <c r="B111" s="11" t="str">
        <f>CONCATENATE("          ", "6246", " - ", "REPLACEMENTS")</f>
        <v xml:space="preserve">          6246 - REPLACEMENTS</v>
      </c>
      <c r="C111" s="11"/>
      <c r="D111" s="7"/>
      <c r="E111" s="2"/>
      <c r="F111" s="6">
        <f t="shared" si="76"/>
        <v>0</v>
      </c>
      <c r="G111" s="2"/>
      <c r="H111" s="7">
        <v>2400</v>
      </c>
      <c r="I111" s="2"/>
      <c r="J111" s="6">
        <f t="shared" si="77"/>
        <v>3.2099379679487693E-3</v>
      </c>
      <c r="K111" s="2"/>
      <c r="L111" s="7">
        <f t="shared" si="78"/>
        <v>-2400</v>
      </c>
      <c r="M111" s="2"/>
      <c r="N111" s="6">
        <f t="shared" si="79"/>
        <v>-1</v>
      </c>
      <c r="O111" s="11"/>
      <c r="P111" s="7"/>
      <c r="Q111" s="2"/>
      <c r="R111" s="6">
        <f t="shared" si="80"/>
        <v>0</v>
      </c>
      <c r="S111" s="2"/>
      <c r="T111" s="7">
        <v>2400</v>
      </c>
      <c r="U111" s="2"/>
      <c r="V111" s="6">
        <f t="shared" si="81"/>
        <v>3.2099379679487693E-3</v>
      </c>
      <c r="W111" s="2"/>
      <c r="X111" s="7">
        <f t="shared" si="82"/>
        <v>-2400</v>
      </c>
      <c r="Y111" s="2"/>
      <c r="Z111" s="6">
        <f t="shared" si="83"/>
        <v>-1</v>
      </c>
    </row>
    <row r="112" spans="1:26" s="24" customFormat="1" hidden="1" outlineLevel="2" x14ac:dyDescent="0.25">
      <c r="A112" s="29"/>
      <c r="B112" s="11" t="str">
        <f>CONCATENATE("          ", "6247", " - ", "STORE SUPPLIES")</f>
        <v xml:space="preserve">          6247 - STORE SUPPLIES</v>
      </c>
      <c r="C112" s="11"/>
      <c r="D112" s="7">
        <v>366.64</v>
      </c>
      <c r="E112" s="2"/>
      <c r="F112" s="6">
        <f t="shared" si="76"/>
        <v>5.3221101028511129E-4</v>
      </c>
      <c r="G112" s="2"/>
      <c r="H112" s="7">
        <v>286.64999999999998</v>
      </c>
      <c r="I112" s="2"/>
      <c r="J112" s="6">
        <f t="shared" si="77"/>
        <v>3.833869660468811E-4</v>
      </c>
      <c r="K112" s="2"/>
      <c r="L112" s="7">
        <f t="shared" si="78"/>
        <v>79.990000000000009</v>
      </c>
      <c r="M112" s="2"/>
      <c r="N112" s="6">
        <f t="shared" si="79"/>
        <v>0.27905110762253627</v>
      </c>
      <c r="O112" s="11"/>
      <c r="P112" s="7">
        <v>366.64</v>
      </c>
      <c r="Q112" s="2"/>
      <c r="R112" s="6">
        <f t="shared" si="80"/>
        <v>5.3221101028511129E-4</v>
      </c>
      <c r="S112" s="2"/>
      <c r="T112" s="7">
        <v>286.64999999999998</v>
      </c>
      <c r="U112" s="2"/>
      <c r="V112" s="6">
        <f t="shared" si="81"/>
        <v>3.833869660468811E-4</v>
      </c>
      <c r="W112" s="2"/>
      <c r="X112" s="7">
        <f t="shared" si="82"/>
        <v>79.990000000000009</v>
      </c>
      <c r="Y112" s="2"/>
      <c r="Z112" s="6">
        <f t="shared" si="83"/>
        <v>0.27905110762253627</v>
      </c>
    </row>
    <row r="113" spans="1:26" s="24" customFormat="1" hidden="1" outlineLevel="2" x14ac:dyDescent="0.25">
      <c r="A113" s="29"/>
      <c r="B113" s="11" t="str">
        <f>CONCATENATE("          ", "6248", " - ", "UNIFORMS")</f>
        <v xml:space="preserve">          6248 - UNIFORMS</v>
      </c>
      <c r="C113" s="11"/>
      <c r="D113" s="7">
        <v>-4989.91</v>
      </c>
      <c r="E113" s="2"/>
      <c r="F113" s="6">
        <f t="shared" si="76"/>
        <v>-7.2433041739356861E-3</v>
      </c>
      <c r="G113" s="2"/>
      <c r="H113" s="7">
        <v>9975</v>
      </c>
      <c r="I113" s="2"/>
      <c r="J113" s="6">
        <f t="shared" si="77"/>
        <v>1.3341304679287073E-2</v>
      </c>
      <c r="K113" s="2"/>
      <c r="L113" s="7">
        <f t="shared" si="78"/>
        <v>-14964.91</v>
      </c>
      <c r="M113" s="2"/>
      <c r="N113" s="6">
        <f t="shared" si="79"/>
        <v>-1.500241604010025</v>
      </c>
      <c r="O113" s="11"/>
      <c r="P113" s="7">
        <v>-4989.91</v>
      </c>
      <c r="Q113" s="2"/>
      <c r="R113" s="6">
        <f t="shared" si="80"/>
        <v>-7.2433041739356861E-3</v>
      </c>
      <c r="S113" s="2"/>
      <c r="T113" s="7">
        <v>9975</v>
      </c>
      <c r="U113" s="2"/>
      <c r="V113" s="6">
        <f t="shared" si="81"/>
        <v>1.3341304679287073E-2</v>
      </c>
      <c r="W113" s="2"/>
      <c r="X113" s="7">
        <f t="shared" si="82"/>
        <v>-14964.91</v>
      </c>
      <c r="Y113" s="2"/>
      <c r="Z113" s="6">
        <f t="shared" si="83"/>
        <v>-1.500241604010025</v>
      </c>
    </row>
    <row r="114" spans="1:26" s="27" customFormat="1" outlineLevel="1" collapsed="1" x14ac:dyDescent="0.25">
      <c r="A114" s="28"/>
      <c r="B114" s="14" t="str">
        <f>CONCATENATE("     ","Telephone/Data Lines                              ")</f>
        <v xml:space="preserve">     Telephone/Data Lines                              </v>
      </c>
      <c r="C114" s="14"/>
      <c r="D114" s="1">
        <f>SUM(OSRRefD22_20x_0)</f>
        <v>513.99</v>
      </c>
      <c r="E114" s="1"/>
      <c r="F114" s="5">
        <f t="shared" ref="F114:F116" si="84">IF(D$12=0,0,D114/D$12)</f>
        <v>7.4610281795888173E-4</v>
      </c>
      <c r="G114" s="1"/>
      <c r="H114" s="1">
        <f>SUM(OSRRefH22_20x_0)</f>
        <v>2416</v>
      </c>
      <c r="I114" s="1"/>
      <c r="J114" s="5">
        <f t="shared" ref="J114:J116" si="85">IF(H$12=0,0,H114/H$12)</f>
        <v>3.2313375544017614E-3</v>
      </c>
      <c r="K114" s="1"/>
      <c r="L114" s="1">
        <f t="shared" ref="L114:L116" si="86">+D114-H114</f>
        <v>-1902.01</v>
      </c>
      <c r="M114" s="1"/>
      <c r="N114" s="5">
        <f t="shared" ref="N114:N116" si="87">IF(H114=0,0,L114/H114)</f>
        <v>-0.7872557947019867</v>
      </c>
      <c r="O114" s="14"/>
      <c r="P114" s="1">
        <f>SUM(OSRRefP22_20x_0)</f>
        <v>513.99</v>
      </c>
      <c r="Q114" s="1"/>
      <c r="R114" s="5">
        <f t="shared" ref="R114:R116" si="88">IF(P$12=0,0,P114/P$12)</f>
        <v>7.4610281795888173E-4</v>
      </c>
      <c r="S114" s="1"/>
      <c r="T114" s="1">
        <f>SUM(OSRRefT22_20x_0)</f>
        <v>2416</v>
      </c>
      <c r="U114" s="1"/>
      <c r="V114" s="5">
        <f t="shared" ref="V114:V116" si="89">IF(T$12=0,0,T114/T$12)</f>
        <v>3.2313375544017614E-3</v>
      </c>
      <c r="W114" s="1"/>
      <c r="X114" s="1">
        <f t="shared" ref="X114:X116" si="90">+P114-T114</f>
        <v>-1902.01</v>
      </c>
      <c r="Y114" s="1"/>
      <c r="Z114" s="5">
        <f t="shared" ref="Z114:Z116" si="91">IF(T114=0,0,X114/T114)</f>
        <v>-0.7872557947019867</v>
      </c>
    </row>
    <row r="115" spans="1:26" s="24" customFormat="1" hidden="1" outlineLevel="2" x14ac:dyDescent="0.25">
      <c r="A115" s="29"/>
      <c r="B115" s="11" t="str">
        <f>CONCATENATE("          ", "6303", " - ", "DATA PHONE LINES")</f>
        <v xml:space="preserve">          6303 - DATA PHONE LINES</v>
      </c>
      <c r="C115" s="11"/>
      <c r="D115" s="7"/>
      <c r="E115" s="2"/>
      <c r="F115" s="6">
        <f t="shared" si="84"/>
        <v>0</v>
      </c>
      <c r="G115" s="2"/>
      <c r="H115" s="7">
        <v>398</v>
      </c>
      <c r="I115" s="2"/>
      <c r="J115" s="6">
        <f t="shared" si="85"/>
        <v>5.3231471301817097E-4</v>
      </c>
      <c r="K115" s="2"/>
      <c r="L115" s="7">
        <f t="shared" si="86"/>
        <v>-398</v>
      </c>
      <c r="M115" s="2"/>
      <c r="N115" s="6">
        <f t="shared" si="87"/>
        <v>-1</v>
      </c>
      <c r="O115" s="11"/>
      <c r="P115" s="7"/>
      <c r="Q115" s="2"/>
      <c r="R115" s="6">
        <f t="shared" si="88"/>
        <v>0</v>
      </c>
      <c r="S115" s="2"/>
      <c r="T115" s="7">
        <v>398</v>
      </c>
      <c r="U115" s="2"/>
      <c r="V115" s="6">
        <f t="shared" si="89"/>
        <v>5.3231471301817097E-4</v>
      </c>
      <c r="W115" s="2"/>
      <c r="X115" s="7">
        <f t="shared" si="90"/>
        <v>-398</v>
      </c>
      <c r="Y115" s="2"/>
      <c r="Z115" s="6">
        <f t="shared" si="91"/>
        <v>-1</v>
      </c>
    </row>
    <row r="116" spans="1:26" s="24" customFormat="1" hidden="1" outlineLevel="2" x14ac:dyDescent="0.25">
      <c r="A116" s="29"/>
      <c r="B116" s="11" t="str">
        <f>CONCATENATE("          ", "6309", " - ", "TELEPHONE")</f>
        <v xml:space="preserve">          6309 - TELEPHONE</v>
      </c>
      <c r="C116" s="11"/>
      <c r="D116" s="7">
        <v>513.99</v>
      </c>
      <c r="E116" s="2"/>
      <c r="F116" s="6">
        <f t="shared" si="84"/>
        <v>7.4610281795888173E-4</v>
      </c>
      <c r="G116" s="2"/>
      <c r="H116" s="7">
        <v>2018</v>
      </c>
      <c r="I116" s="2"/>
      <c r="J116" s="6">
        <f t="shared" si="85"/>
        <v>2.6990228413835901E-3</v>
      </c>
      <c r="K116" s="2"/>
      <c r="L116" s="7">
        <f t="shared" si="86"/>
        <v>-1504.01</v>
      </c>
      <c r="M116" s="2"/>
      <c r="N116" s="6">
        <f t="shared" si="87"/>
        <v>-0.74529732408325078</v>
      </c>
      <c r="O116" s="11"/>
      <c r="P116" s="7">
        <v>513.99</v>
      </c>
      <c r="Q116" s="2"/>
      <c r="R116" s="6">
        <f t="shared" si="88"/>
        <v>7.4610281795888173E-4</v>
      </c>
      <c r="S116" s="2"/>
      <c r="T116" s="7">
        <v>2018</v>
      </c>
      <c r="U116" s="2"/>
      <c r="V116" s="6">
        <f t="shared" si="89"/>
        <v>2.6990228413835901E-3</v>
      </c>
      <c r="W116" s="2"/>
      <c r="X116" s="7">
        <f t="shared" si="90"/>
        <v>-1504.01</v>
      </c>
      <c r="Y116" s="2"/>
      <c r="Z116" s="6">
        <f t="shared" si="91"/>
        <v>-0.74529732408325078</v>
      </c>
    </row>
    <row r="117" spans="1:26" s="27" customFormat="1" outlineLevel="1" collapsed="1" x14ac:dyDescent="0.25">
      <c r="A117" s="28"/>
      <c r="B117" s="14" t="str">
        <f>CONCATENATE("     ","Training                                          ")</f>
        <v xml:space="preserve">     Training                                          </v>
      </c>
      <c r="C117" s="14"/>
      <c r="D117" s="1">
        <f>SUM(OSRRefD22_21x_0)</f>
        <v>4075.22</v>
      </c>
      <c r="E117" s="1"/>
      <c r="F117" s="5">
        <f t="shared" ref="F117:F122" si="92">IF(D$12=0,0,D117/D$12)</f>
        <v>5.9155491853973693E-3</v>
      </c>
      <c r="G117" s="1"/>
      <c r="H117" s="1">
        <f>SUM(OSRRefH22_21x_0)</f>
        <v>2919</v>
      </c>
      <c r="I117" s="1"/>
      <c r="J117" s="5">
        <f t="shared" ref="J117:J122" si="93">IF(H$12=0,0,H117/H$12)</f>
        <v>3.9040870535176908E-3</v>
      </c>
      <c r="K117" s="1"/>
      <c r="L117" s="1">
        <f t="shared" ref="L117:L122" si="94">+D117-H117</f>
        <v>1156.2199999999998</v>
      </c>
      <c r="M117" s="1"/>
      <c r="N117" s="5">
        <f t="shared" ref="N117:N122" si="95">IF(H117=0,0,L117/H117)</f>
        <v>0.39610140459061316</v>
      </c>
      <c r="O117" s="14"/>
      <c r="P117" s="1">
        <f>SUM(OSRRefP22_21x_0)</f>
        <v>4075.22</v>
      </c>
      <c r="Q117" s="1"/>
      <c r="R117" s="5">
        <f t="shared" ref="R117:R122" si="96">IF(P$12=0,0,P117/P$12)</f>
        <v>5.9155491853973693E-3</v>
      </c>
      <c r="S117" s="1"/>
      <c r="T117" s="1">
        <f>SUM(OSRRefT22_21x_0)</f>
        <v>2919</v>
      </c>
      <c r="U117" s="1"/>
      <c r="V117" s="5">
        <f t="shared" ref="V117:V122" si="97">IF(T$12=0,0,T117/T$12)</f>
        <v>3.9040870535176908E-3</v>
      </c>
      <c r="W117" s="1"/>
      <c r="X117" s="1">
        <f t="shared" ref="X117:X122" si="98">+P117-T117</f>
        <v>1156.2199999999998</v>
      </c>
      <c r="Y117" s="1"/>
      <c r="Z117" s="5">
        <f t="shared" ref="Z117:Z122" si="99">IF(T117=0,0,X117/T117)</f>
        <v>0.39610140459061316</v>
      </c>
    </row>
    <row r="118" spans="1:26" s="24" customFormat="1" hidden="1" outlineLevel="2" x14ac:dyDescent="0.25">
      <c r="A118" s="29"/>
      <c r="B118" s="11" t="str">
        <f>CONCATENATE("          ", "6376", " - ", "TRAINING")</f>
        <v xml:space="preserve">          6376 - TRAINING</v>
      </c>
      <c r="C118" s="11"/>
      <c r="D118" s="7">
        <v>4075.22</v>
      </c>
      <c r="E118" s="2"/>
      <c r="F118" s="6">
        <f t="shared" si="92"/>
        <v>5.9155491853973693E-3</v>
      </c>
      <c r="G118" s="2"/>
      <c r="H118" s="7">
        <v>2919</v>
      </c>
      <c r="I118" s="2"/>
      <c r="J118" s="6">
        <f t="shared" si="93"/>
        <v>3.9040870535176908E-3</v>
      </c>
      <c r="K118" s="2"/>
      <c r="L118" s="7">
        <f t="shared" si="94"/>
        <v>1156.2199999999998</v>
      </c>
      <c r="M118" s="2"/>
      <c r="N118" s="6">
        <f t="shared" si="95"/>
        <v>0.39610140459061316</v>
      </c>
      <c r="O118" s="11"/>
      <c r="P118" s="7">
        <v>4075.22</v>
      </c>
      <c r="Q118" s="2"/>
      <c r="R118" s="6">
        <f t="shared" si="96"/>
        <v>5.9155491853973693E-3</v>
      </c>
      <c r="S118" s="2"/>
      <c r="T118" s="7">
        <v>2919</v>
      </c>
      <c r="U118" s="2"/>
      <c r="V118" s="6">
        <f t="shared" si="97"/>
        <v>3.9040870535176908E-3</v>
      </c>
      <c r="W118" s="2"/>
      <c r="X118" s="7">
        <f t="shared" si="98"/>
        <v>1156.2199999999998</v>
      </c>
      <c r="Y118" s="2"/>
      <c r="Z118" s="6">
        <f t="shared" si="99"/>
        <v>0.39610140459061316</v>
      </c>
    </row>
    <row r="119" spans="1:26" s="27" customFormat="1" outlineLevel="1" collapsed="1" x14ac:dyDescent="0.25">
      <c r="A119" s="28"/>
      <c r="B119" s="14" t="str">
        <f>CONCATENATE("     ","Travel                                            ")</f>
        <v xml:space="preserve">     Travel                                            </v>
      </c>
      <c r="C119" s="14"/>
      <c r="D119" s="1">
        <f>SUM(OSRRefD22_22x_0)</f>
        <v>2332.8299999999995</v>
      </c>
      <c r="E119" s="1"/>
      <c r="F119" s="5">
        <f t="shared" si="92"/>
        <v>3.3863130349209469E-3</v>
      </c>
      <c r="G119" s="1"/>
      <c r="H119" s="1">
        <f>SUM(OSRRefH22_22x_0)</f>
        <v>5610</v>
      </c>
      <c r="I119" s="1"/>
      <c r="J119" s="5">
        <f t="shared" si="93"/>
        <v>7.5032300000802488E-3</v>
      </c>
      <c r="K119" s="1"/>
      <c r="L119" s="1">
        <f t="shared" si="94"/>
        <v>-3277.1700000000005</v>
      </c>
      <c r="M119" s="1"/>
      <c r="N119" s="5">
        <f t="shared" si="95"/>
        <v>-0.58416577540106962</v>
      </c>
      <c r="O119" s="14"/>
      <c r="P119" s="1">
        <f>SUM(OSRRefP22_22x_0)</f>
        <v>2332.8299999999995</v>
      </c>
      <c r="Q119" s="1"/>
      <c r="R119" s="5">
        <f t="shared" si="96"/>
        <v>3.3863130349209469E-3</v>
      </c>
      <c r="S119" s="1"/>
      <c r="T119" s="1">
        <f>SUM(OSRRefT22_22x_0)</f>
        <v>5610</v>
      </c>
      <c r="U119" s="1"/>
      <c r="V119" s="5">
        <f t="shared" si="97"/>
        <v>7.5032300000802488E-3</v>
      </c>
      <c r="W119" s="1"/>
      <c r="X119" s="1">
        <f t="shared" si="98"/>
        <v>-3277.1700000000005</v>
      </c>
      <c r="Y119" s="1"/>
      <c r="Z119" s="5">
        <f t="shared" si="99"/>
        <v>-0.58416577540106962</v>
      </c>
    </row>
    <row r="120" spans="1:26" s="24" customFormat="1" hidden="1" outlineLevel="2" x14ac:dyDescent="0.25">
      <c r="A120" s="29"/>
      <c r="B120" s="11" t="str">
        <f>CONCATENATE("          ", "6292", " - ", "TRAVEL/CONFERENCE")</f>
        <v xml:space="preserve">          6292 - TRAVEL/CONFERENCE</v>
      </c>
      <c r="C120" s="11"/>
      <c r="D120" s="7">
        <v>2073.7399999999998</v>
      </c>
      <c r="E120" s="2"/>
      <c r="F120" s="6">
        <f t="shared" si="92"/>
        <v>3.0102205445904614E-3</v>
      </c>
      <c r="G120" s="2"/>
      <c r="H120" s="7">
        <v>5500</v>
      </c>
      <c r="I120" s="2"/>
      <c r="J120" s="6">
        <f t="shared" si="93"/>
        <v>7.35610784321593E-3</v>
      </c>
      <c r="K120" s="2"/>
      <c r="L120" s="7">
        <f t="shared" si="94"/>
        <v>-3426.26</v>
      </c>
      <c r="M120" s="2"/>
      <c r="N120" s="6">
        <f t="shared" si="95"/>
        <v>-0.62295636363636364</v>
      </c>
      <c r="O120" s="11"/>
      <c r="P120" s="7">
        <v>2073.7399999999998</v>
      </c>
      <c r="Q120" s="2"/>
      <c r="R120" s="6">
        <f t="shared" si="96"/>
        <v>3.0102205445904614E-3</v>
      </c>
      <c r="S120" s="2"/>
      <c r="T120" s="7">
        <v>5500</v>
      </c>
      <c r="U120" s="2"/>
      <c r="V120" s="6">
        <f t="shared" si="97"/>
        <v>7.35610784321593E-3</v>
      </c>
      <c r="W120" s="2"/>
      <c r="X120" s="7">
        <f t="shared" si="98"/>
        <v>-3426.26</v>
      </c>
      <c r="Y120" s="2"/>
      <c r="Z120" s="6">
        <f t="shared" si="99"/>
        <v>-0.62295636363636364</v>
      </c>
    </row>
    <row r="121" spans="1:26" s="24" customFormat="1" hidden="1" outlineLevel="2" x14ac:dyDescent="0.25">
      <c r="A121" s="29"/>
      <c r="B121" s="11" t="str">
        <f>CONCATENATE("          ", "6294", " - ", "TRAVEL OPERATIONAL")</f>
        <v xml:space="preserve">          6294 - TRAVEL OPERATIONAL</v>
      </c>
      <c r="C121" s="11"/>
      <c r="D121" s="7">
        <v>45.49</v>
      </c>
      <c r="E121" s="2"/>
      <c r="F121" s="6">
        <f t="shared" si="92"/>
        <v>6.6032835636781905E-5</v>
      </c>
      <c r="G121" s="2"/>
      <c r="H121" s="7"/>
      <c r="I121" s="2"/>
      <c r="J121" s="6">
        <f t="shared" si="93"/>
        <v>0</v>
      </c>
      <c r="K121" s="2"/>
      <c r="L121" s="7">
        <f t="shared" si="94"/>
        <v>45.49</v>
      </c>
      <c r="M121" s="2"/>
      <c r="N121" s="6">
        <f t="shared" si="95"/>
        <v>0</v>
      </c>
      <c r="O121" s="11"/>
      <c r="P121" s="7">
        <v>45.49</v>
      </c>
      <c r="Q121" s="2"/>
      <c r="R121" s="6">
        <f t="shared" si="96"/>
        <v>6.6032835636781905E-5</v>
      </c>
      <c r="S121" s="2"/>
      <c r="T121" s="7"/>
      <c r="U121" s="2"/>
      <c r="V121" s="6">
        <f t="shared" si="97"/>
        <v>0</v>
      </c>
      <c r="W121" s="2"/>
      <c r="X121" s="7">
        <f t="shared" si="98"/>
        <v>45.49</v>
      </c>
      <c r="Y121" s="2"/>
      <c r="Z121" s="6">
        <f t="shared" si="99"/>
        <v>0</v>
      </c>
    </row>
    <row r="122" spans="1:26" s="24" customFormat="1" hidden="1" outlineLevel="2" x14ac:dyDescent="0.25">
      <c r="A122" s="29"/>
      <c r="B122" s="11" t="str">
        <f>CONCATENATE("          ", "6298", " - ", "VEHICLE MILEAGE")</f>
        <v xml:space="preserve">          6298 - VEHICLE MILEAGE</v>
      </c>
      <c r="C122" s="11"/>
      <c r="D122" s="7">
        <v>213.6</v>
      </c>
      <c r="E122" s="2"/>
      <c r="F122" s="6">
        <f t="shared" si="92"/>
        <v>3.1005965469370442E-4</v>
      </c>
      <c r="G122" s="2"/>
      <c r="H122" s="7">
        <v>110</v>
      </c>
      <c r="I122" s="2"/>
      <c r="J122" s="6">
        <f t="shared" si="93"/>
        <v>1.4712215686431859E-4</v>
      </c>
      <c r="K122" s="2"/>
      <c r="L122" s="7">
        <f t="shared" si="94"/>
        <v>103.6</v>
      </c>
      <c r="M122" s="2"/>
      <c r="N122" s="6">
        <f t="shared" si="95"/>
        <v>0.94181818181818178</v>
      </c>
      <c r="O122" s="11"/>
      <c r="P122" s="7">
        <v>213.6</v>
      </c>
      <c r="Q122" s="2"/>
      <c r="R122" s="6">
        <f t="shared" si="96"/>
        <v>3.1005965469370442E-4</v>
      </c>
      <c r="S122" s="2"/>
      <c r="T122" s="7">
        <v>110</v>
      </c>
      <c r="U122" s="2"/>
      <c r="V122" s="6">
        <f t="shared" si="97"/>
        <v>1.4712215686431859E-4</v>
      </c>
      <c r="W122" s="2"/>
      <c r="X122" s="7">
        <f t="shared" si="98"/>
        <v>103.6</v>
      </c>
      <c r="Y122" s="2"/>
      <c r="Z122" s="6">
        <f t="shared" si="99"/>
        <v>0.94181818181818178</v>
      </c>
    </row>
    <row r="123" spans="1:26" s="27" customFormat="1" outlineLevel="1" collapsed="1" x14ac:dyDescent="0.25">
      <c r="A123" s="28"/>
      <c r="B123" s="14" t="str">
        <f>CONCATENATE("     ","Utilities                                         ")</f>
        <v xml:space="preserve">     Utilities                                         </v>
      </c>
      <c r="C123" s="14"/>
      <c r="D123" s="1">
        <f>SUM(OSRRefD22_23x_0)</f>
        <v>13691</v>
      </c>
      <c r="E123" s="1"/>
      <c r="F123" s="5">
        <f t="shared" ref="F123:F124" si="100">IF(D$12=0,0,D123/D$12)</f>
        <v>1.9873720657357243E-2</v>
      </c>
      <c r="G123" s="1"/>
      <c r="H123" s="1">
        <f>SUM(OSRRefH22_23x_0)</f>
        <v>17450</v>
      </c>
      <c r="I123" s="1"/>
      <c r="J123" s="5">
        <f t="shared" ref="J123:J124" si="101">IF(H$12=0,0,H123/H$12)</f>
        <v>2.3338923975294176E-2</v>
      </c>
      <c r="K123" s="1"/>
      <c r="L123" s="1">
        <f t="shared" ref="L123:L124" si="102">+D123-H123</f>
        <v>-3759</v>
      </c>
      <c r="M123" s="1"/>
      <c r="N123" s="5">
        <f t="shared" ref="N123:N124" si="103">IF(H123=0,0,L123/H123)</f>
        <v>-0.21541547277936962</v>
      </c>
      <c r="O123" s="14"/>
      <c r="P123" s="1">
        <f>SUM(OSRRefP22_23x_0)</f>
        <v>13691</v>
      </c>
      <c r="Q123" s="1"/>
      <c r="R123" s="5">
        <f t="shared" ref="R123:R124" si="104">IF(P$12=0,0,P123/P$12)</f>
        <v>1.9873720657357243E-2</v>
      </c>
      <c r="S123" s="1"/>
      <c r="T123" s="1">
        <f>SUM(OSRRefT22_23x_0)</f>
        <v>17450</v>
      </c>
      <c r="U123" s="1"/>
      <c r="V123" s="5">
        <f t="shared" ref="V123:V124" si="105">IF(T$12=0,0,T123/T$12)</f>
        <v>2.3338923975294176E-2</v>
      </c>
      <c r="W123" s="1"/>
      <c r="X123" s="1">
        <f t="shared" ref="X123:X124" si="106">+P123-T123</f>
        <v>-3759</v>
      </c>
      <c r="Y123" s="1"/>
      <c r="Z123" s="5">
        <f t="shared" ref="Z123:Z124" si="107">IF(T123=0,0,X123/T123)</f>
        <v>-0.21541547277936962</v>
      </c>
    </row>
    <row r="124" spans="1:26" s="24" customFormat="1" hidden="1" outlineLevel="2" x14ac:dyDescent="0.25">
      <c r="A124" s="29"/>
      <c r="B124" s="11" t="str">
        <f>CONCATENATE("          ", "6274", " - ", "UTILITIES")</f>
        <v xml:space="preserve">          6274 - UTILITIES</v>
      </c>
      <c r="C124" s="11"/>
      <c r="D124" s="7">
        <v>13691</v>
      </c>
      <c r="E124" s="2"/>
      <c r="F124" s="6">
        <f t="shared" si="100"/>
        <v>1.9873720657357243E-2</v>
      </c>
      <c r="G124" s="2"/>
      <c r="H124" s="7">
        <v>17450</v>
      </c>
      <c r="I124" s="2"/>
      <c r="J124" s="6">
        <f t="shared" si="101"/>
        <v>2.3338923975294176E-2</v>
      </c>
      <c r="K124" s="2"/>
      <c r="L124" s="7">
        <f t="shared" si="102"/>
        <v>-3759</v>
      </c>
      <c r="M124" s="2"/>
      <c r="N124" s="6">
        <f t="shared" si="103"/>
        <v>-0.21541547277936962</v>
      </c>
      <c r="O124" s="11"/>
      <c r="P124" s="7">
        <v>13691</v>
      </c>
      <c r="Q124" s="2"/>
      <c r="R124" s="6">
        <f t="shared" si="104"/>
        <v>1.9873720657357243E-2</v>
      </c>
      <c r="S124" s="2"/>
      <c r="T124" s="7">
        <v>17450</v>
      </c>
      <c r="U124" s="2"/>
      <c r="V124" s="6">
        <f t="shared" si="105"/>
        <v>2.3338923975294176E-2</v>
      </c>
      <c r="W124" s="2"/>
      <c r="X124" s="7">
        <f t="shared" si="106"/>
        <v>-3759</v>
      </c>
      <c r="Y124" s="2"/>
      <c r="Z124" s="6">
        <f t="shared" si="107"/>
        <v>-0.21541547277936962</v>
      </c>
    </row>
    <row r="125" spans="1:26" s="57" customFormat="1" x14ac:dyDescent="0.25">
      <c r="A125" s="36"/>
      <c r="B125" s="36"/>
      <c r="C125" s="36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6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3" customFormat="1" collapsed="1" x14ac:dyDescent="0.25">
      <c r="A126" s="10"/>
      <c r="B126" s="25" t="s">
        <v>0</v>
      </c>
      <c r="C126" s="10"/>
      <c r="D126" s="4">
        <f>SUM(OSRRefD25x_0)</f>
        <v>50933.41</v>
      </c>
      <c r="E126" s="4"/>
      <c r="F126" s="12">
        <f t="shared" ref="F126:F130" si="108">IF(D$12=0,0,D126/D$12)</f>
        <v>7.3934435940884238E-2</v>
      </c>
      <c r="G126" s="4"/>
      <c r="H126" s="4">
        <f>SUM(OSRRefH25x_0)</f>
        <v>29503</v>
      </c>
      <c r="I126" s="4"/>
      <c r="J126" s="12">
        <f t="shared" ref="J126:J130" si="109">IF(H$12=0,0,H126/H$12)</f>
        <v>3.9459499945163561E-2</v>
      </c>
      <c r="K126" s="4"/>
      <c r="L126" s="4">
        <f t="shared" ref="L126:L130" si="110">+D126-H126</f>
        <v>21430.410000000003</v>
      </c>
      <c r="M126" s="4"/>
      <c r="N126" s="12">
        <f t="shared" ref="N126:N130" si="111">IF(H126=0,0,L126/H126)</f>
        <v>0.72638070704674118</v>
      </c>
      <c r="O126" s="10"/>
      <c r="P126" s="4">
        <f>SUM(OSRRefP25x_0)</f>
        <v>50933.41</v>
      </c>
      <c r="Q126" s="4"/>
      <c r="R126" s="12">
        <f t="shared" ref="R126:R130" si="112">IF(P$12=0,0,P126/P$12)</f>
        <v>7.3934435940884238E-2</v>
      </c>
      <c r="S126" s="4"/>
      <c r="T126" s="4">
        <f>SUM(OSRRefT25x_0)</f>
        <v>29503</v>
      </c>
      <c r="U126" s="4"/>
      <c r="V126" s="12">
        <f t="shared" ref="V126:V130" si="113">IF(T$12=0,0,T126/T$12)</f>
        <v>3.9459499945163561E-2</v>
      </c>
      <c r="W126" s="4"/>
      <c r="X126" s="4">
        <f t="shared" ref="X126:X130" si="114">+P126-T126</f>
        <v>21430.410000000003</v>
      </c>
      <c r="Y126" s="4"/>
      <c r="Z126" s="12">
        <f t="shared" ref="Z126:Z130" si="115">IF(T126=0,0,X126/T126)</f>
        <v>0.72638070704674118</v>
      </c>
    </row>
    <row r="127" spans="1:26" s="24" customFormat="1" hidden="1" outlineLevel="1" x14ac:dyDescent="0.25">
      <c r="A127" s="51"/>
      <c r="B127" s="11" t="str">
        <f>CONCATENATE("          ", "9150", " - ", "MISC. INCOME")</f>
        <v xml:space="preserve">          9150 - MISC. INCOME</v>
      </c>
      <c r="C127" s="11"/>
      <c r="D127" s="2">
        <f>--41260.26</f>
        <v>41260.26</v>
      </c>
      <c r="E127" s="2"/>
      <c r="F127" s="22">
        <f t="shared" si="108"/>
        <v>5.9892986742380458E-2</v>
      </c>
      <c r="G127" s="2"/>
      <c r="H127" s="2">
        <v>17422</v>
      </c>
      <c r="I127" s="2"/>
      <c r="J127" s="22">
        <f t="shared" si="109"/>
        <v>2.3301474699001443E-2</v>
      </c>
      <c r="K127" s="2"/>
      <c r="L127" s="2">
        <f t="shared" si="110"/>
        <v>23838.260000000002</v>
      </c>
      <c r="M127" s="2"/>
      <c r="N127" s="22">
        <f t="shared" si="111"/>
        <v>1.3682849271036621</v>
      </c>
      <c r="O127" s="11"/>
      <c r="P127" s="2">
        <f>--41260.26</f>
        <v>41260.26</v>
      </c>
      <c r="Q127" s="2"/>
      <c r="R127" s="22">
        <f t="shared" si="112"/>
        <v>5.9892986742380458E-2</v>
      </c>
      <c r="S127" s="2"/>
      <c r="T127" s="2">
        <v>17422</v>
      </c>
      <c r="U127" s="2"/>
      <c r="V127" s="22">
        <f t="shared" si="113"/>
        <v>2.3301474699001443E-2</v>
      </c>
      <c r="W127" s="2"/>
      <c r="X127" s="2">
        <f t="shared" si="114"/>
        <v>23838.260000000002</v>
      </c>
      <c r="Y127" s="2"/>
      <c r="Z127" s="22">
        <f t="shared" si="115"/>
        <v>1.3682849271036621</v>
      </c>
    </row>
    <row r="128" spans="1:26" s="24" customFormat="1" hidden="1" outlineLevel="1" x14ac:dyDescent="0.25">
      <c r="A128" s="51"/>
      <c r="B128" s="11" t="str">
        <f>CONCATENATE("          ", "9151", " - ", "MISC. INCOME")</f>
        <v xml:space="preserve">          9151 - MISC. INCOME</v>
      </c>
      <c r="C128" s="11"/>
      <c r="D128" s="2">
        <f>0</f>
        <v>0</v>
      </c>
      <c r="E128" s="2"/>
      <c r="F128" s="22">
        <f t="shared" si="108"/>
        <v>0</v>
      </c>
      <c r="G128" s="2"/>
      <c r="H128" s="2">
        <v>12081</v>
      </c>
      <c r="I128" s="2"/>
      <c r="J128" s="22">
        <f t="shared" si="109"/>
        <v>1.6158025246162118E-2</v>
      </c>
      <c r="K128" s="2"/>
      <c r="L128" s="2">
        <f t="shared" si="110"/>
        <v>-12081</v>
      </c>
      <c r="M128" s="2"/>
      <c r="N128" s="22">
        <f t="shared" si="111"/>
        <v>-1</v>
      </c>
      <c r="O128" s="11"/>
      <c r="P128" s="2">
        <f>0</f>
        <v>0</v>
      </c>
      <c r="Q128" s="2"/>
      <c r="R128" s="22">
        <f t="shared" si="112"/>
        <v>0</v>
      </c>
      <c r="S128" s="2"/>
      <c r="T128" s="2">
        <v>12081</v>
      </c>
      <c r="U128" s="2"/>
      <c r="V128" s="22">
        <f t="shared" si="113"/>
        <v>1.6158025246162118E-2</v>
      </c>
      <c r="W128" s="2"/>
      <c r="X128" s="2">
        <f t="shared" si="114"/>
        <v>-12081</v>
      </c>
      <c r="Y128" s="2"/>
      <c r="Z128" s="22">
        <f t="shared" si="115"/>
        <v>-1</v>
      </c>
    </row>
    <row r="129" spans="1:26" s="24" customFormat="1" hidden="1" outlineLevel="1" x14ac:dyDescent="0.25">
      <c r="A129" s="51"/>
      <c r="B129" s="11" t="str">
        <f>CONCATENATE("          ", "9160", " - ", "MISC. INCOME")</f>
        <v xml:space="preserve">          9160 - MISC. INCOME</v>
      </c>
      <c r="C129" s="11"/>
      <c r="D129" s="2">
        <f>--5992.1</f>
        <v>5992.1</v>
      </c>
      <c r="E129" s="2"/>
      <c r="F129" s="22">
        <f t="shared" si="108"/>
        <v>8.6980733000475013E-3</v>
      </c>
      <c r="G129" s="2"/>
      <c r="H129" s="2"/>
      <c r="I129" s="2"/>
      <c r="J129" s="22">
        <f t="shared" si="109"/>
        <v>0</v>
      </c>
      <c r="K129" s="2"/>
      <c r="L129" s="2">
        <f t="shared" si="110"/>
        <v>5992.1</v>
      </c>
      <c r="M129" s="2"/>
      <c r="N129" s="22">
        <f t="shared" si="111"/>
        <v>0</v>
      </c>
      <c r="O129" s="11"/>
      <c r="P129" s="2">
        <f>--5992.1</f>
        <v>5992.1</v>
      </c>
      <c r="Q129" s="2"/>
      <c r="R129" s="22">
        <f t="shared" si="112"/>
        <v>8.6980733000475013E-3</v>
      </c>
      <c r="S129" s="2"/>
      <c r="T129" s="2"/>
      <c r="U129" s="2"/>
      <c r="V129" s="22">
        <f t="shared" si="113"/>
        <v>0</v>
      </c>
      <c r="W129" s="2"/>
      <c r="X129" s="2">
        <f t="shared" si="114"/>
        <v>5992.1</v>
      </c>
      <c r="Y129" s="2"/>
      <c r="Z129" s="22">
        <f t="shared" si="115"/>
        <v>0</v>
      </c>
    </row>
    <row r="130" spans="1:26" s="24" customFormat="1" hidden="1" outlineLevel="1" x14ac:dyDescent="0.25">
      <c r="A130" s="51"/>
      <c r="B130" s="11" t="str">
        <f>CONCATENATE("          ", "9165", " - ", "OTHER INCOME")</f>
        <v xml:space="preserve">          9165 - OTHER INCOME</v>
      </c>
      <c r="C130" s="11"/>
      <c r="D130" s="2">
        <f>--3681.05</f>
        <v>3681.05</v>
      </c>
      <c r="E130" s="2"/>
      <c r="F130" s="22">
        <f t="shared" si="108"/>
        <v>5.3433758984562764E-3</v>
      </c>
      <c r="G130" s="2"/>
      <c r="H130" s="2"/>
      <c r="I130" s="2"/>
      <c r="J130" s="22">
        <f t="shared" si="109"/>
        <v>0</v>
      </c>
      <c r="K130" s="2"/>
      <c r="L130" s="2">
        <f t="shared" si="110"/>
        <v>3681.05</v>
      </c>
      <c r="M130" s="2"/>
      <c r="N130" s="22">
        <f t="shared" si="111"/>
        <v>0</v>
      </c>
      <c r="O130" s="11"/>
      <c r="P130" s="2">
        <f>--3681.05</f>
        <v>3681.05</v>
      </c>
      <c r="Q130" s="2"/>
      <c r="R130" s="22">
        <f t="shared" si="112"/>
        <v>5.3433758984562764E-3</v>
      </c>
      <c r="S130" s="2"/>
      <c r="T130" s="2"/>
      <c r="U130" s="2"/>
      <c r="V130" s="22">
        <f t="shared" si="113"/>
        <v>0</v>
      </c>
      <c r="W130" s="2"/>
      <c r="X130" s="2">
        <f t="shared" si="114"/>
        <v>3681.05</v>
      </c>
      <c r="Y130" s="2"/>
      <c r="Z130" s="22">
        <f t="shared" si="115"/>
        <v>0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10"/>
      <c r="B132" s="26" t="s">
        <v>3</v>
      </c>
      <c r="C132" s="26"/>
      <c r="D132" s="21">
        <f>+D31-D33+D126</f>
        <v>-297575.26</v>
      </c>
      <c r="E132" s="13"/>
      <c r="F132" s="19">
        <f>IF(D$12=0,0,D132/D$12)</f>
        <v>-0.43195731442410729</v>
      </c>
      <c r="G132" s="13"/>
      <c r="H132" s="21">
        <f>+H31-H33+H126</f>
        <v>-264484.03873896494</v>
      </c>
      <c r="I132" s="13"/>
      <c r="J132" s="19">
        <f>IF(H$12=0,0,H132/H$12)</f>
        <v>-0.35374056577693197</v>
      </c>
      <c r="K132" s="15"/>
      <c r="L132" s="21">
        <f>+D132-H132</f>
        <v>-33091.221261035069</v>
      </c>
      <c r="M132" s="15"/>
      <c r="N132" s="19">
        <f>IF(H132=0,0,L132/H132)</f>
        <v>0.12511613713557501</v>
      </c>
      <c r="O132" s="25"/>
      <c r="P132" s="21">
        <f>+P31-P33+P126</f>
        <v>-297575.26</v>
      </c>
      <c r="Q132" s="13"/>
      <c r="R132" s="19">
        <f>IF(P$12=0,0,P132/P$12)</f>
        <v>-0.43195731442410729</v>
      </c>
      <c r="S132" s="13"/>
      <c r="T132" s="21">
        <f>+T31-T33+T126</f>
        <v>-264484.03873896494</v>
      </c>
      <c r="U132" s="13"/>
      <c r="V132" s="19">
        <f>IF(T$12=0,0,T132/T$12)</f>
        <v>-0.35374056577693197</v>
      </c>
      <c r="W132" s="15"/>
      <c r="X132" s="21">
        <f>+P132-T132</f>
        <v>-33091.221261035069</v>
      </c>
      <c r="Y132" s="15"/>
      <c r="Z132" s="19">
        <f>IF(T132=0,0,X132/T132)</f>
        <v>0.12511613713557501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52"/>
      <c r="B134" s="10" t="s">
        <v>14</v>
      </c>
      <c r="C134" s="10"/>
      <c r="D134" s="4">
        <v>143242.54</v>
      </c>
      <c r="E134" s="4"/>
      <c r="F134" s="12">
        <f>IF(D$12=0,0,D134/D$12)</f>
        <v>0.20792945922214021</v>
      </c>
      <c r="G134" s="4"/>
      <c r="H134" s="4">
        <v>182215</v>
      </c>
      <c r="I134" s="4"/>
      <c r="J134" s="12">
        <f>IF(H$12=0,0,H134/H$12)</f>
        <v>0.24370785284574376</v>
      </c>
      <c r="K134" s="4"/>
      <c r="L134" s="4">
        <f>+D134-H134</f>
        <v>-38972.459999999992</v>
      </c>
      <c r="M134" s="4"/>
      <c r="N134" s="12">
        <f>IF(H134=0,0,L134/H134)</f>
        <v>-0.21388173311747108</v>
      </c>
      <c r="O134" s="10"/>
      <c r="P134" s="4">
        <v>143242.54</v>
      </c>
      <c r="Q134" s="4"/>
      <c r="R134" s="12">
        <f>IF(P$12=0,0,P134/P$12)</f>
        <v>0.20792945922214021</v>
      </c>
      <c r="S134" s="4"/>
      <c r="T134" s="4">
        <v>182215</v>
      </c>
      <c r="U134" s="4"/>
      <c r="V134" s="12">
        <f>IF(T$12=0,0,T134/T$12)</f>
        <v>0.24370785284574376</v>
      </c>
      <c r="W134" s="4"/>
      <c r="X134" s="4">
        <f>+P134-T134</f>
        <v>-38972.459999999992</v>
      </c>
      <c r="Y134" s="4"/>
      <c r="Z134" s="12">
        <f>IF(T134=0,0,X134/T134)</f>
        <v>-0.21388173311747108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6" t="s">
        <v>4</v>
      </c>
      <c r="C136" s="26"/>
      <c r="D136" s="32">
        <f>+D132-D134</f>
        <v>-440817.80000000005</v>
      </c>
      <c r="E136" s="13"/>
      <c r="F136" s="31">
        <f>IF(D$12=0,0,D136/D$12)</f>
        <v>-0.63988677364624746</v>
      </c>
      <c r="G136" s="13"/>
      <c r="H136" s="32">
        <f>+H132-H134</f>
        <v>-446699.03873896494</v>
      </c>
      <c r="I136" s="13"/>
      <c r="J136" s="31">
        <f>IF(H$12=0,0,H136/H$12)</f>
        <v>-0.59744841862267573</v>
      </c>
      <c r="K136" s="15"/>
      <c r="L136" s="32">
        <f>D136-H136</f>
        <v>5881.2387389648939</v>
      </c>
      <c r="M136" s="15"/>
      <c r="N136" s="31">
        <f>IF(H136=0,0,L136/H136)</f>
        <v>-1.3165998197729905E-2</v>
      </c>
      <c r="O136" s="25"/>
      <c r="P136" s="32">
        <f>+P132-P134</f>
        <v>-440817.80000000005</v>
      </c>
      <c r="Q136" s="13"/>
      <c r="R136" s="31">
        <f>IF(P$12=0,0,P136/P$12)</f>
        <v>-0.63988677364624746</v>
      </c>
      <c r="S136" s="13"/>
      <c r="T136" s="32">
        <f>+T132-T134</f>
        <v>-446699.03873896494</v>
      </c>
      <c r="U136" s="13"/>
      <c r="V136" s="31">
        <f>IF(T$12=0,0,T136/T$12)</f>
        <v>-0.59744841862267573</v>
      </c>
      <c r="W136" s="15"/>
      <c r="X136" s="32">
        <f>P136-T136</f>
        <v>5881.2387389648939</v>
      </c>
      <c r="Y136" s="15"/>
      <c r="Z136" s="31">
        <f>IF(T136=0,0,X136/T136)</f>
        <v>-1.3165998197729905E-2</v>
      </c>
    </row>
    <row r="137" spans="1:26" ht="15.75" thickTop="1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ht="15.75" thickBot="1" x14ac:dyDescent="0.3">
      <c r="A139" s="10"/>
      <c r="B139" s="26" t="s">
        <v>5</v>
      </c>
      <c r="C139" s="26"/>
      <c r="D139" s="33">
        <f>SUM(D136:D138)</f>
        <v>-440817.80000000005</v>
      </c>
      <c r="E139" s="13"/>
      <c r="F139" s="34">
        <f>IF(D$12=0,0,D139/D$12)</f>
        <v>-0.63988677364624746</v>
      </c>
      <c r="G139" s="13"/>
      <c r="H139" s="33">
        <f>SUM(H136:H138)</f>
        <v>-446699.03873896494</v>
      </c>
      <c r="I139" s="13"/>
      <c r="J139" s="34">
        <f>IF(H$12=0,0,H139/H$12)</f>
        <v>-0.59744841862267573</v>
      </c>
      <c r="K139" s="15"/>
      <c r="L139" s="33">
        <f>+D139-H139</f>
        <v>5881.2387389648939</v>
      </c>
      <c r="M139" s="15"/>
      <c r="N139" s="34">
        <f>IF(H139=0,0,L139/H139)</f>
        <v>-1.3165998197729905E-2</v>
      </c>
      <c r="O139" s="25"/>
      <c r="P139" s="33">
        <f>SUM(P136:P138)</f>
        <v>-440817.80000000005</v>
      </c>
      <c r="Q139" s="13"/>
      <c r="R139" s="34">
        <f>IF(P$12=0,0,P139/P$12)</f>
        <v>-0.63988677364624746</v>
      </c>
      <c r="S139" s="13"/>
      <c r="T139" s="33">
        <f>SUM(T136:T138)</f>
        <v>-446699.03873896494</v>
      </c>
      <c r="U139" s="13"/>
      <c r="V139" s="34">
        <f>IF(T$12=0,0,T139/T$12)</f>
        <v>-0.59744841862267573</v>
      </c>
      <c r="W139" s="15"/>
      <c r="X139" s="33">
        <f>+P139-T139</f>
        <v>5881.2387389648939</v>
      </c>
      <c r="Y139" s="15"/>
      <c r="Z139" s="34">
        <f>IF(T139=0,0,X139/T139)</f>
        <v>-1.3165998197729905E-2</v>
      </c>
    </row>
    <row r="140" spans="1:26" ht="15.75" thickTop="1" x14ac:dyDescent="0.25">
      <c r="A140" s="9"/>
      <c r="C140" s="9"/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25">
      <c r="A141" s="9"/>
      <c r="B141" s="61">
        <v>43726.678274270831</v>
      </c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  <row r="142" spans="1:26" x14ac:dyDescent="0.25">
      <c r="A142" s="9"/>
      <c r="B142" s="56" t="s">
        <v>314</v>
      </c>
      <c r="D142" s="17"/>
      <c r="E142" s="17"/>
      <c r="G142" s="17"/>
      <c r="H142" s="17"/>
      <c r="I142" s="17"/>
      <c r="J142" s="42"/>
      <c r="K142" s="17"/>
      <c r="L142" s="17"/>
      <c r="M142" s="17"/>
      <c r="P142" s="17"/>
      <c r="Q142" s="17"/>
      <c r="R142" s="42"/>
      <c r="S142" s="17"/>
      <c r="T142" s="17"/>
      <c r="U142" s="17"/>
      <c r="V142" s="42"/>
      <c r="W142" s="17"/>
      <c r="X142" s="17"/>
    </row>
    <row r="143" spans="1:26" x14ac:dyDescent="0.25">
      <c r="A143" s="9"/>
      <c r="B143" s="53"/>
      <c r="D143" s="17"/>
      <c r="E143" s="17"/>
      <c r="G143" s="17"/>
      <c r="H143" s="17"/>
      <c r="I143" s="17"/>
      <c r="J143" s="42"/>
      <c r="K143" s="17"/>
      <c r="L143" s="17"/>
      <c r="M143" s="17"/>
      <c r="P143" s="17"/>
      <c r="Q143" s="17"/>
      <c r="R143" s="42"/>
      <c r="S143" s="17"/>
      <c r="T143" s="17"/>
      <c r="U143" s="17"/>
      <c r="V143" s="42"/>
      <c r="W143" s="17"/>
      <c r="X143" s="17"/>
    </row>
    <row r="144" spans="1:26" x14ac:dyDescent="0.25"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313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238290.77</v>
      </c>
      <c r="E12" s="4"/>
      <c r="F12" s="12"/>
      <c r="G12" s="4"/>
      <c r="H12" s="4">
        <f>SUM(OSRRefH13x_0)</f>
        <v>309709.2</v>
      </c>
      <c r="I12" s="4"/>
      <c r="J12" s="12"/>
      <c r="K12" s="4"/>
      <c r="L12" s="4">
        <f t="shared" ref="L12:L29" si="0">+D12-H12</f>
        <v>-71418.430000000022</v>
      </c>
      <c r="M12" s="4"/>
      <c r="N12" s="12">
        <f t="shared" ref="N12:N29" si="1">IF(H12=0,0,L12/H12)</f>
        <v>-0.23059834838616361</v>
      </c>
      <c r="O12" s="10"/>
      <c r="P12" s="4">
        <f>SUM(OSRRefP13x_0)</f>
        <v>238290.77</v>
      </c>
      <c r="Q12" s="4"/>
      <c r="R12" s="12"/>
      <c r="S12" s="4"/>
      <c r="T12" s="4">
        <f>SUM(OSRRefT13x_0)</f>
        <v>309709.2</v>
      </c>
      <c r="U12" s="4"/>
      <c r="V12" s="12"/>
      <c r="W12" s="4"/>
      <c r="X12" s="4">
        <f t="shared" ref="X12:X29" si="2">+P12-T12</f>
        <v>-71418.430000000022</v>
      </c>
      <c r="Y12" s="4"/>
      <c r="Z12" s="12">
        <f t="shared" ref="Z12:Z29" si="3">IF(T12=0,0,X12/T12)</f>
        <v>-0.23059834838616361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174623.2</v>
      </c>
      <c r="I13" s="2"/>
      <c r="J13" s="22"/>
      <c r="K13" s="2"/>
      <c r="L13" s="2">
        <f t="shared" si="0"/>
        <v>-174623.2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174623.2</v>
      </c>
      <c r="U13" s="2"/>
      <c r="V13" s="22"/>
      <c r="W13" s="2"/>
      <c r="X13" s="2">
        <f t="shared" si="2"/>
        <v>-174623.2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>--6880.26</f>
        <v>6880.26</v>
      </c>
      <c r="E14" s="2"/>
      <c r="F14" s="22"/>
      <c r="G14" s="2"/>
      <c r="H14" s="2"/>
      <c r="I14" s="2"/>
      <c r="J14" s="22"/>
      <c r="K14" s="2"/>
      <c r="L14" s="2">
        <f t="shared" si="0"/>
        <v>6880.26</v>
      </c>
      <c r="M14" s="2"/>
      <c r="N14" s="22">
        <f t="shared" si="1"/>
        <v>0</v>
      </c>
      <c r="O14" s="11"/>
      <c r="P14" s="2">
        <f>--6880.26</f>
        <v>6880.26</v>
      </c>
      <c r="Q14" s="2"/>
      <c r="R14" s="22"/>
      <c r="S14" s="2"/>
      <c r="T14" s="2"/>
      <c r="U14" s="2"/>
      <c r="V14" s="22"/>
      <c r="W14" s="2"/>
      <c r="X14" s="2">
        <f t="shared" si="2"/>
        <v>6880.26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"4034", " - ", "TAXABLE SALES-SODA")</f>
        <v xml:space="preserve">          4034 - TAXABLE SALES-SODA</v>
      </c>
      <c r="C15" s="11"/>
      <c r="D15" s="2">
        <f>--288.75</f>
        <v>288.75</v>
      </c>
      <c r="E15" s="2"/>
      <c r="F15" s="22"/>
      <c r="G15" s="2"/>
      <c r="H15" s="2"/>
      <c r="I15" s="2"/>
      <c r="J15" s="22"/>
      <c r="K15" s="2"/>
      <c r="L15" s="2">
        <f t="shared" si="0"/>
        <v>288.75</v>
      </c>
      <c r="M15" s="2"/>
      <c r="N15" s="22">
        <f t="shared" si="1"/>
        <v>0</v>
      </c>
      <c r="O15" s="11"/>
      <c r="P15" s="2">
        <f>--288.75</f>
        <v>288.75</v>
      </c>
      <c r="Q15" s="2"/>
      <c r="R15" s="22"/>
      <c r="S15" s="2"/>
      <c r="T15" s="2"/>
      <c r="U15" s="2"/>
      <c r="V15" s="22"/>
      <c r="W15" s="2"/>
      <c r="X15" s="2">
        <f t="shared" si="2"/>
        <v>288.75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"4051", " - ", "TAXABLE SALES-FOOD")</f>
        <v xml:space="preserve">          4051 - TAXABLE SALES-FOOD</v>
      </c>
      <c r="C16" s="11"/>
      <c r="D16" s="2">
        <f>--22606.37</f>
        <v>22606.37</v>
      </c>
      <c r="E16" s="2"/>
      <c r="F16" s="22"/>
      <c r="G16" s="2"/>
      <c r="H16" s="2"/>
      <c r="I16" s="2"/>
      <c r="J16" s="22"/>
      <c r="K16" s="2"/>
      <c r="L16" s="2">
        <f t="shared" si="0"/>
        <v>22606.37</v>
      </c>
      <c r="M16" s="2"/>
      <c r="N16" s="22">
        <f t="shared" si="1"/>
        <v>0</v>
      </c>
      <c r="O16" s="11"/>
      <c r="P16" s="2">
        <f>--22606.37</f>
        <v>22606.37</v>
      </c>
      <c r="Q16" s="2"/>
      <c r="R16" s="22"/>
      <c r="S16" s="2"/>
      <c r="T16" s="2"/>
      <c r="U16" s="2"/>
      <c r="V16" s="22"/>
      <c r="W16" s="2"/>
      <c r="X16" s="2">
        <f t="shared" si="2"/>
        <v>22606.37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"4052", " - ", "TAXABLE SALES-FOOD")</f>
        <v xml:space="preserve">          4052 - TAXABLE SALES-FOOD</v>
      </c>
      <c r="C17" s="11"/>
      <c r="D17" s="2">
        <f>--43778.84</f>
        <v>43778.84</v>
      </c>
      <c r="E17" s="2"/>
      <c r="F17" s="22"/>
      <c r="G17" s="2"/>
      <c r="H17" s="2"/>
      <c r="I17" s="2"/>
      <c r="J17" s="22"/>
      <c r="K17" s="2"/>
      <c r="L17" s="2">
        <f t="shared" si="0"/>
        <v>43778.84</v>
      </c>
      <c r="M17" s="2"/>
      <c r="N17" s="22">
        <f t="shared" si="1"/>
        <v>0</v>
      </c>
      <c r="O17" s="11"/>
      <c r="P17" s="2">
        <f>--43778.84</f>
        <v>43778.84</v>
      </c>
      <c r="Q17" s="2"/>
      <c r="R17" s="22"/>
      <c r="S17" s="2"/>
      <c r="T17" s="2"/>
      <c r="U17" s="2"/>
      <c r="V17" s="22"/>
      <c r="W17" s="2"/>
      <c r="X17" s="2">
        <f t="shared" si="2"/>
        <v>43778.84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"4053", " - ", "TAXABLE SALES-FOOD")</f>
        <v xml:space="preserve">          4053 - TAXABLE SALES-FOOD</v>
      </c>
      <c r="C18" s="11"/>
      <c r="D18" s="2">
        <f>--24931.11</f>
        <v>24931.11</v>
      </c>
      <c r="E18" s="2"/>
      <c r="F18" s="22"/>
      <c r="G18" s="2"/>
      <c r="H18" s="2"/>
      <c r="I18" s="2"/>
      <c r="J18" s="22"/>
      <c r="K18" s="2"/>
      <c r="L18" s="2">
        <f t="shared" si="0"/>
        <v>24931.11</v>
      </c>
      <c r="M18" s="2"/>
      <c r="N18" s="22">
        <f t="shared" si="1"/>
        <v>0</v>
      </c>
      <c r="O18" s="11"/>
      <c r="P18" s="2">
        <f>--24931.11</f>
        <v>24931.11</v>
      </c>
      <c r="Q18" s="2"/>
      <c r="R18" s="22"/>
      <c r="S18" s="2"/>
      <c r="T18" s="2"/>
      <c r="U18" s="2"/>
      <c r="V18" s="22"/>
      <c r="W18" s="2"/>
      <c r="X18" s="2">
        <f t="shared" si="2"/>
        <v>24931.11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"4055", " - ", "TAXABLE SALES-FOOD")</f>
        <v xml:space="preserve">          4055 - TAXABLE SALES-FOOD</v>
      </c>
      <c r="C19" s="11"/>
      <c r="D19" s="2">
        <f>--14243.63</f>
        <v>14243.63</v>
      </c>
      <c r="E19" s="2"/>
      <c r="F19" s="22"/>
      <c r="G19" s="2"/>
      <c r="H19" s="2"/>
      <c r="I19" s="2"/>
      <c r="J19" s="22"/>
      <c r="K19" s="2"/>
      <c r="L19" s="2">
        <f t="shared" si="0"/>
        <v>14243.63</v>
      </c>
      <c r="M19" s="2"/>
      <c r="N19" s="22">
        <f t="shared" si="1"/>
        <v>0</v>
      </c>
      <c r="O19" s="11"/>
      <c r="P19" s="2">
        <f>--14243.63</f>
        <v>14243.63</v>
      </c>
      <c r="Q19" s="2"/>
      <c r="R19" s="22"/>
      <c r="S19" s="2"/>
      <c r="T19" s="2"/>
      <c r="U19" s="2"/>
      <c r="V19" s="22"/>
      <c r="W19" s="2"/>
      <c r="X19" s="2">
        <f t="shared" si="2"/>
        <v>14243.63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"4058", " - ", "TAXABLE SALES-FOOD")</f>
        <v xml:space="preserve">          4058 - TAXABLE SALES-FOOD</v>
      </c>
      <c r="C20" s="11"/>
      <c r="D20" s="2">
        <f>--8401.66</f>
        <v>8401.66</v>
      </c>
      <c r="E20" s="2"/>
      <c r="F20" s="22"/>
      <c r="G20" s="2"/>
      <c r="H20" s="2"/>
      <c r="I20" s="2"/>
      <c r="J20" s="22"/>
      <c r="K20" s="2"/>
      <c r="L20" s="2">
        <f t="shared" si="0"/>
        <v>8401.66</v>
      </c>
      <c r="M20" s="2"/>
      <c r="N20" s="22">
        <f t="shared" si="1"/>
        <v>0</v>
      </c>
      <c r="O20" s="11"/>
      <c r="P20" s="2">
        <f>--8401.66</f>
        <v>8401.66</v>
      </c>
      <c r="Q20" s="2"/>
      <c r="R20" s="22"/>
      <c r="S20" s="2"/>
      <c r="T20" s="2"/>
      <c r="U20" s="2"/>
      <c r="V20" s="22"/>
      <c r="W20" s="2"/>
      <c r="X20" s="2">
        <f t="shared" si="2"/>
        <v>8401.66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22"/>
      <c r="G21" s="2"/>
      <c r="H21" s="2">
        <v>135086</v>
      </c>
      <c r="I21" s="2"/>
      <c r="J21" s="22"/>
      <c r="K21" s="2"/>
      <c r="L21" s="2">
        <f t="shared" si="0"/>
        <v>-135086</v>
      </c>
      <c r="M21" s="2"/>
      <c r="N21" s="22">
        <f t="shared" si="1"/>
        <v>-1</v>
      </c>
      <c r="O21" s="11"/>
      <c r="P21" s="2">
        <f>0</f>
        <v>0</v>
      </c>
      <c r="Q21" s="2"/>
      <c r="R21" s="22"/>
      <c r="S21" s="2"/>
      <c r="T21" s="2">
        <v>135086</v>
      </c>
      <c r="U21" s="2"/>
      <c r="V21" s="22"/>
      <c r="W21" s="2"/>
      <c r="X21" s="2">
        <f t="shared" si="2"/>
        <v>-135086</v>
      </c>
      <c r="Y21" s="2"/>
      <c r="Z21" s="22">
        <f t="shared" si="3"/>
        <v>-1</v>
      </c>
    </row>
    <row r="22" spans="1:26" s="24" customFormat="1" hidden="1" outlineLevel="1" x14ac:dyDescent="0.25">
      <c r="A22" s="51"/>
      <c r="B22" s="11" t="str">
        <f>CONCATENATE("          ", "4132", " - ", "NON-TAXABLE SALES-JUICE")</f>
        <v xml:space="preserve">          4132 - NON-TAXABLE SALES-JUICE</v>
      </c>
      <c r="C22" s="11"/>
      <c r="D22" s="2">
        <f>--32087.63</f>
        <v>32087.63</v>
      </c>
      <c r="E22" s="2"/>
      <c r="F22" s="22"/>
      <c r="G22" s="2"/>
      <c r="H22" s="2"/>
      <c r="I22" s="2"/>
      <c r="J22" s="22"/>
      <c r="K22" s="2"/>
      <c r="L22" s="2">
        <f t="shared" si="0"/>
        <v>32087.63</v>
      </c>
      <c r="M22" s="2"/>
      <c r="N22" s="22">
        <f t="shared" si="1"/>
        <v>0</v>
      </c>
      <c r="O22" s="11"/>
      <c r="P22" s="2">
        <f>--32087.63</f>
        <v>32087.63</v>
      </c>
      <c r="Q22" s="2"/>
      <c r="R22" s="22"/>
      <c r="S22" s="2"/>
      <c r="T22" s="2"/>
      <c r="U22" s="2"/>
      <c r="V22" s="22"/>
      <c r="W22" s="2"/>
      <c r="X22" s="2">
        <f t="shared" si="2"/>
        <v>32087.63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"4134", " - ", "NON-TAXABLE SALES-SODA")</f>
        <v xml:space="preserve">          4134 - NON-TAXABLE SALES-SODA</v>
      </c>
      <c r="C23" s="11"/>
      <c r="D23" s="2">
        <f>-3.39</f>
        <v>-3.39</v>
      </c>
      <c r="E23" s="2"/>
      <c r="F23" s="22"/>
      <c r="G23" s="2"/>
      <c r="H23" s="2"/>
      <c r="I23" s="2"/>
      <c r="J23" s="22"/>
      <c r="K23" s="2"/>
      <c r="L23" s="2">
        <f t="shared" si="0"/>
        <v>-3.39</v>
      </c>
      <c r="M23" s="2"/>
      <c r="N23" s="22">
        <f t="shared" si="1"/>
        <v>0</v>
      </c>
      <c r="O23" s="11"/>
      <c r="P23" s="2">
        <f>-3.39</f>
        <v>-3.39</v>
      </c>
      <c r="Q23" s="2"/>
      <c r="R23" s="22"/>
      <c r="S23" s="2"/>
      <c r="T23" s="2"/>
      <c r="U23" s="2"/>
      <c r="V23" s="22"/>
      <c r="W23" s="2"/>
      <c r="X23" s="2">
        <f t="shared" si="2"/>
        <v>-3.39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"4137", " - ", "NON-TAXABLE SALES-WATER")</f>
        <v xml:space="preserve">          4137 - NON-TAXABLE SALES-WATER</v>
      </c>
      <c r="C24" s="11"/>
      <c r="D24" s="2">
        <f>--210.5</f>
        <v>210.5</v>
      </c>
      <c r="E24" s="2"/>
      <c r="F24" s="22"/>
      <c r="G24" s="2"/>
      <c r="H24" s="2"/>
      <c r="I24" s="2"/>
      <c r="J24" s="22"/>
      <c r="K24" s="2"/>
      <c r="L24" s="2">
        <f t="shared" si="0"/>
        <v>210.5</v>
      </c>
      <c r="M24" s="2"/>
      <c r="N24" s="22">
        <f t="shared" si="1"/>
        <v>0</v>
      </c>
      <c r="O24" s="11"/>
      <c r="P24" s="2">
        <f>--210.5</f>
        <v>210.5</v>
      </c>
      <c r="Q24" s="2"/>
      <c r="R24" s="22"/>
      <c r="S24" s="2"/>
      <c r="T24" s="2"/>
      <c r="U24" s="2"/>
      <c r="V24" s="22"/>
      <c r="W24" s="2"/>
      <c r="X24" s="2">
        <f t="shared" si="2"/>
        <v>210.5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"4151", " - ", "NON-TAXABLE SALES-FOOD")</f>
        <v xml:space="preserve">          4151 - NON-TAXABLE SALES-FOOD</v>
      </c>
      <c r="C25" s="11"/>
      <c r="D25" s="2">
        <f>--45764.97</f>
        <v>45764.97</v>
      </c>
      <c r="E25" s="2"/>
      <c r="F25" s="22"/>
      <c r="G25" s="2"/>
      <c r="H25" s="2"/>
      <c r="I25" s="2"/>
      <c r="J25" s="22"/>
      <c r="K25" s="2"/>
      <c r="L25" s="2">
        <f t="shared" si="0"/>
        <v>45764.97</v>
      </c>
      <c r="M25" s="2"/>
      <c r="N25" s="22">
        <f t="shared" si="1"/>
        <v>0</v>
      </c>
      <c r="O25" s="11"/>
      <c r="P25" s="2">
        <f>--45764.97</f>
        <v>45764.97</v>
      </c>
      <c r="Q25" s="2"/>
      <c r="R25" s="22"/>
      <c r="S25" s="2"/>
      <c r="T25" s="2"/>
      <c r="U25" s="2"/>
      <c r="V25" s="22"/>
      <c r="W25" s="2"/>
      <c r="X25" s="2">
        <f t="shared" si="2"/>
        <v>45764.97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"4152", " - ", "NON-TAXABLE SALES-FOOD")</f>
        <v xml:space="preserve">          4152 - NON-TAXABLE SALES-FOOD</v>
      </c>
      <c r="C26" s="11"/>
      <c r="D26" s="2">
        <f>--3667.09</f>
        <v>3667.09</v>
      </c>
      <c r="E26" s="2"/>
      <c r="F26" s="22"/>
      <c r="G26" s="2"/>
      <c r="H26" s="2"/>
      <c r="I26" s="2"/>
      <c r="J26" s="22"/>
      <c r="K26" s="2"/>
      <c r="L26" s="2">
        <f t="shared" si="0"/>
        <v>3667.09</v>
      </c>
      <c r="M26" s="2"/>
      <c r="N26" s="22">
        <f t="shared" si="1"/>
        <v>0</v>
      </c>
      <c r="O26" s="11"/>
      <c r="P26" s="2">
        <f>--3667.09</f>
        <v>3667.09</v>
      </c>
      <c r="Q26" s="2"/>
      <c r="R26" s="22"/>
      <c r="S26" s="2"/>
      <c r="T26" s="2"/>
      <c r="U26" s="2"/>
      <c r="V26" s="22"/>
      <c r="W26" s="2"/>
      <c r="X26" s="2">
        <f t="shared" si="2"/>
        <v>3667.09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"4153", " - ", "NON-TAXABLE SALES-FOOD")</f>
        <v xml:space="preserve">          4153 - NON-TAXABLE SALES-FOOD</v>
      </c>
      <c r="C27" s="11"/>
      <c r="D27" s="2">
        <f>--237</f>
        <v>237</v>
      </c>
      <c r="E27" s="2"/>
      <c r="F27" s="22"/>
      <c r="G27" s="2"/>
      <c r="H27" s="2"/>
      <c r="I27" s="2"/>
      <c r="J27" s="22"/>
      <c r="K27" s="2"/>
      <c r="L27" s="2">
        <f t="shared" si="0"/>
        <v>237</v>
      </c>
      <c r="M27" s="2"/>
      <c r="N27" s="22">
        <f t="shared" si="1"/>
        <v>0</v>
      </c>
      <c r="O27" s="11"/>
      <c r="P27" s="2">
        <f>--237</f>
        <v>237</v>
      </c>
      <c r="Q27" s="2"/>
      <c r="R27" s="22"/>
      <c r="S27" s="2"/>
      <c r="T27" s="2"/>
      <c r="U27" s="2"/>
      <c r="V27" s="22"/>
      <c r="W27" s="2"/>
      <c r="X27" s="2">
        <f t="shared" si="2"/>
        <v>237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"4155", " - ", "NON-TAXABLE SALES-FOOD")</f>
        <v xml:space="preserve">          4155 - NON-TAXABLE SALES-FOOD</v>
      </c>
      <c r="C28" s="11"/>
      <c r="D28" s="2">
        <f>--25636.66</f>
        <v>25636.66</v>
      </c>
      <c r="E28" s="2"/>
      <c r="F28" s="22"/>
      <c r="G28" s="2"/>
      <c r="H28" s="2"/>
      <c r="I28" s="2"/>
      <c r="J28" s="22"/>
      <c r="K28" s="2"/>
      <c r="L28" s="2">
        <f t="shared" si="0"/>
        <v>25636.66</v>
      </c>
      <c r="M28" s="2"/>
      <c r="N28" s="22">
        <f t="shared" si="1"/>
        <v>0</v>
      </c>
      <c r="O28" s="11"/>
      <c r="P28" s="2">
        <f>--25636.66</f>
        <v>25636.66</v>
      </c>
      <c r="Q28" s="2"/>
      <c r="R28" s="22"/>
      <c r="S28" s="2"/>
      <c r="T28" s="2"/>
      <c r="U28" s="2"/>
      <c r="V28" s="22"/>
      <c r="W28" s="2"/>
      <c r="X28" s="2">
        <f t="shared" si="2"/>
        <v>25636.66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"4158", " - ", "NON-TAXABLE SALES-FOOD")</f>
        <v xml:space="preserve">          4158 - NON-TAXABLE SALES-FOOD</v>
      </c>
      <c r="C29" s="11"/>
      <c r="D29" s="2">
        <f>--9559.69</f>
        <v>9559.69</v>
      </c>
      <c r="E29" s="2"/>
      <c r="F29" s="22"/>
      <c r="G29" s="2"/>
      <c r="H29" s="2"/>
      <c r="I29" s="2"/>
      <c r="J29" s="22"/>
      <c r="K29" s="2"/>
      <c r="L29" s="2">
        <f t="shared" si="0"/>
        <v>9559.69</v>
      </c>
      <c r="M29" s="2"/>
      <c r="N29" s="22">
        <f t="shared" si="1"/>
        <v>0</v>
      </c>
      <c r="O29" s="11"/>
      <c r="P29" s="2">
        <f>--9559.69</f>
        <v>9559.69</v>
      </c>
      <c r="Q29" s="2"/>
      <c r="R29" s="22"/>
      <c r="S29" s="2"/>
      <c r="T29" s="2"/>
      <c r="U29" s="2"/>
      <c r="V29" s="22"/>
      <c r="W29" s="2"/>
      <c r="X29" s="2">
        <f t="shared" si="2"/>
        <v>9559.69</v>
      </c>
      <c r="Y29" s="2"/>
      <c r="Z29" s="22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5" t="s">
        <v>8</v>
      </c>
      <c r="C31" s="10"/>
      <c r="D31" s="4">
        <f>SUM(OSRRefD16x_0)</f>
        <v>94887.55</v>
      </c>
      <c r="E31" s="4"/>
      <c r="F31" s="12">
        <f t="shared" ref="F31:F34" si="4">IF(D$12=0,0,D31/D$12)</f>
        <v>0.39820069405122155</v>
      </c>
      <c r="G31" s="4"/>
      <c r="H31" s="4">
        <f>SUM(OSRRefH16x_0)</f>
        <v>107495</v>
      </c>
      <c r="I31" s="4"/>
      <c r="J31" s="12">
        <f t="shared" ref="J31:J34" si="5">IF(H$12=0,0,H31/H$12)</f>
        <v>0.34708365137361108</v>
      </c>
      <c r="K31" s="4"/>
      <c r="L31" s="4">
        <f t="shared" ref="L31:L34" si="6">+D31-H31</f>
        <v>-12607.449999999997</v>
      </c>
      <c r="M31" s="4"/>
      <c r="N31" s="12">
        <f t="shared" ref="N31:N34" si="7">IF(H31=0,0,L31/H31)</f>
        <v>-0.11728405972370805</v>
      </c>
      <c r="O31" s="10"/>
      <c r="P31" s="4">
        <f>SUM(OSRRefP16x_0)</f>
        <v>94887.55</v>
      </c>
      <c r="Q31" s="4"/>
      <c r="R31" s="12">
        <f t="shared" ref="R31:R34" si="8">IF(P$12=0,0,P31/P$12)</f>
        <v>0.39820069405122155</v>
      </c>
      <c r="S31" s="4"/>
      <c r="T31" s="4">
        <f>SUM(OSRRefT16x_0)</f>
        <v>107495</v>
      </c>
      <c r="U31" s="4"/>
      <c r="V31" s="12">
        <f t="shared" ref="V31:V34" si="9">IF(T$12=0,0,T31/T$12)</f>
        <v>0.34708365137361108</v>
      </c>
      <c r="W31" s="4"/>
      <c r="X31" s="4">
        <f t="shared" ref="X31:X34" si="10">+P31-T31</f>
        <v>-12607.449999999997</v>
      </c>
      <c r="Y31" s="4"/>
      <c r="Z31" s="12">
        <f t="shared" ref="Z31:Z34" si="11">IF(T31=0,0,X31/T31)</f>
        <v>-0.11728405972370805</v>
      </c>
    </row>
    <row r="32" spans="1:26" s="24" customFormat="1" hidden="1" outlineLevel="1" x14ac:dyDescent="0.25">
      <c r="A32" s="51"/>
      <c r="B32" s="11" t="str">
        <f>CONCATENATE("          ", "5000", " - ", "PURCHASES @ COST")</f>
        <v xml:space="preserve">          5000 - PURCHASES @ COST</v>
      </c>
      <c r="C32" s="11"/>
      <c r="D32" s="2"/>
      <c r="E32" s="2"/>
      <c r="F32" s="22">
        <f t="shared" si="4"/>
        <v>0</v>
      </c>
      <c r="G32" s="2"/>
      <c r="H32" s="2">
        <v>107495</v>
      </c>
      <c r="I32" s="2"/>
      <c r="J32" s="22">
        <f t="shared" si="5"/>
        <v>0.34708365137361108</v>
      </c>
      <c r="K32" s="2"/>
      <c r="L32" s="2">
        <f t="shared" si="6"/>
        <v>-107495</v>
      </c>
      <c r="M32" s="2"/>
      <c r="N32" s="22">
        <f t="shared" si="7"/>
        <v>-1</v>
      </c>
      <c r="O32" s="11"/>
      <c r="P32" s="2"/>
      <c r="Q32" s="2"/>
      <c r="R32" s="22">
        <f t="shared" si="8"/>
        <v>0</v>
      </c>
      <c r="S32" s="2"/>
      <c r="T32" s="2">
        <v>107495</v>
      </c>
      <c r="U32" s="2"/>
      <c r="V32" s="22">
        <f t="shared" si="9"/>
        <v>0.34708365137361108</v>
      </c>
      <c r="W32" s="2"/>
      <c r="X32" s="2">
        <f t="shared" si="10"/>
        <v>-107495</v>
      </c>
      <c r="Y32" s="2"/>
      <c r="Z32" s="22">
        <f t="shared" si="11"/>
        <v>-1</v>
      </c>
    </row>
    <row r="33" spans="1:26" s="24" customFormat="1" hidden="1" outlineLevel="1" x14ac:dyDescent="0.25">
      <c r="A33" s="51"/>
      <c r="B33" s="11" t="str">
        <f>CONCATENATE("          ", "5053", " - ", "PURCHASES @ COST-FOOD")</f>
        <v xml:space="preserve">          5053 - PURCHASES @ COST-FOOD</v>
      </c>
      <c r="C33" s="11"/>
      <c r="D33" s="2">
        <v>119420.3</v>
      </c>
      <c r="E33" s="2"/>
      <c r="F33" s="22">
        <f t="shared" si="4"/>
        <v>0.50115369554599198</v>
      </c>
      <c r="G33" s="2"/>
      <c r="H33" s="2"/>
      <c r="I33" s="2"/>
      <c r="J33" s="22">
        <f t="shared" si="5"/>
        <v>0</v>
      </c>
      <c r="K33" s="2"/>
      <c r="L33" s="2">
        <f t="shared" si="6"/>
        <v>119420.3</v>
      </c>
      <c r="M33" s="2"/>
      <c r="N33" s="22">
        <f t="shared" si="7"/>
        <v>0</v>
      </c>
      <c r="O33" s="11"/>
      <c r="P33" s="2">
        <v>119420.3</v>
      </c>
      <c r="Q33" s="2"/>
      <c r="R33" s="22">
        <f t="shared" si="8"/>
        <v>0.50115369554599198</v>
      </c>
      <c r="S33" s="2"/>
      <c r="T33" s="2"/>
      <c r="U33" s="2"/>
      <c r="V33" s="22">
        <f t="shared" si="9"/>
        <v>0</v>
      </c>
      <c r="W33" s="2"/>
      <c r="X33" s="2">
        <f t="shared" si="10"/>
        <v>119420.3</v>
      </c>
      <c r="Y33" s="2"/>
      <c r="Z33" s="22">
        <f t="shared" si="11"/>
        <v>0</v>
      </c>
    </row>
    <row r="34" spans="1:26" s="24" customFormat="1" hidden="1" outlineLevel="1" x14ac:dyDescent="0.25">
      <c r="A34" s="51"/>
      <c r="B34" s="11" t="str">
        <f>CONCATENATE("          ", "5059", " - ", "PURCHASES @ COST-FOOD")</f>
        <v xml:space="preserve">          5059 - PURCHASES @ COST-FOOD</v>
      </c>
      <c r="C34" s="11"/>
      <c r="D34" s="2">
        <v>-24532.75</v>
      </c>
      <c r="E34" s="2"/>
      <c r="F34" s="22">
        <f t="shared" si="4"/>
        <v>-0.10295300149477045</v>
      </c>
      <c r="G34" s="2"/>
      <c r="H34" s="2"/>
      <c r="I34" s="2"/>
      <c r="J34" s="22">
        <f t="shared" si="5"/>
        <v>0</v>
      </c>
      <c r="K34" s="2"/>
      <c r="L34" s="2">
        <f t="shared" si="6"/>
        <v>-24532.75</v>
      </c>
      <c r="M34" s="2"/>
      <c r="N34" s="22">
        <f t="shared" si="7"/>
        <v>0</v>
      </c>
      <c r="O34" s="11"/>
      <c r="P34" s="2">
        <v>-24532.75</v>
      </c>
      <c r="Q34" s="2"/>
      <c r="R34" s="22">
        <f t="shared" si="8"/>
        <v>-0.10295300149477045</v>
      </c>
      <c r="S34" s="2"/>
      <c r="T34" s="2"/>
      <c r="U34" s="2"/>
      <c r="V34" s="22">
        <f t="shared" si="9"/>
        <v>0</v>
      </c>
      <c r="W34" s="2"/>
      <c r="X34" s="2">
        <f t="shared" si="10"/>
        <v>-24532.75</v>
      </c>
      <c r="Y34" s="2"/>
      <c r="Z34" s="22">
        <f t="shared" si="11"/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6" t="s">
        <v>6</v>
      </c>
      <c r="C36" s="26"/>
      <c r="D36" s="21">
        <f>D12-D31</f>
        <v>143403.21999999997</v>
      </c>
      <c r="E36" s="13"/>
      <c r="F36" s="19">
        <f>IF(D$12=0,0,D36/D$12)</f>
        <v>0.6017993059487784</v>
      </c>
      <c r="G36" s="13"/>
      <c r="H36" s="21">
        <f>H12-H31</f>
        <v>202214.2</v>
      </c>
      <c r="I36" s="13"/>
      <c r="J36" s="19">
        <f>IF(H$12=0,0,H36/H$12)</f>
        <v>0.65291634862638892</v>
      </c>
      <c r="K36" s="15"/>
      <c r="L36" s="21">
        <f>+D36-H36</f>
        <v>-58810.98000000004</v>
      </c>
      <c r="M36" s="15"/>
      <c r="N36" s="19">
        <f>IF(H36=0,0,L36/H36)</f>
        <v>-0.29083506499543571</v>
      </c>
      <c r="O36" s="25"/>
      <c r="P36" s="21">
        <f>P12-P31</f>
        <v>143403.21999999997</v>
      </c>
      <c r="Q36" s="13"/>
      <c r="R36" s="19">
        <f>IF(P$12=0,0,P36/P$12)</f>
        <v>0.6017993059487784</v>
      </c>
      <c r="S36" s="13"/>
      <c r="T36" s="21">
        <f>T12-T31</f>
        <v>202214.2</v>
      </c>
      <c r="U36" s="13"/>
      <c r="V36" s="19">
        <f>IF(T$12=0,0,T36/T$12)</f>
        <v>0.65291634862638892</v>
      </c>
      <c r="W36" s="15"/>
      <c r="X36" s="21">
        <f>+P36-T36</f>
        <v>-58810.98000000004</v>
      </c>
      <c r="Y36" s="15"/>
      <c r="Z36" s="19">
        <f>IF(T36=0,0,X36/T36)</f>
        <v>-0.29083506499543571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6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5" t="s">
        <v>9</v>
      </c>
      <c r="C38" s="10"/>
      <c r="D38" s="20">
        <f>SUM(OSRRefD22x_0)</f>
        <v>488483.64</v>
      </c>
      <c r="E38" s="20"/>
      <c r="F38" s="30">
        <f t="shared" ref="F38:F49" si="12">IF(D$12=0,0,D38/D$12)</f>
        <v>2.0499478011674563</v>
      </c>
      <c r="G38" s="20"/>
      <c r="H38" s="20">
        <f>SUM(OSRRefH22x_0)</f>
        <v>480844.60879560583</v>
      </c>
      <c r="I38" s="20"/>
      <c r="J38" s="30">
        <f t="shared" ref="J38:J49" si="13">IF(H$12=0,0,H38/H$12)</f>
        <v>1.5525680502729846</v>
      </c>
      <c r="K38" s="4"/>
      <c r="L38" s="20">
        <f t="shared" ref="L38:L49" si="14">+D38-H38</f>
        <v>7639.0312043941813</v>
      </c>
      <c r="M38" s="4"/>
      <c r="N38" s="30">
        <f t="shared" ref="N38:N49" si="15">IF(H38=0,0,L38/H38)</f>
        <v>1.588669408923607E-2</v>
      </c>
      <c r="O38" s="10"/>
      <c r="P38" s="20">
        <f>SUM(OSRRefP22x_0)</f>
        <v>488483.64</v>
      </c>
      <c r="Q38" s="20"/>
      <c r="R38" s="30">
        <f t="shared" ref="R38:R49" si="16">IF(P$12=0,0,P38/P$12)</f>
        <v>2.0499478011674563</v>
      </c>
      <c r="S38" s="20"/>
      <c r="T38" s="20">
        <f>SUM(OSRRefT22x_0)</f>
        <v>480844.60879560583</v>
      </c>
      <c r="U38" s="20"/>
      <c r="V38" s="30">
        <f t="shared" ref="V38:V49" si="17">IF(T$12=0,0,T38/T$12)</f>
        <v>1.5525680502729846</v>
      </c>
      <c r="W38" s="4"/>
      <c r="X38" s="20">
        <f t="shared" ref="X38:X49" si="18">+P38-T38</f>
        <v>7639.0312043941813</v>
      </c>
      <c r="Y38" s="4"/>
      <c r="Z38" s="30">
        <f t="shared" ref="Z38:Z49" si="19">IF(T38=0,0,X38/T38)</f>
        <v>1.588669408923607E-2</v>
      </c>
    </row>
    <row r="39" spans="1:26" s="27" customFormat="1" outlineLevel="1" collapsed="1" x14ac:dyDescent="0.25">
      <c r="A39" s="28"/>
      <c r="B39" s="14" t="str">
        <f>CONCATENATE("     ","*Benefits                                         ")</f>
        <v xml:space="preserve">     *Benefits                                         </v>
      </c>
      <c r="C39" s="14"/>
      <c r="D39" s="1">
        <f>SUM(OSRRefD22_0x_0)</f>
        <v>80632.23</v>
      </c>
      <c r="E39" s="1"/>
      <c r="F39" s="5">
        <f t="shared" si="12"/>
        <v>0.33837747890948522</v>
      </c>
      <c r="G39" s="1"/>
      <c r="H39" s="1">
        <f>SUM(OSRRefH22_0x_0)</f>
        <v>76597.177314836561</v>
      </c>
      <c r="I39" s="1"/>
      <c r="J39" s="5">
        <f t="shared" si="13"/>
        <v>0.24731967056463469</v>
      </c>
      <c r="K39" s="1"/>
      <c r="L39" s="1">
        <f t="shared" si="14"/>
        <v>4035.0526851634349</v>
      </c>
      <c r="M39" s="1"/>
      <c r="N39" s="5">
        <f t="shared" si="15"/>
        <v>5.2678869203994304E-2</v>
      </c>
      <c r="O39" s="14"/>
      <c r="P39" s="1">
        <f>SUM(OSRRefP22_0x_0)</f>
        <v>80632.23</v>
      </c>
      <c r="Q39" s="1"/>
      <c r="R39" s="5">
        <f t="shared" si="16"/>
        <v>0.33837747890948522</v>
      </c>
      <c r="S39" s="1"/>
      <c r="T39" s="1">
        <f>SUM(OSRRefT22_0x_0)</f>
        <v>76597.177314836561</v>
      </c>
      <c r="U39" s="1"/>
      <c r="V39" s="5">
        <f t="shared" si="17"/>
        <v>0.24731967056463469</v>
      </c>
      <c r="W39" s="1"/>
      <c r="X39" s="1">
        <f t="shared" si="18"/>
        <v>4035.0526851634349</v>
      </c>
      <c r="Y39" s="1"/>
      <c r="Z39" s="5">
        <f t="shared" si="19"/>
        <v>5.2678869203994304E-2</v>
      </c>
    </row>
    <row r="40" spans="1:26" s="24" customFormat="1" hidden="1" outlineLevel="2" x14ac:dyDescent="0.25">
      <c r="A40" s="29"/>
      <c r="B40" s="11" t="str">
        <f>CONCATENATE("          ", "6111", " - ", "F.I.C.A.")</f>
        <v xml:space="preserve">          6111 - F.I.C.A.</v>
      </c>
      <c r="C40" s="11"/>
      <c r="D40" s="7">
        <v>12663.6</v>
      </c>
      <c r="E40" s="2"/>
      <c r="F40" s="6">
        <f t="shared" si="12"/>
        <v>5.3143476769998269E-2</v>
      </c>
      <c r="G40" s="2"/>
      <c r="H40" s="7">
        <v>15141.046281375004</v>
      </c>
      <c r="I40" s="2"/>
      <c r="J40" s="6">
        <f t="shared" si="13"/>
        <v>4.8887944824935789E-2</v>
      </c>
      <c r="K40" s="2"/>
      <c r="L40" s="7">
        <f t="shared" si="14"/>
        <v>-2477.4462813750033</v>
      </c>
      <c r="M40" s="2"/>
      <c r="N40" s="6">
        <f t="shared" si="15"/>
        <v>-0.16362451017817106</v>
      </c>
      <c r="O40" s="11"/>
      <c r="P40" s="7">
        <v>12663.6</v>
      </c>
      <c r="Q40" s="2"/>
      <c r="R40" s="6">
        <f t="shared" si="16"/>
        <v>5.3143476769998269E-2</v>
      </c>
      <c r="S40" s="2"/>
      <c r="T40" s="7">
        <v>15141.046281375004</v>
      </c>
      <c r="U40" s="2"/>
      <c r="V40" s="6">
        <f t="shared" si="17"/>
        <v>4.8887944824935789E-2</v>
      </c>
      <c r="W40" s="2"/>
      <c r="X40" s="7">
        <f t="shared" si="18"/>
        <v>-2477.4462813750033</v>
      </c>
      <c r="Y40" s="2"/>
      <c r="Z40" s="6">
        <f t="shared" si="19"/>
        <v>-0.16362451017817106</v>
      </c>
    </row>
    <row r="41" spans="1:26" s="24" customFormat="1" hidden="1" outlineLevel="2" x14ac:dyDescent="0.25">
      <c r="A41" s="29"/>
      <c r="B41" s="11" t="str">
        <f>CONCATENATE("          ", "6112", " - ", "COMPENSATION INSURANCE")</f>
        <v xml:space="preserve">          6112 - COMPENSATION INSURANCE</v>
      </c>
      <c r="C41" s="11"/>
      <c r="D41" s="7">
        <v>5646.39</v>
      </c>
      <c r="E41" s="2"/>
      <c r="F41" s="6">
        <f t="shared" si="12"/>
        <v>2.3695378549492288E-2</v>
      </c>
      <c r="G41" s="2"/>
      <c r="H41" s="7">
        <v>7145.0046617307726</v>
      </c>
      <c r="I41" s="2"/>
      <c r="J41" s="6">
        <f t="shared" si="13"/>
        <v>2.3070043323642864E-2</v>
      </c>
      <c r="K41" s="2"/>
      <c r="L41" s="7">
        <f t="shared" si="14"/>
        <v>-1498.6146617307722</v>
      </c>
      <c r="M41" s="2"/>
      <c r="N41" s="6">
        <f t="shared" si="15"/>
        <v>-0.20974299285729994</v>
      </c>
      <c r="O41" s="11"/>
      <c r="P41" s="7">
        <v>5646.39</v>
      </c>
      <c r="Q41" s="2"/>
      <c r="R41" s="6">
        <f t="shared" si="16"/>
        <v>2.3695378549492288E-2</v>
      </c>
      <c r="S41" s="2"/>
      <c r="T41" s="7">
        <v>7145.0046617307726</v>
      </c>
      <c r="U41" s="2"/>
      <c r="V41" s="6">
        <f t="shared" si="17"/>
        <v>2.3070043323642864E-2</v>
      </c>
      <c r="W41" s="2"/>
      <c r="X41" s="7">
        <f t="shared" si="18"/>
        <v>-1498.6146617307722</v>
      </c>
      <c r="Y41" s="2"/>
      <c r="Z41" s="6">
        <f t="shared" si="19"/>
        <v>-0.20974299285729994</v>
      </c>
    </row>
    <row r="42" spans="1:26" s="24" customFormat="1" hidden="1" outlineLevel="2" x14ac:dyDescent="0.25">
      <c r="A42" s="29"/>
      <c r="B42" s="11" t="str">
        <f>CONCATENATE("          ", "6113", " - ", "GROUP INSURANCE")</f>
        <v xml:space="preserve">          6113 - GROUP INSURANCE</v>
      </c>
      <c r="C42" s="11"/>
      <c r="D42" s="7">
        <v>27448.38</v>
      </c>
      <c r="E42" s="2"/>
      <c r="F42" s="6">
        <f t="shared" si="12"/>
        <v>0.11518859920591973</v>
      </c>
      <c r="G42" s="2"/>
      <c r="H42" s="7">
        <v>27474.500000000011</v>
      </c>
      <c r="I42" s="2"/>
      <c r="J42" s="6">
        <f t="shared" si="13"/>
        <v>8.8710635654349335E-2</v>
      </c>
      <c r="K42" s="2"/>
      <c r="L42" s="7">
        <f t="shared" si="14"/>
        <v>-26.120000000009895</v>
      </c>
      <c r="M42" s="2"/>
      <c r="N42" s="6">
        <f t="shared" si="15"/>
        <v>-9.5069973975904509E-4</v>
      </c>
      <c r="O42" s="11"/>
      <c r="P42" s="7">
        <v>27448.38</v>
      </c>
      <c r="Q42" s="2"/>
      <c r="R42" s="6">
        <f t="shared" si="16"/>
        <v>0.11518859920591973</v>
      </c>
      <c r="S42" s="2"/>
      <c r="T42" s="7">
        <v>27474.500000000011</v>
      </c>
      <c r="U42" s="2"/>
      <c r="V42" s="6">
        <f t="shared" si="17"/>
        <v>8.8710635654349335E-2</v>
      </c>
      <c r="W42" s="2"/>
      <c r="X42" s="7">
        <f t="shared" si="18"/>
        <v>-26.120000000009895</v>
      </c>
      <c r="Y42" s="2"/>
      <c r="Z42" s="6">
        <f t="shared" si="19"/>
        <v>-9.5069973975904509E-4</v>
      </c>
    </row>
    <row r="43" spans="1:26" s="24" customFormat="1" hidden="1" outlineLevel="2" x14ac:dyDescent="0.25">
      <c r="A43" s="29"/>
      <c r="B43" s="11" t="str">
        <f>CONCATENATE("          ", "6114", " - ", "STATE UNEMPLOYMENT INSURANCE")</f>
        <v xml:space="preserve">          6114 - STATE UNEMPLOYMENT INSURANCE</v>
      </c>
      <c r="C43" s="11"/>
      <c r="D43" s="7">
        <v>427.88</v>
      </c>
      <c r="E43" s="2"/>
      <c r="F43" s="6">
        <f t="shared" si="12"/>
        <v>1.7956213746759893E-3</v>
      </c>
      <c r="G43" s="2"/>
      <c r="H43" s="7">
        <v>578.94092750000004</v>
      </c>
      <c r="I43" s="2"/>
      <c r="J43" s="6">
        <f t="shared" si="13"/>
        <v>1.8693049076359373E-3</v>
      </c>
      <c r="K43" s="2"/>
      <c r="L43" s="7">
        <f t="shared" si="14"/>
        <v>-151.06092750000005</v>
      </c>
      <c r="M43" s="2"/>
      <c r="N43" s="6">
        <f t="shared" si="15"/>
        <v>-0.2609263230919186</v>
      </c>
      <c r="O43" s="11"/>
      <c r="P43" s="7">
        <v>427.88</v>
      </c>
      <c r="Q43" s="2"/>
      <c r="R43" s="6">
        <f t="shared" si="16"/>
        <v>1.7956213746759893E-3</v>
      </c>
      <c r="S43" s="2"/>
      <c r="T43" s="7">
        <v>578.94092750000004</v>
      </c>
      <c r="U43" s="2"/>
      <c r="V43" s="6">
        <f t="shared" si="17"/>
        <v>1.8693049076359373E-3</v>
      </c>
      <c r="W43" s="2"/>
      <c r="X43" s="7">
        <f t="shared" si="18"/>
        <v>-151.06092750000005</v>
      </c>
      <c r="Y43" s="2"/>
      <c r="Z43" s="6">
        <f t="shared" si="19"/>
        <v>-0.2609263230919186</v>
      </c>
    </row>
    <row r="44" spans="1:26" s="24" customFormat="1" hidden="1" outlineLevel="2" x14ac:dyDescent="0.25">
      <c r="A44" s="29"/>
      <c r="B44" s="11" t="str">
        <f>CONCATENATE("          ", "6115", " - ", "P.E.R.S.")</f>
        <v xml:space="preserve">          6115 - P.E.R.S.</v>
      </c>
      <c r="C44" s="11"/>
      <c r="D44" s="7">
        <v>7277.48</v>
      </c>
      <c r="E44" s="2"/>
      <c r="F44" s="6">
        <f t="shared" si="12"/>
        <v>3.0540335238330885E-2</v>
      </c>
      <c r="G44" s="2"/>
      <c r="H44" s="7">
        <v>10361.956175000003</v>
      </c>
      <c r="I44" s="2"/>
      <c r="J44" s="6">
        <f t="shared" si="13"/>
        <v>3.3457049952019514E-2</v>
      </c>
      <c r="K44" s="2"/>
      <c r="L44" s="7">
        <f t="shared" si="14"/>
        <v>-3084.4761750000034</v>
      </c>
      <c r="M44" s="2"/>
      <c r="N44" s="6">
        <f t="shared" si="15"/>
        <v>-0.29767315388206633</v>
      </c>
      <c r="O44" s="11"/>
      <c r="P44" s="7">
        <v>7277.48</v>
      </c>
      <c r="Q44" s="2"/>
      <c r="R44" s="6">
        <f t="shared" si="16"/>
        <v>3.0540335238330885E-2</v>
      </c>
      <c r="S44" s="2"/>
      <c r="T44" s="7">
        <v>10361.956175000003</v>
      </c>
      <c r="U44" s="2"/>
      <c r="V44" s="6">
        <f t="shared" si="17"/>
        <v>3.3457049952019514E-2</v>
      </c>
      <c r="W44" s="2"/>
      <c r="X44" s="7">
        <f t="shared" si="18"/>
        <v>-3084.4761750000034</v>
      </c>
      <c r="Y44" s="2"/>
      <c r="Z44" s="6">
        <f t="shared" si="19"/>
        <v>-0.29767315388206633</v>
      </c>
    </row>
    <row r="45" spans="1:26" s="24" customFormat="1" hidden="1" outlineLevel="2" x14ac:dyDescent="0.25">
      <c r="A45" s="29"/>
      <c r="B45" s="11" t="str">
        <f>CONCATENATE("          ", "6116", " - ", "EDUCATIONAL BENEFITS")</f>
        <v xml:space="preserve">          6116 - EDUCATIONAL BENEFITS</v>
      </c>
      <c r="C45" s="11"/>
      <c r="D45" s="7"/>
      <c r="E45" s="2"/>
      <c r="F45" s="6">
        <f t="shared" si="12"/>
        <v>0</v>
      </c>
      <c r="G45" s="2"/>
      <c r="H45" s="7">
        <v>0</v>
      </c>
      <c r="I45" s="2"/>
      <c r="J45" s="6">
        <f t="shared" si="13"/>
        <v>0</v>
      </c>
      <c r="K45" s="2"/>
      <c r="L45" s="7">
        <f t="shared" si="14"/>
        <v>0</v>
      </c>
      <c r="M45" s="2"/>
      <c r="N45" s="6">
        <f t="shared" si="15"/>
        <v>0</v>
      </c>
      <c r="O45" s="11"/>
      <c r="P45" s="7"/>
      <c r="Q45" s="2"/>
      <c r="R45" s="6">
        <f t="shared" si="16"/>
        <v>0</v>
      </c>
      <c r="S45" s="2"/>
      <c r="T45" s="7">
        <v>0</v>
      </c>
      <c r="U45" s="2"/>
      <c r="V45" s="6">
        <f t="shared" si="17"/>
        <v>0</v>
      </c>
      <c r="W45" s="2"/>
      <c r="X45" s="7">
        <f t="shared" si="18"/>
        <v>0</v>
      </c>
      <c r="Y45" s="2"/>
      <c r="Z45" s="6">
        <f t="shared" si="19"/>
        <v>0</v>
      </c>
    </row>
    <row r="46" spans="1:26" s="24" customFormat="1" hidden="1" outlineLevel="2" x14ac:dyDescent="0.25">
      <c r="A46" s="29"/>
      <c r="B46" s="11" t="str">
        <f>CONCATENATE("          ", "6117", " - ", "RETIREMENT STAFF HOURLY")</f>
        <v xml:space="preserve">          6117 - RETIREMENT STAFF HOURLY</v>
      </c>
      <c r="C46" s="11"/>
      <c r="D46" s="7">
        <v>56</v>
      </c>
      <c r="E46" s="2"/>
      <c r="F46" s="6">
        <f t="shared" si="12"/>
        <v>2.350070042578653E-4</v>
      </c>
      <c r="G46" s="2"/>
      <c r="H46" s="7"/>
      <c r="I46" s="2"/>
      <c r="J46" s="6">
        <f t="shared" si="13"/>
        <v>0</v>
      </c>
      <c r="K46" s="2"/>
      <c r="L46" s="7">
        <f t="shared" si="14"/>
        <v>56</v>
      </c>
      <c r="M46" s="2"/>
      <c r="N46" s="6">
        <f t="shared" si="15"/>
        <v>0</v>
      </c>
      <c r="O46" s="11"/>
      <c r="P46" s="7">
        <v>56</v>
      </c>
      <c r="Q46" s="2"/>
      <c r="R46" s="6">
        <f t="shared" si="16"/>
        <v>2.350070042578653E-4</v>
      </c>
      <c r="S46" s="2"/>
      <c r="T46" s="7"/>
      <c r="U46" s="2"/>
      <c r="V46" s="6">
        <f t="shared" si="17"/>
        <v>0</v>
      </c>
      <c r="W46" s="2"/>
      <c r="X46" s="7">
        <f t="shared" si="18"/>
        <v>56</v>
      </c>
      <c r="Y46" s="2"/>
      <c r="Z46" s="6">
        <f t="shared" si="19"/>
        <v>0</v>
      </c>
    </row>
    <row r="47" spans="1:26" s="24" customFormat="1" hidden="1" outlineLevel="2" x14ac:dyDescent="0.25">
      <c r="A47" s="29"/>
      <c r="B47" s="11" t="str">
        <f>CONCATENATE("          ", "6118", " - ", "VACATION")</f>
        <v xml:space="preserve">          6118 - VACATION</v>
      </c>
      <c r="C47" s="11"/>
      <c r="D47" s="7">
        <v>9883.57</v>
      </c>
      <c r="E47" s="2"/>
      <c r="F47" s="6">
        <f t="shared" si="12"/>
        <v>4.1476931733444813E-2</v>
      </c>
      <c r="G47" s="2"/>
      <c r="H47" s="7">
        <v>7172.6941249999963</v>
      </c>
      <c r="I47" s="2"/>
      <c r="J47" s="6">
        <f t="shared" si="13"/>
        <v>2.3159448040290687E-2</v>
      </c>
      <c r="K47" s="2"/>
      <c r="L47" s="7">
        <f t="shared" si="14"/>
        <v>2710.8758750000034</v>
      </c>
      <c r="M47" s="2"/>
      <c r="N47" s="6">
        <f t="shared" si="15"/>
        <v>0.37794388381227739</v>
      </c>
      <c r="O47" s="11"/>
      <c r="P47" s="7">
        <v>9883.57</v>
      </c>
      <c r="Q47" s="2"/>
      <c r="R47" s="6">
        <f t="shared" si="16"/>
        <v>4.1476931733444813E-2</v>
      </c>
      <c r="S47" s="2"/>
      <c r="T47" s="7">
        <v>7172.6941249999963</v>
      </c>
      <c r="U47" s="2"/>
      <c r="V47" s="6">
        <f t="shared" si="17"/>
        <v>2.3159448040290687E-2</v>
      </c>
      <c r="W47" s="2"/>
      <c r="X47" s="7">
        <f t="shared" si="18"/>
        <v>2710.8758750000034</v>
      </c>
      <c r="Y47" s="2"/>
      <c r="Z47" s="6">
        <f t="shared" si="19"/>
        <v>0.37794388381227739</v>
      </c>
    </row>
    <row r="48" spans="1:26" s="24" customFormat="1" hidden="1" outlineLevel="2" x14ac:dyDescent="0.25">
      <c r="A48" s="29"/>
      <c r="B48" s="11" t="str">
        <f>CONCATENATE("          ", "6119", " - ", "SICK LEAVE")</f>
        <v xml:space="preserve">          6119 - SICK LEAVE</v>
      </c>
      <c r="C48" s="11"/>
      <c r="D48" s="7">
        <v>14583.42</v>
      </c>
      <c r="E48" s="2"/>
      <c r="F48" s="6">
        <f t="shared" si="12"/>
        <v>6.1200104393468541E-2</v>
      </c>
      <c r="G48" s="2"/>
      <c r="H48" s="7">
        <v>6873.0351442307665</v>
      </c>
      <c r="I48" s="2"/>
      <c r="J48" s="6">
        <f t="shared" si="13"/>
        <v>2.2191898542990543E-2</v>
      </c>
      <c r="K48" s="2"/>
      <c r="L48" s="7">
        <f t="shared" si="14"/>
        <v>7710.3848557692336</v>
      </c>
      <c r="M48" s="2"/>
      <c r="N48" s="6">
        <f t="shared" si="15"/>
        <v>1.1218311406775419</v>
      </c>
      <c r="O48" s="11"/>
      <c r="P48" s="7">
        <v>14583.42</v>
      </c>
      <c r="Q48" s="2"/>
      <c r="R48" s="6">
        <f t="shared" si="16"/>
        <v>6.1200104393468541E-2</v>
      </c>
      <c r="S48" s="2"/>
      <c r="T48" s="7">
        <v>6873.0351442307665</v>
      </c>
      <c r="U48" s="2"/>
      <c r="V48" s="6">
        <f t="shared" si="17"/>
        <v>2.2191898542990543E-2</v>
      </c>
      <c r="W48" s="2"/>
      <c r="X48" s="7">
        <f t="shared" si="18"/>
        <v>7710.3848557692336</v>
      </c>
      <c r="Y48" s="2"/>
      <c r="Z48" s="6">
        <f t="shared" si="19"/>
        <v>1.1218311406775419</v>
      </c>
    </row>
    <row r="49" spans="1:26" s="24" customFormat="1" hidden="1" outlineLevel="2" x14ac:dyDescent="0.25">
      <c r="A49" s="29"/>
      <c r="B49" s="11" t="str">
        <f>CONCATENATE("          ", "6156", " - ", "EMPLOYEE MEALS")</f>
        <v xml:space="preserve">          6156 - EMPLOYEE MEALS</v>
      </c>
      <c r="C49" s="11"/>
      <c r="D49" s="7">
        <v>2645.51</v>
      </c>
      <c r="E49" s="2"/>
      <c r="F49" s="6">
        <f t="shared" si="12"/>
        <v>1.1102024639896881E-2</v>
      </c>
      <c r="G49" s="2"/>
      <c r="H49" s="7">
        <v>1850</v>
      </c>
      <c r="I49" s="2"/>
      <c r="J49" s="6">
        <f t="shared" si="13"/>
        <v>5.9733453187699945E-3</v>
      </c>
      <c r="K49" s="2"/>
      <c r="L49" s="7">
        <f t="shared" si="14"/>
        <v>795.51000000000022</v>
      </c>
      <c r="M49" s="2"/>
      <c r="N49" s="6">
        <f t="shared" si="15"/>
        <v>0.43000540540540555</v>
      </c>
      <c r="O49" s="11"/>
      <c r="P49" s="7">
        <v>2645.51</v>
      </c>
      <c r="Q49" s="2"/>
      <c r="R49" s="6">
        <f t="shared" si="16"/>
        <v>1.1102024639896881E-2</v>
      </c>
      <c r="S49" s="2"/>
      <c r="T49" s="7">
        <v>1850</v>
      </c>
      <c r="U49" s="2"/>
      <c r="V49" s="6">
        <f t="shared" si="17"/>
        <v>5.9733453187699945E-3</v>
      </c>
      <c r="W49" s="2"/>
      <c r="X49" s="7">
        <f t="shared" si="18"/>
        <v>795.51000000000022</v>
      </c>
      <c r="Y49" s="2"/>
      <c r="Z49" s="6">
        <f t="shared" si="19"/>
        <v>0.43000540540540555</v>
      </c>
    </row>
    <row r="50" spans="1:26" s="27" customFormat="1" outlineLevel="1" collapsed="1" x14ac:dyDescent="0.25">
      <c r="A50" s="28"/>
      <c r="B50" s="14" t="str">
        <f>CONCATENATE("     ","*Payroll                                          ")</f>
        <v xml:space="preserve">     *Payroll                                          </v>
      </c>
      <c r="C50" s="14"/>
      <c r="D50" s="1">
        <f>SUM(OSRRefD22_1x_0)</f>
        <v>198123.83999999997</v>
      </c>
      <c r="E50" s="1"/>
      <c r="F50" s="5">
        <f t="shared" ref="F50:F60" si="20">IF(D$12=0,0,D50/D$12)</f>
        <v>0.83143732340115384</v>
      </c>
      <c r="G50" s="1"/>
      <c r="H50" s="1">
        <f>SUM(OSRRefH22_1x_0)</f>
        <v>204238.53148076922</v>
      </c>
      <c r="I50" s="1"/>
      <c r="J50" s="5">
        <f t="shared" ref="J50:J60" si="21">IF(H$12=0,0,H50/H$12)</f>
        <v>0.65945258158546538</v>
      </c>
      <c r="K50" s="1"/>
      <c r="L50" s="1">
        <f t="shared" ref="L50:L60" si="22">+D50-H50</f>
        <v>-6114.6914807692519</v>
      </c>
      <c r="M50" s="1"/>
      <c r="N50" s="5">
        <f t="shared" ref="N50:N60" si="23">IF(H50=0,0,L50/H50)</f>
        <v>-2.9938971047414734E-2</v>
      </c>
      <c r="O50" s="14"/>
      <c r="P50" s="1">
        <f>SUM(OSRRefP22_1x_0)</f>
        <v>198123.83999999997</v>
      </c>
      <c r="Q50" s="1"/>
      <c r="R50" s="5">
        <f t="shared" ref="R50:R60" si="24">IF(P$12=0,0,P50/P$12)</f>
        <v>0.83143732340115384</v>
      </c>
      <c r="S50" s="1"/>
      <c r="T50" s="1">
        <f>SUM(OSRRefT22_1x_0)</f>
        <v>204238.53148076922</v>
      </c>
      <c r="U50" s="1"/>
      <c r="V50" s="5">
        <f t="shared" ref="V50:V60" si="25">IF(T$12=0,0,T50/T$12)</f>
        <v>0.65945258158546538</v>
      </c>
      <c r="W50" s="1"/>
      <c r="X50" s="1">
        <f t="shared" ref="X50:X60" si="26">+P50-T50</f>
        <v>-6114.6914807692519</v>
      </c>
      <c r="Y50" s="1"/>
      <c r="Z50" s="5">
        <f t="shared" ref="Z50:Z60" si="27">IF(T50=0,0,X50/T50)</f>
        <v>-2.9938971047414734E-2</v>
      </c>
    </row>
    <row r="51" spans="1:26" s="24" customFormat="1" hidden="1" outlineLevel="2" x14ac:dyDescent="0.25">
      <c r="A51" s="29"/>
      <c r="B51" s="11" t="str">
        <f>CONCATENATE("          ", "6001", " - ", "ADMINISTRATIVE SALARIES")</f>
        <v xml:space="preserve">          6001 - ADMINISTRATIVE SALARIES</v>
      </c>
      <c r="C51" s="11"/>
      <c r="D51" s="7">
        <v>20426.670000000002</v>
      </c>
      <c r="E51" s="2"/>
      <c r="F51" s="6">
        <f t="shared" si="20"/>
        <v>8.5721616494000175E-2</v>
      </c>
      <c r="G51" s="2"/>
      <c r="H51" s="7">
        <v>41269.716923076929</v>
      </c>
      <c r="I51" s="2"/>
      <c r="J51" s="6">
        <f t="shared" si="21"/>
        <v>0.13325311912941859</v>
      </c>
      <c r="K51" s="2"/>
      <c r="L51" s="7">
        <f t="shared" si="22"/>
        <v>-20843.046923076927</v>
      </c>
      <c r="M51" s="2"/>
      <c r="N51" s="6">
        <f t="shared" si="23"/>
        <v>-0.50504458176746181</v>
      </c>
      <c r="O51" s="11"/>
      <c r="P51" s="7">
        <v>20426.670000000002</v>
      </c>
      <c r="Q51" s="2"/>
      <c r="R51" s="6">
        <f t="shared" si="24"/>
        <v>8.5721616494000175E-2</v>
      </c>
      <c r="S51" s="2"/>
      <c r="T51" s="7">
        <v>41269.716923076929</v>
      </c>
      <c r="U51" s="2"/>
      <c r="V51" s="6">
        <f t="shared" si="25"/>
        <v>0.13325311912941859</v>
      </c>
      <c r="W51" s="2"/>
      <c r="X51" s="7">
        <f t="shared" si="26"/>
        <v>-20843.046923076927</v>
      </c>
      <c r="Y51" s="2"/>
      <c r="Z51" s="6">
        <f t="shared" si="27"/>
        <v>-0.50504458176746181</v>
      </c>
    </row>
    <row r="52" spans="1:26" s="24" customFormat="1" hidden="1" outlineLevel="2" x14ac:dyDescent="0.25">
      <c r="A52" s="29"/>
      <c r="B52" s="11" t="str">
        <f>CONCATENATE("          ", "6002", " - ", "STAFF SALARIES")</f>
        <v xml:space="preserve">          6002 - STAFF SALARIES</v>
      </c>
      <c r="C52" s="11"/>
      <c r="D52" s="7">
        <v>77310.349999999991</v>
      </c>
      <c r="E52" s="2"/>
      <c r="F52" s="6">
        <f t="shared" si="20"/>
        <v>0.32443703127905454</v>
      </c>
      <c r="G52" s="2"/>
      <c r="H52" s="7">
        <v>68659.352057692304</v>
      </c>
      <c r="I52" s="2"/>
      <c r="J52" s="6">
        <f t="shared" si="21"/>
        <v>0.2216897401100526</v>
      </c>
      <c r="K52" s="2"/>
      <c r="L52" s="7">
        <f t="shared" si="22"/>
        <v>8650.9979423076875</v>
      </c>
      <c r="M52" s="2"/>
      <c r="N52" s="6">
        <f t="shared" si="23"/>
        <v>0.12599882875443574</v>
      </c>
      <c r="O52" s="11"/>
      <c r="P52" s="7">
        <v>77310.349999999991</v>
      </c>
      <c r="Q52" s="2"/>
      <c r="R52" s="6">
        <f t="shared" si="24"/>
        <v>0.32443703127905454</v>
      </c>
      <c r="S52" s="2"/>
      <c r="T52" s="7">
        <v>68659.352057692304</v>
      </c>
      <c r="U52" s="2"/>
      <c r="V52" s="6">
        <f t="shared" si="25"/>
        <v>0.2216897401100526</v>
      </c>
      <c r="W52" s="2"/>
      <c r="X52" s="7">
        <f t="shared" si="26"/>
        <v>8650.9979423076875</v>
      </c>
      <c r="Y52" s="2"/>
      <c r="Z52" s="6">
        <f t="shared" si="27"/>
        <v>0.12599882875443574</v>
      </c>
    </row>
    <row r="53" spans="1:26" s="24" customFormat="1" hidden="1" outlineLevel="2" x14ac:dyDescent="0.25">
      <c r="A53" s="29"/>
      <c r="B53" s="11" t="str">
        <f>CONCATENATE("          ", "6003", " - ", "STAFF HOURLY-9 MONTH")</f>
        <v xml:space="preserve">          6003 - STAFF HOURLY-9 MONTH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4" customFormat="1" hidden="1" outlineLevel="2" x14ac:dyDescent="0.25">
      <c r="A54" s="29"/>
      <c r="B54" s="11" t="str">
        <f>CONCATENATE("          ", "6004", " - ", "STAFF HOURLY")</f>
        <v xml:space="preserve">          6004 - STAFF HOURLY</v>
      </c>
      <c r="C54" s="11"/>
      <c r="D54" s="7">
        <v>15310.009999999998</v>
      </c>
      <c r="E54" s="2"/>
      <c r="F54" s="6">
        <f t="shared" si="20"/>
        <v>6.4249278308177851E-2</v>
      </c>
      <c r="G54" s="2"/>
      <c r="H54" s="7">
        <v>44146.35</v>
      </c>
      <c r="I54" s="2"/>
      <c r="J54" s="6">
        <f t="shared" si="21"/>
        <v>0.14254129357474687</v>
      </c>
      <c r="K54" s="2"/>
      <c r="L54" s="7">
        <f t="shared" si="22"/>
        <v>-28836.34</v>
      </c>
      <c r="M54" s="2"/>
      <c r="N54" s="6">
        <f t="shared" si="23"/>
        <v>-0.6531987355693053</v>
      </c>
      <c r="O54" s="11"/>
      <c r="P54" s="7">
        <v>15310.009999999998</v>
      </c>
      <c r="Q54" s="2"/>
      <c r="R54" s="6">
        <f t="shared" si="24"/>
        <v>6.4249278308177851E-2</v>
      </c>
      <c r="S54" s="2"/>
      <c r="T54" s="7">
        <v>44146.35</v>
      </c>
      <c r="U54" s="2"/>
      <c r="V54" s="6">
        <f t="shared" si="25"/>
        <v>0.14254129357474687</v>
      </c>
      <c r="W54" s="2"/>
      <c r="X54" s="7">
        <f t="shared" si="26"/>
        <v>-28836.34</v>
      </c>
      <c r="Y54" s="2"/>
      <c r="Z54" s="6">
        <f t="shared" si="27"/>
        <v>-0.6531987355693053</v>
      </c>
    </row>
    <row r="55" spans="1:26" s="24" customFormat="1" hidden="1" outlineLevel="2" x14ac:dyDescent="0.25">
      <c r="A55" s="29"/>
      <c r="B55" s="11" t="str">
        <f>CONCATENATE("          ", "6005", " - ", "TEMPORARY WAGES-HOURLY")</f>
        <v xml:space="preserve">          6005 - TEMPORARY WAGES-HOURLY</v>
      </c>
      <c r="C55" s="11"/>
      <c r="D55" s="7">
        <v>30780.25</v>
      </c>
      <c r="E55" s="2"/>
      <c r="F55" s="6">
        <f t="shared" si="20"/>
        <v>0.12917097040728856</v>
      </c>
      <c r="G55" s="2"/>
      <c r="H55" s="7">
        <v>19907.625</v>
      </c>
      <c r="I55" s="2"/>
      <c r="J55" s="6">
        <f t="shared" si="21"/>
        <v>6.4278442487339729E-2</v>
      </c>
      <c r="K55" s="2"/>
      <c r="L55" s="7">
        <f t="shared" si="22"/>
        <v>10872.625</v>
      </c>
      <c r="M55" s="2"/>
      <c r="N55" s="6">
        <f t="shared" si="23"/>
        <v>0.54615379785383744</v>
      </c>
      <c r="O55" s="11"/>
      <c r="P55" s="7">
        <v>30780.25</v>
      </c>
      <c r="Q55" s="2"/>
      <c r="R55" s="6">
        <f t="shared" si="24"/>
        <v>0.12917097040728856</v>
      </c>
      <c r="S55" s="2"/>
      <c r="T55" s="7">
        <v>19907.625</v>
      </c>
      <c r="U55" s="2"/>
      <c r="V55" s="6">
        <f t="shared" si="25"/>
        <v>6.4278442487339729E-2</v>
      </c>
      <c r="W55" s="2"/>
      <c r="X55" s="7">
        <f t="shared" si="26"/>
        <v>10872.625</v>
      </c>
      <c r="Y55" s="2"/>
      <c r="Z55" s="6">
        <f t="shared" si="27"/>
        <v>0.54615379785383744</v>
      </c>
    </row>
    <row r="56" spans="1:26" s="24" customFormat="1" hidden="1" outlineLevel="2" x14ac:dyDescent="0.25">
      <c r="A56" s="29"/>
      <c r="B56" s="11" t="str">
        <f>CONCATENATE("          ", "6006", " - ", "TEMPORARY PART TIME")</f>
        <v xml:space="preserve">          6006 - TEMPORARY PART TIME</v>
      </c>
      <c r="C56" s="11"/>
      <c r="D56" s="7">
        <v>2977.39</v>
      </c>
      <c r="E56" s="2"/>
      <c r="F56" s="6">
        <f t="shared" si="20"/>
        <v>1.2494776864416527E-2</v>
      </c>
      <c r="G56" s="2"/>
      <c r="H56" s="7">
        <v>0</v>
      </c>
      <c r="I56" s="2"/>
      <c r="J56" s="6">
        <f t="shared" si="21"/>
        <v>0</v>
      </c>
      <c r="K56" s="2"/>
      <c r="L56" s="7">
        <f t="shared" si="22"/>
        <v>2977.39</v>
      </c>
      <c r="M56" s="2"/>
      <c r="N56" s="6">
        <f t="shared" si="23"/>
        <v>0</v>
      </c>
      <c r="O56" s="11"/>
      <c r="P56" s="7">
        <v>2977.39</v>
      </c>
      <c r="Q56" s="2"/>
      <c r="R56" s="6">
        <f t="shared" si="24"/>
        <v>1.2494776864416527E-2</v>
      </c>
      <c r="S56" s="2"/>
      <c r="T56" s="7">
        <v>0</v>
      </c>
      <c r="U56" s="2"/>
      <c r="V56" s="6">
        <f t="shared" si="25"/>
        <v>0</v>
      </c>
      <c r="W56" s="2"/>
      <c r="X56" s="7">
        <f t="shared" si="26"/>
        <v>2977.39</v>
      </c>
      <c r="Y56" s="2"/>
      <c r="Z56" s="6">
        <f t="shared" si="27"/>
        <v>0</v>
      </c>
    </row>
    <row r="57" spans="1:26" s="24" customFormat="1" hidden="1" outlineLevel="2" x14ac:dyDescent="0.25">
      <c r="A57" s="29"/>
      <c r="B57" s="11" t="str">
        <f>CONCATENATE("          ", "6007", " - ", "STUDENT HOURLY")</f>
        <v xml:space="preserve">          6007 - STUDENT HOURLY</v>
      </c>
      <c r="C57" s="11"/>
      <c r="D57" s="7">
        <v>48793.15</v>
      </c>
      <c r="E57" s="2"/>
      <c r="F57" s="6">
        <f t="shared" si="20"/>
        <v>0.20476307160365467</v>
      </c>
      <c r="G57" s="2"/>
      <c r="H57" s="7">
        <v>25522.987499999999</v>
      </c>
      <c r="I57" s="2"/>
      <c r="J57" s="6">
        <f t="shared" si="21"/>
        <v>8.2409523191432479E-2</v>
      </c>
      <c r="K57" s="2"/>
      <c r="L57" s="7">
        <f t="shared" si="22"/>
        <v>23270.162500000002</v>
      </c>
      <c r="M57" s="2"/>
      <c r="N57" s="6">
        <f t="shared" si="23"/>
        <v>0.91173349123020975</v>
      </c>
      <c r="O57" s="11"/>
      <c r="P57" s="7">
        <v>48793.15</v>
      </c>
      <c r="Q57" s="2"/>
      <c r="R57" s="6">
        <f t="shared" si="24"/>
        <v>0.20476307160365467</v>
      </c>
      <c r="S57" s="2"/>
      <c r="T57" s="7">
        <v>25522.987499999999</v>
      </c>
      <c r="U57" s="2"/>
      <c r="V57" s="6">
        <f t="shared" si="25"/>
        <v>8.2409523191432479E-2</v>
      </c>
      <c r="W57" s="2"/>
      <c r="X57" s="7">
        <f t="shared" si="26"/>
        <v>23270.162500000002</v>
      </c>
      <c r="Y57" s="2"/>
      <c r="Z57" s="6">
        <f t="shared" si="27"/>
        <v>0.91173349123020975</v>
      </c>
    </row>
    <row r="58" spans="1:26" s="24" customFormat="1" hidden="1" outlineLevel="2" x14ac:dyDescent="0.25">
      <c r="A58" s="29"/>
      <c r="B58" s="11" t="str">
        <f>CONCATENATE("          ", "6008", " - ", "STUDENT HOURLY-FICA EXEMPT")</f>
        <v xml:space="preserve">          6008 - STUDENT HOURLY-FICA EXEMPT</v>
      </c>
      <c r="C58" s="11"/>
      <c r="D58" s="7">
        <v>2526.02</v>
      </c>
      <c r="E58" s="2"/>
      <c r="F58" s="6">
        <f t="shared" si="20"/>
        <v>1.0600578444561659E-2</v>
      </c>
      <c r="G58" s="2"/>
      <c r="H58" s="7">
        <v>4732.5</v>
      </c>
      <c r="I58" s="2"/>
      <c r="J58" s="6">
        <f t="shared" si="21"/>
        <v>1.5280463092475135E-2</v>
      </c>
      <c r="K58" s="2"/>
      <c r="L58" s="7">
        <f t="shared" si="22"/>
        <v>-2206.48</v>
      </c>
      <c r="M58" s="2"/>
      <c r="N58" s="6">
        <f t="shared" si="23"/>
        <v>-0.46623983095615423</v>
      </c>
      <c r="O58" s="11"/>
      <c r="P58" s="7">
        <v>2526.02</v>
      </c>
      <c r="Q58" s="2"/>
      <c r="R58" s="6">
        <f t="shared" si="24"/>
        <v>1.0600578444561659E-2</v>
      </c>
      <c r="S58" s="2"/>
      <c r="T58" s="7">
        <v>4732.5</v>
      </c>
      <c r="U58" s="2"/>
      <c r="V58" s="6">
        <f t="shared" si="25"/>
        <v>1.5280463092475135E-2</v>
      </c>
      <c r="W58" s="2"/>
      <c r="X58" s="7">
        <f t="shared" si="26"/>
        <v>-2206.48</v>
      </c>
      <c r="Y58" s="2"/>
      <c r="Z58" s="6">
        <f t="shared" si="27"/>
        <v>-0.46623983095615423</v>
      </c>
    </row>
    <row r="59" spans="1:26" s="24" customFormat="1" hidden="1" outlineLevel="2" x14ac:dyDescent="0.25">
      <c r="A59" s="29"/>
      <c r="B59" s="11" t="str">
        <f>CONCATENATE("          ", "6009", " - ", "TEMPORARY-SEASONAL")</f>
        <v xml:space="preserve">          6009 - TEMPORARY-SEASONAL</v>
      </c>
      <c r="C59" s="11"/>
      <c r="D59" s="7"/>
      <c r="E59" s="2"/>
      <c r="F59" s="6">
        <f t="shared" si="20"/>
        <v>0</v>
      </c>
      <c r="G59" s="2"/>
      <c r="H59" s="7">
        <v>0</v>
      </c>
      <c r="I59" s="2"/>
      <c r="J59" s="6">
        <f t="shared" si="21"/>
        <v>0</v>
      </c>
      <c r="K59" s="2"/>
      <c r="L59" s="7">
        <f t="shared" si="22"/>
        <v>0</v>
      </c>
      <c r="M59" s="2"/>
      <c r="N59" s="6">
        <f t="shared" si="23"/>
        <v>0</v>
      </c>
      <c r="O59" s="11"/>
      <c r="P59" s="7"/>
      <c r="Q59" s="2"/>
      <c r="R59" s="6">
        <f t="shared" si="24"/>
        <v>0</v>
      </c>
      <c r="S59" s="2"/>
      <c r="T59" s="7">
        <v>0</v>
      </c>
      <c r="U59" s="2"/>
      <c r="V59" s="6">
        <f t="shared" si="25"/>
        <v>0</v>
      </c>
      <c r="W59" s="2"/>
      <c r="X59" s="7">
        <f t="shared" si="26"/>
        <v>0</v>
      </c>
      <c r="Y59" s="2"/>
      <c r="Z59" s="6">
        <f t="shared" si="27"/>
        <v>0</v>
      </c>
    </row>
    <row r="60" spans="1:26" s="24" customFormat="1" hidden="1" outlineLevel="2" x14ac:dyDescent="0.25">
      <c r="A60" s="29"/>
      <c r="B60" s="11" t="str">
        <f>CONCATENATE("          ", "6010", " - ", "GRATUITY")</f>
        <v xml:space="preserve">          6010 - GRATUITY</v>
      </c>
      <c r="C60" s="11"/>
      <c r="D60" s="7"/>
      <c r="E60" s="2"/>
      <c r="F60" s="6">
        <f t="shared" si="20"/>
        <v>0</v>
      </c>
      <c r="G60" s="2"/>
      <c r="H60" s="7">
        <v>0</v>
      </c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/>
      <c r="Q60" s="2"/>
      <c r="R60" s="6">
        <f t="shared" si="24"/>
        <v>0</v>
      </c>
      <c r="S60" s="2"/>
      <c r="T60" s="7">
        <v>0</v>
      </c>
      <c r="U60" s="2"/>
      <c r="V60" s="6">
        <f t="shared" si="25"/>
        <v>0</v>
      </c>
      <c r="W60" s="2"/>
      <c r="X60" s="7">
        <f t="shared" si="26"/>
        <v>0</v>
      </c>
      <c r="Y60" s="2"/>
      <c r="Z60" s="6">
        <f t="shared" si="27"/>
        <v>0</v>
      </c>
    </row>
    <row r="61" spans="1:26" s="27" customFormat="1" outlineLevel="1" collapsed="1" x14ac:dyDescent="0.25">
      <c r="A61" s="28"/>
      <c r="B61" s="14" t="str">
        <f>CONCATENATE("     ","Advertising/Promo                                 ")</f>
        <v xml:space="preserve">     Advertising/Promo                                 </v>
      </c>
      <c r="C61" s="14"/>
      <c r="D61" s="1">
        <f>SUM(OSRRefD22_2x_0)</f>
        <v>3048.45</v>
      </c>
      <c r="E61" s="1"/>
      <c r="F61" s="5">
        <f t="shared" ref="F61:F71" si="28">IF(D$12=0,0,D61/D$12)</f>
        <v>1.2792983966605168E-2</v>
      </c>
      <c r="G61" s="1"/>
      <c r="H61" s="1">
        <f>SUM(OSRRefH22_2x_0)</f>
        <v>2275</v>
      </c>
      <c r="I61" s="1"/>
      <c r="J61" s="5">
        <f t="shared" ref="J61:J71" si="29">IF(H$12=0,0,H61/H$12)</f>
        <v>7.3456003244333715E-3</v>
      </c>
      <c r="K61" s="1"/>
      <c r="L61" s="1">
        <f t="shared" ref="L61:L71" si="30">+D61-H61</f>
        <v>773.44999999999982</v>
      </c>
      <c r="M61" s="1"/>
      <c r="N61" s="5">
        <f t="shared" ref="N61:N71" si="31">IF(H61=0,0,L61/H61)</f>
        <v>0.3399780219780219</v>
      </c>
      <c r="O61" s="14"/>
      <c r="P61" s="1">
        <f>SUM(OSRRefP22_2x_0)</f>
        <v>3048.45</v>
      </c>
      <c r="Q61" s="1"/>
      <c r="R61" s="5">
        <f t="shared" ref="R61:R71" si="32">IF(P$12=0,0,P61/P$12)</f>
        <v>1.2792983966605168E-2</v>
      </c>
      <c r="S61" s="1"/>
      <c r="T61" s="1">
        <f>SUM(OSRRefT22_2x_0)</f>
        <v>2275</v>
      </c>
      <c r="U61" s="1"/>
      <c r="V61" s="5">
        <f t="shared" ref="V61:V71" si="33">IF(T$12=0,0,T61/T$12)</f>
        <v>7.3456003244333715E-3</v>
      </c>
      <c r="W61" s="1"/>
      <c r="X61" s="1">
        <f t="shared" ref="X61:X71" si="34">+P61-T61</f>
        <v>773.44999999999982</v>
      </c>
      <c r="Y61" s="1"/>
      <c r="Z61" s="5">
        <f t="shared" ref="Z61:Z71" si="35">IF(T61=0,0,X61/T61)</f>
        <v>0.3399780219780219</v>
      </c>
    </row>
    <row r="62" spans="1:26" s="24" customFormat="1" hidden="1" outlineLevel="2" x14ac:dyDescent="0.25">
      <c r="A62" s="29"/>
      <c r="B62" s="11" t="str">
        <f>CONCATENATE("          ", "6362", " - ", "ADVERTISING EXPENSE")</f>
        <v xml:space="preserve">          6362 - ADVERTISING EXPENSE</v>
      </c>
      <c r="C62" s="11"/>
      <c r="D62" s="7">
        <v>3048.45</v>
      </c>
      <c r="E62" s="2"/>
      <c r="F62" s="6">
        <f t="shared" si="28"/>
        <v>1.2792983966605168E-2</v>
      </c>
      <c r="G62" s="2"/>
      <c r="H62" s="7">
        <v>2275</v>
      </c>
      <c r="I62" s="2"/>
      <c r="J62" s="6">
        <f t="shared" si="29"/>
        <v>7.3456003244333715E-3</v>
      </c>
      <c r="K62" s="2"/>
      <c r="L62" s="7">
        <f t="shared" si="30"/>
        <v>773.44999999999982</v>
      </c>
      <c r="M62" s="2"/>
      <c r="N62" s="6">
        <f t="shared" si="31"/>
        <v>0.3399780219780219</v>
      </c>
      <c r="O62" s="11"/>
      <c r="P62" s="7">
        <v>3048.45</v>
      </c>
      <c r="Q62" s="2"/>
      <c r="R62" s="6">
        <f t="shared" si="32"/>
        <v>1.2792983966605168E-2</v>
      </c>
      <c r="S62" s="2"/>
      <c r="T62" s="7">
        <v>2275</v>
      </c>
      <c r="U62" s="2"/>
      <c r="V62" s="6">
        <f t="shared" si="33"/>
        <v>7.3456003244333715E-3</v>
      </c>
      <c r="W62" s="2"/>
      <c r="X62" s="7">
        <f t="shared" si="34"/>
        <v>773.44999999999982</v>
      </c>
      <c r="Y62" s="2"/>
      <c r="Z62" s="6">
        <f t="shared" si="35"/>
        <v>0.3399780219780219</v>
      </c>
    </row>
    <row r="63" spans="1:26" s="27" customFormat="1" outlineLevel="1" collapsed="1" x14ac:dyDescent="0.25">
      <c r="A63" s="28"/>
      <c r="B63" s="14" t="str">
        <f>CONCATENATE("     ","Bad Debts/Over/Short                              ")</f>
        <v xml:space="preserve">     Bad Debts/Over/Short                              </v>
      </c>
      <c r="C63" s="14"/>
      <c r="D63" s="1">
        <f>SUM(OSRRefD22_3x_0)</f>
        <v>-20.76</v>
      </c>
      <c r="E63" s="1"/>
      <c r="F63" s="5">
        <f t="shared" si="28"/>
        <v>-8.7120453721308645E-5</v>
      </c>
      <c r="G63" s="1"/>
      <c r="H63" s="1">
        <f>SUM(OSRRefH22_3x_0)</f>
        <v>119</v>
      </c>
      <c r="I63" s="1"/>
      <c r="J63" s="5">
        <f t="shared" si="29"/>
        <v>3.8423140158574558E-4</v>
      </c>
      <c r="K63" s="1"/>
      <c r="L63" s="1">
        <f t="shared" si="30"/>
        <v>-139.76</v>
      </c>
      <c r="M63" s="1"/>
      <c r="N63" s="5">
        <f t="shared" si="31"/>
        <v>-1.174453781512605</v>
      </c>
      <c r="O63" s="14"/>
      <c r="P63" s="1">
        <f>SUM(OSRRefP22_3x_0)</f>
        <v>-20.76</v>
      </c>
      <c r="Q63" s="1"/>
      <c r="R63" s="5">
        <f t="shared" si="32"/>
        <v>-8.7120453721308645E-5</v>
      </c>
      <c r="S63" s="1"/>
      <c r="T63" s="1">
        <f>SUM(OSRRefT22_3x_0)</f>
        <v>119</v>
      </c>
      <c r="U63" s="1"/>
      <c r="V63" s="5">
        <f t="shared" si="33"/>
        <v>3.8423140158574558E-4</v>
      </c>
      <c r="W63" s="1"/>
      <c r="X63" s="1">
        <f t="shared" si="34"/>
        <v>-139.76</v>
      </c>
      <c r="Y63" s="1"/>
      <c r="Z63" s="5">
        <f t="shared" si="35"/>
        <v>-1.174453781512605</v>
      </c>
    </row>
    <row r="64" spans="1:26" s="24" customFormat="1" hidden="1" outlineLevel="2" x14ac:dyDescent="0.25">
      <c r="A64" s="29"/>
      <c r="B64" s="11" t="str">
        <f>CONCATENATE("          ", "6272", " - ", "CASH (OVER/SHORT)")</f>
        <v xml:space="preserve">          6272 - CASH (OVER/SHORT)</v>
      </c>
      <c r="C64" s="11"/>
      <c r="D64" s="7">
        <v>-20.76</v>
      </c>
      <c r="E64" s="2"/>
      <c r="F64" s="6">
        <f t="shared" si="28"/>
        <v>-8.7120453721308645E-5</v>
      </c>
      <c r="G64" s="2"/>
      <c r="H64" s="7">
        <v>119</v>
      </c>
      <c r="I64" s="2"/>
      <c r="J64" s="6">
        <f t="shared" si="29"/>
        <v>3.8423140158574558E-4</v>
      </c>
      <c r="K64" s="2"/>
      <c r="L64" s="7">
        <f t="shared" si="30"/>
        <v>-139.76</v>
      </c>
      <c r="M64" s="2"/>
      <c r="N64" s="6">
        <f t="shared" si="31"/>
        <v>-1.174453781512605</v>
      </c>
      <c r="O64" s="11"/>
      <c r="P64" s="7">
        <v>-20.76</v>
      </c>
      <c r="Q64" s="2"/>
      <c r="R64" s="6">
        <f t="shared" si="32"/>
        <v>-8.7120453721308645E-5</v>
      </c>
      <c r="S64" s="2"/>
      <c r="T64" s="7">
        <v>119</v>
      </c>
      <c r="U64" s="2"/>
      <c r="V64" s="6">
        <f t="shared" si="33"/>
        <v>3.8423140158574558E-4</v>
      </c>
      <c r="W64" s="2"/>
      <c r="X64" s="7">
        <f t="shared" si="34"/>
        <v>-139.76</v>
      </c>
      <c r="Y64" s="2"/>
      <c r="Z64" s="6">
        <f t="shared" si="35"/>
        <v>-1.174453781512605</v>
      </c>
    </row>
    <row r="65" spans="1:26" s="27" customFormat="1" outlineLevel="1" collapsed="1" x14ac:dyDescent="0.25">
      <c r="A65" s="28"/>
      <c r="B65" s="14" t="str">
        <f>CONCATENATE("     ","Bank/card Fees                                    ")</f>
        <v xml:space="preserve">     Bank/card Fees                                    </v>
      </c>
      <c r="C65" s="14"/>
      <c r="D65" s="1">
        <f>SUM(OSRRefD22_4x_0)</f>
        <v>5718.72</v>
      </c>
      <c r="E65" s="1"/>
      <c r="F65" s="5">
        <f t="shared" si="28"/>
        <v>2.3998915274813206E-2</v>
      </c>
      <c r="G65" s="1"/>
      <c r="H65" s="1">
        <f>SUM(OSRRefH22_4x_0)</f>
        <v>6336</v>
      </c>
      <c r="I65" s="1"/>
      <c r="J65" s="5">
        <f t="shared" si="29"/>
        <v>2.0457900507960369E-2</v>
      </c>
      <c r="K65" s="1"/>
      <c r="L65" s="1">
        <f t="shared" si="30"/>
        <v>-617.27999999999975</v>
      </c>
      <c r="M65" s="1"/>
      <c r="N65" s="5">
        <f t="shared" si="31"/>
        <v>-9.7424242424242385E-2</v>
      </c>
      <c r="O65" s="14"/>
      <c r="P65" s="1">
        <f>SUM(OSRRefP22_4x_0)</f>
        <v>5718.72</v>
      </c>
      <c r="Q65" s="1"/>
      <c r="R65" s="5">
        <f t="shared" si="32"/>
        <v>2.3998915274813206E-2</v>
      </c>
      <c r="S65" s="1"/>
      <c r="T65" s="1">
        <f>SUM(OSRRefT22_4x_0)</f>
        <v>6336</v>
      </c>
      <c r="U65" s="1"/>
      <c r="V65" s="5">
        <f t="shared" si="33"/>
        <v>2.0457900507960369E-2</v>
      </c>
      <c r="W65" s="1"/>
      <c r="X65" s="1">
        <f t="shared" si="34"/>
        <v>-617.27999999999975</v>
      </c>
      <c r="Y65" s="1"/>
      <c r="Z65" s="5">
        <f t="shared" si="35"/>
        <v>-9.7424242424242385E-2</v>
      </c>
    </row>
    <row r="66" spans="1:26" s="24" customFormat="1" hidden="1" outlineLevel="2" x14ac:dyDescent="0.25">
      <c r="A66" s="29"/>
      <c r="B66" s="11" t="str">
        <f>CONCATENATE("          ", "6381", " - ", "BANK/CREDIT CARD FEES")</f>
        <v xml:space="preserve">          6381 - BANK/CREDIT CARD FEES</v>
      </c>
      <c r="C66" s="11"/>
      <c r="D66" s="7">
        <v>5718.72</v>
      </c>
      <c r="E66" s="2"/>
      <c r="F66" s="6">
        <f t="shared" si="28"/>
        <v>2.3998915274813206E-2</v>
      </c>
      <c r="G66" s="2"/>
      <c r="H66" s="7">
        <v>6336</v>
      </c>
      <c r="I66" s="2"/>
      <c r="J66" s="6">
        <f t="shared" si="29"/>
        <v>2.0457900507960369E-2</v>
      </c>
      <c r="K66" s="2"/>
      <c r="L66" s="7">
        <f t="shared" si="30"/>
        <v>-617.27999999999975</v>
      </c>
      <c r="M66" s="2"/>
      <c r="N66" s="6">
        <f t="shared" si="31"/>
        <v>-9.7424242424242385E-2</v>
      </c>
      <c r="O66" s="11"/>
      <c r="P66" s="7">
        <v>5718.72</v>
      </c>
      <c r="Q66" s="2"/>
      <c r="R66" s="6">
        <f t="shared" si="32"/>
        <v>2.3998915274813206E-2</v>
      </c>
      <c r="S66" s="2"/>
      <c r="T66" s="7">
        <v>6336</v>
      </c>
      <c r="U66" s="2"/>
      <c r="V66" s="6">
        <f t="shared" si="33"/>
        <v>2.0457900507960369E-2</v>
      </c>
      <c r="W66" s="2"/>
      <c r="X66" s="7">
        <f t="shared" si="34"/>
        <v>-617.27999999999975</v>
      </c>
      <c r="Y66" s="2"/>
      <c r="Z66" s="6">
        <f t="shared" si="35"/>
        <v>-9.7424242424242385E-2</v>
      </c>
    </row>
    <row r="67" spans="1:26" s="27" customFormat="1" outlineLevel="1" collapsed="1" x14ac:dyDescent="0.25">
      <c r="A67" s="28"/>
      <c r="B67" s="14" t="str">
        <f>CONCATENATE("     ","Depreciation                                      ")</f>
        <v xml:space="preserve">     Depreciation                                      </v>
      </c>
      <c r="C67" s="14"/>
      <c r="D67" s="1">
        <f>SUM(OSRRefD22_5x_0)</f>
        <v>47974.53</v>
      </c>
      <c r="E67" s="1"/>
      <c r="F67" s="5">
        <f t="shared" si="28"/>
        <v>0.20132768885676941</v>
      </c>
      <c r="G67" s="1"/>
      <c r="H67" s="1">
        <f>SUM(OSRRefH22_5x_0)</f>
        <v>47443</v>
      </c>
      <c r="I67" s="1"/>
      <c r="J67" s="5">
        <f t="shared" si="29"/>
        <v>0.15318563349102965</v>
      </c>
      <c r="K67" s="1"/>
      <c r="L67" s="1">
        <f t="shared" si="30"/>
        <v>531.52999999999884</v>
      </c>
      <c r="M67" s="1"/>
      <c r="N67" s="5">
        <f t="shared" si="31"/>
        <v>1.1203549522584972E-2</v>
      </c>
      <c r="O67" s="14"/>
      <c r="P67" s="1">
        <f>SUM(OSRRefP22_5x_0)</f>
        <v>47974.53</v>
      </c>
      <c r="Q67" s="1"/>
      <c r="R67" s="5">
        <f t="shared" si="32"/>
        <v>0.20132768885676941</v>
      </c>
      <c r="S67" s="1"/>
      <c r="T67" s="1">
        <f>SUM(OSRRefT22_5x_0)</f>
        <v>47443</v>
      </c>
      <c r="U67" s="1"/>
      <c r="V67" s="5">
        <f t="shared" si="33"/>
        <v>0.15318563349102965</v>
      </c>
      <c r="W67" s="1"/>
      <c r="X67" s="1">
        <f t="shared" si="34"/>
        <v>531.52999999999884</v>
      </c>
      <c r="Y67" s="1"/>
      <c r="Z67" s="5">
        <f t="shared" si="35"/>
        <v>1.1203549522584972E-2</v>
      </c>
    </row>
    <row r="68" spans="1:26" s="24" customFormat="1" hidden="1" outlineLevel="2" x14ac:dyDescent="0.25">
      <c r="A68" s="29"/>
      <c r="B68" s="11" t="str">
        <f>CONCATENATE("          ", "6321", " - ", "BUILDING DEPRECIATION")</f>
        <v xml:space="preserve">          6321 - BUILDING DEPRECIATION</v>
      </c>
      <c r="C68" s="11"/>
      <c r="D68" s="7">
        <v>29123.47</v>
      </c>
      <c r="E68" s="2"/>
      <c r="F68" s="6">
        <f t="shared" si="28"/>
        <v>0.12221820425524665</v>
      </c>
      <c r="G68" s="2"/>
      <c r="H68" s="7">
        <v>28200</v>
      </c>
      <c r="I68" s="2"/>
      <c r="J68" s="6">
        <f t="shared" si="29"/>
        <v>9.1053155669899369E-2</v>
      </c>
      <c r="K68" s="2"/>
      <c r="L68" s="7">
        <f t="shared" si="30"/>
        <v>923.47000000000116</v>
      </c>
      <c r="M68" s="2"/>
      <c r="N68" s="6">
        <f t="shared" si="31"/>
        <v>3.274716312056742E-2</v>
      </c>
      <c r="O68" s="11"/>
      <c r="P68" s="7">
        <v>29123.47</v>
      </c>
      <c r="Q68" s="2"/>
      <c r="R68" s="6">
        <f t="shared" si="32"/>
        <v>0.12221820425524665</v>
      </c>
      <c r="S68" s="2"/>
      <c r="T68" s="7">
        <v>28200</v>
      </c>
      <c r="U68" s="2"/>
      <c r="V68" s="6">
        <f t="shared" si="33"/>
        <v>9.1053155669899369E-2</v>
      </c>
      <c r="W68" s="2"/>
      <c r="X68" s="7">
        <f t="shared" si="34"/>
        <v>923.47000000000116</v>
      </c>
      <c r="Y68" s="2"/>
      <c r="Z68" s="6">
        <f t="shared" si="35"/>
        <v>3.274716312056742E-2</v>
      </c>
    </row>
    <row r="69" spans="1:26" s="24" customFormat="1" hidden="1" outlineLevel="2" x14ac:dyDescent="0.25">
      <c r="A69" s="29"/>
      <c r="B69" s="11" t="str">
        <f>CONCATENATE("          ", "6322", " - ", "EQUIPMENT DEPRECIATION EXPENSE")</f>
        <v xml:space="preserve">          6322 - EQUIPMENT DEPRECIATION EXPENSE</v>
      </c>
      <c r="C69" s="11"/>
      <c r="D69" s="7">
        <v>18426.809999999998</v>
      </c>
      <c r="E69" s="2"/>
      <c r="F69" s="6">
        <f t="shared" si="28"/>
        <v>7.732909671658704E-2</v>
      </c>
      <c r="G69" s="2"/>
      <c r="H69" s="7">
        <v>18476</v>
      </c>
      <c r="I69" s="2"/>
      <c r="J69" s="6">
        <f t="shared" si="29"/>
        <v>5.9655961140321304E-2</v>
      </c>
      <c r="K69" s="2"/>
      <c r="L69" s="7">
        <f t="shared" si="30"/>
        <v>-49.190000000002328</v>
      </c>
      <c r="M69" s="2"/>
      <c r="N69" s="6">
        <f t="shared" si="31"/>
        <v>-2.6623728079672184E-3</v>
      </c>
      <c r="O69" s="11"/>
      <c r="P69" s="7">
        <v>18426.809999999998</v>
      </c>
      <c r="Q69" s="2"/>
      <c r="R69" s="6">
        <f t="shared" si="32"/>
        <v>7.732909671658704E-2</v>
      </c>
      <c r="S69" s="2"/>
      <c r="T69" s="7">
        <v>18476</v>
      </c>
      <c r="U69" s="2"/>
      <c r="V69" s="6">
        <f t="shared" si="33"/>
        <v>5.9655961140321304E-2</v>
      </c>
      <c r="W69" s="2"/>
      <c r="X69" s="7">
        <f t="shared" si="34"/>
        <v>-49.190000000002328</v>
      </c>
      <c r="Y69" s="2"/>
      <c r="Z69" s="6">
        <f t="shared" si="35"/>
        <v>-2.6623728079672184E-3</v>
      </c>
    </row>
    <row r="70" spans="1:26" s="24" customFormat="1" hidden="1" outlineLevel="2" x14ac:dyDescent="0.25">
      <c r="A70" s="29"/>
      <c r="B70" s="11" t="str">
        <f>CONCATENATE("          ", "6324", " - ", "FURNITURE + FIXT DEPRECIATION")</f>
        <v xml:space="preserve">          6324 - FURNITURE + FIXT DEPRECIATION</v>
      </c>
      <c r="C70" s="11"/>
      <c r="D70" s="7"/>
      <c r="E70" s="2"/>
      <c r="F70" s="6">
        <f t="shared" si="28"/>
        <v>0</v>
      </c>
      <c r="G70" s="2"/>
      <c r="H70" s="7">
        <v>343</v>
      </c>
      <c r="I70" s="2"/>
      <c r="J70" s="6">
        <f t="shared" si="29"/>
        <v>1.1074905104530314E-3</v>
      </c>
      <c r="K70" s="2"/>
      <c r="L70" s="7">
        <f t="shared" si="30"/>
        <v>-343</v>
      </c>
      <c r="M70" s="2"/>
      <c r="N70" s="6">
        <f t="shared" si="31"/>
        <v>-1</v>
      </c>
      <c r="O70" s="11"/>
      <c r="P70" s="7"/>
      <c r="Q70" s="2"/>
      <c r="R70" s="6">
        <f t="shared" si="32"/>
        <v>0</v>
      </c>
      <c r="S70" s="2"/>
      <c r="T70" s="7">
        <v>343</v>
      </c>
      <c r="U70" s="2"/>
      <c r="V70" s="6">
        <f t="shared" si="33"/>
        <v>1.1074905104530314E-3</v>
      </c>
      <c r="W70" s="2"/>
      <c r="X70" s="7">
        <f t="shared" si="34"/>
        <v>-343</v>
      </c>
      <c r="Y70" s="2"/>
      <c r="Z70" s="6">
        <f t="shared" si="35"/>
        <v>-1</v>
      </c>
    </row>
    <row r="71" spans="1:26" s="24" customFormat="1" hidden="1" outlineLevel="2" x14ac:dyDescent="0.25">
      <c r="A71" s="29"/>
      <c r="B71" s="11" t="str">
        <f>CONCATENATE("          ", "6326", " - ", "VEHICLES DEPRECIATION EXPENSE")</f>
        <v xml:space="preserve">          6326 - VEHICLES DEPRECIATION EXPENSE</v>
      </c>
      <c r="C71" s="11"/>
      <c r="D71" s="7">
        <v>424.25</v>
      </c>
      <c r="E71" s="2"/>
      <c r="F71" s="6">
        <f t="shared" si="28"/>
        <v>1.7803878849357029E-3</v>
      </c>
      <c r="G71" s="2"/>
      <c r="H71" s="7">
        <v>424</v>
      </c>
      <c r="I71" s="2"/>
      <c r="J71" s="6">
        <f t="shared" si="29"/>
        <v>1.3690261703559338E-3</v>
      </c>
      <c r="K71" s="2"/>
      <c r="L71" s="7">
        <f t="shared" si="30"/>
        <v>0.25</v>
      </c>
      <c r="M71" s="2"/>
      <c r="N71" s="6">
        <f t="shared" si="31"/>
        <v>5.8962264150943394E-4</v>
      </c>
      <c r="O71" s="11"/>
      <c r="P71" s="7">
        <v>424.25</v>
      </c>
      <c r="Q71" s="2"/>
      <c r="R71" s="6">
        <f t="shared" si="32"/>
        <v>1.7803878849357029E-3</v>
      </c>
      <c r="S71" s="2"/>
      <c r="T71" s="7">
        <v>424</v>
      </c>
      <c r="U71" s="2"/>
      <c r="V71" s="6">
        <f t="shared" si="33"/>
        <v>1.3690261703559338E-3</v>
      </c>
      <c r="W71" s="2"/>
      <c r="X71" s="7">
        <f t="shared" si="34"/>
        <v>0.25</v>
      </c>
      <c r="Y71" s="2"/>
      <c r="Z71" s="6">
        <f t="shared" si="35"/>
        <v>5.8962264150943394E-4</v>
      </c>
    </row>
    <row r="72" spans="1:26" s="27" customFormat="1" outlineLevel="1" collapsed="1" x14ac:dyDescent="0.25">
      <c r="A72" s="28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SUM(OSRRefD22_6x_0)</f>
        <v>13.91</v>
      </c>
      <c r="E72" s="1"/>
      <c r="F72" s="5">
        <f t="shared" ref="F72:F82" si="36">IF(D$12=0,0,D72/D$12)</f>
        <v>5.8374061236194759E-5</v>
      </c>
      <c r="G72" s="1"/>
      <c r="H72" s="1">
        <f>SUM(OSRRefH22_6x_0)</f>
        <v>0</v>
      </c>
      <c r="I72" s="1"/>
      <c r="J72" s="5">
        <f t="shared" ref="J72:J82" si="37">IF(H$12=0,0,H72/H$12)</f>
        <v>0</v>
      </c>
      <c r="K72" s="1"/>
      <c r="L72" s="1">
        <f t="shared" ref="L72:L82" si="38">+D72-H72</f>
        <v>13.91</v>
      </c>
      <c r="M72" s="1"/>
      <c r="N72" s="5">
        <f t="shared" ref="N72:N82" si="39">IF(H72=0,0,L72/H72)</f>
        <v>0</v>
      </c>
      <c r="O72" s="14"/>
      <c r="P72" s="1">
        <f>SUM(OSRRefP22_6x_0)</f>
        <v>13.91</v>
      </c>
      <c r="Q72" s="1"/>
      <c r="R72" s="5">
        <f t="shared" ref="R72:R82" si="40">IF(P$12=0,0,P72/P$12)</f>
        <v>5.8374061236194759E-5</v>
      </c>
      <c r="S72" s="1"/>
      <c r="T72" s="1">
        <f>SUM(OSRRefT22_6x_0)</f>
        <v>0</v>
      </c>
      <c r="U72" s="1"/>
      <c r="V72" s="5">
        <f t="shared" ref="V72:V82" si="41">IF(T$12=0,0,T72/T$12)</f>
        <v>0</v>
      </c>
      <c r="W72" s="1"/>
      <c r="X72" s="1">
        <f t="shared" ref="X72:X82" si="42">+P72-T72</f>
        <v>13.91</v>
      </c>
      <c r="Y72" s="1"/>
      <c r="Z72" s="5">
        <f t="shared" ref="Z72:Z82" si="43">IF(T72=0,0,X72/T72)</f>
        <v>0</v>
      </c>
    </row>
    <row r="73" spans="1:26" s="24" customFormat="1" hidden="1" outlineLevel="2" x14ac:dyDescent="0.25">
      <c r="A73" s="29"/>
      <c r="B73" s="11" t="str">
        <f>CONCATENATE("          ", "6382", " - ", "DISCOUNTS/MARK DOWNS")</f>
        <v xml:space="preserve">          6382 - DISCOUNTS/MARK DOWNS</v>
      </c>
      <c r="C73" s="11"/>
      <c r="D73" s="7">
        <v>13.91</v>
      </c>
      <c r="E73" s="2"/>
      <c r="F73" s="6">
        <f t="shared" si="36"/>
        <v>5.8374061236194759E-5</v>
      </c>
      <c r="G73" s="2"/>
      <c r="H73" s="7"/>
      <c r="I73" s="2"/>
      <c r="J73" s="6">
        <f t="shared" si="37"/>
        <v>0</v>
      </c>
      <c r="K73" s="2"/>
      <c r="L73" s="7">
        <f t="shared" si="38"/>
        <v>13.91</v>
      </c>
      <c r="M73" s="2"/>
      <c r="N73" s="6">
        <f t="shared" si="39"/>
        <v>0</v>
      </c>
      <c r="O73" s="11"/>
      <c r="P73" s="7">
        <v>13.91</v>
      </c>
      <c r="Q73" s="2"/>
      <c r="R73" s="6">
        <f t="shared" si="40"/>
        <v>5.8374061236194759E-5</v>
      </c>
      <c r="S73" s="2"/>
      <c r="T73" s="7"/>
      <c r="U73" s="2"/>
      <c r="V73" s="6">
        <f t="shared" si="41"/>
        <v>0</v>
      </c>
      <c r="W73" s="2"/>
      <c r="X73" s="7">
        <f t="shared" si="42"/>
        <v>13.91</v>
      </c>
      <c r="Y73" s="2"/>
      <c r="Z73" s="6">
        <f t="shared" si="43"/>
        <v>0</v>
      </c>
    </row>
    <row r="74" spans="1:26" s="27" customFormat="1" outlineLevel="1" collapsed="1" x14ac:dyDescent="0.25">
      <c r="A74" s="28"/>
      <c r="B74" s="14" t="str">
        <f>CONCATENATE("     ","Employees' Appreciation                           ")</f>
        <v xml:space="preserve">     Employees' Appreciation                           </v>
      </c>
      <c r="C74" s="14"/>
      <c r="D74" s="1">
        <f>SUM(OSRRefD22_7x_0)</f>
        <v>109.76</v>
      </c>
      <c r="E74" s="1"/>
      <c r="F74" s="5">
        <f t="shared" si="36"/>
        <v>4.60613728345416E-4</v>
      </c>
      <c r="G74" s="1"/>
      <c r="H74" s="1">
        <f>SUM(OSRRefH22_7x_0)</f>
        <v>390</v>
      </c>
      <c r="I74" s="1"/>
      <c r="J74" s="5">
        <f t="shared" si="37"/>
        <v>1.2592457699028637E-3</v>
      </c>
      <c r="K74" s="1"/>
      <c r="L74" s="1">
        <f t="shared" si="38"/>
        <v>-280.24</v>
      </c>
      <c r="M74" s="1"/>
      <c r="N74" s="5">
        <f t="shared" si="39"/>
        <v>-0.71856410256410264</v>
      </c>
      <c r="O74" s="14"/>
      <c r="P74" s="1">
        <f>SUM(OSRRefP22_7x_0)</f>
        <v>109.76</v>
      </c>
      <c r="Q74" s="1"/>
      <c r="R74" s="5">
        <f t="shared" si="40"/>
        <v>4.60613728345416E-4</v>
      </c>
      <c r="S74" s="1"/>
      <c r="T74" s="1">
        <f>SUM(OSRRefT22_7x_0)</f>
        <v>390</v>
      </c>
      <c r="U74" s="1"/>
      <c r="V74" s="5">
        <f t="shared" si="41"/>
        <v>1.2592457699028637E-3</v>
      </c>
      <c r="W74" s="1"/>
      <c r="X74" s="1">
        <f t="shared" si="42"/>
        <v>-280.24</v>
      </c>
      <c r="Y74" s="1"/>
      <c r="Z74" s="5">
        <f t="shared" si="43"/>
        <v>-0.71856410256410264</v>
      </c>
    </row>
    <row r="75" spans="1:26" s="24" customFormat="1" hidden="1" outlineLevel="2" x14ac:dyDescent="0.25">
      <c r="A75" s="29"/>
      <c r="B75" s="11" t="str">
        <f>CONCATENATE("          ", "6277", " - ", "EMPLOYEE APPRECIATION")</f>
        <v xml:space="preserve">          6277 - EMPLOYEE APPRECIATION</v>
      </c>
      <c r="C75" s="11"/>
      <c r="D75" s="7">
        <v>109.76</v>
      </c>
      <c r="E75" s="2"/>
      <c r="F75" s="6">
        <f t="shared" si="36"/>
        <v>4.60613728345416E-4</v>
      </c>
      <c r="G75" s="2"/>
      <c r="H75" s="7">
        <v>390</v>
      </c>
      <c r="I75" s="2"/>
      <c r="J75" s="6">
        <f t="shared" si="37"/>
        <v>1.2592457699028637E-3</v>
      </c>
      <c r="K75" s="2"/>
      <c r="L75" s="7">
        <f t="shared" si="38"/>
        <v>-280.24</v>
      </c>
      <c r="M75" s="2"/>
      <c r="N75" s="6">
        <f t="shared" si="39"/>
        <v>-0.71856410256410264</v>
      </c>
      <c r="O75" s="11"/>
      <c r="P75" s="7">
        <v>109.76</v>
      </c>
      <c r="Q75" s="2"/>
      <c r="R75" s="6">
        <f t="shared" si="40"/>
        <v>4.60613728345416E-4</v>
      </c>
      <c r="S75" s="2"/>
      <c r="T75" s="7">
        <v>390</v>
      </c>
      <c r="U75" s="2"/>
      <c r="V75" s="6">
        <f t="shared" si="41"/>
        <v>1.2592457699028637E-3</v>
      </c>
      <c r="W75" s="2"/>
      <c r="X75" s="7">
        <f t="shared" si="42"/>
        <v>-280.24</v>
      </c>
      <c r="Y75" s="2"/>
      <c r="Z75" s="6">
        <f t="shared" si="43"/>
        <v>-0.71856410256410264</v>
      </c>
    </row>
    <row r="76" spans="1:26" s="27" customFormat="1" outlineLevel="1" collapsed="1" x14ac:dyDescent="0.25">
      <c r="A76" s="28"/>
      <c r="B76" s="14" t="str">
        <f>CONCATENATE("     ","Equipment Rental                                  ")</f>
        <v xml:space="preserve">     Equipment Rental                                  </v>
      </c>
      <c r="C76" s="14"/>
      <c r="D76" s="1">
        <f>SUM(OSRRefD22_8x_0)</f>
        <v>1684.48</v>
      </c>
      <c r="E76" s="1"/>
      <c r="F76" s="5">
        <f t="shared" si="36"/>
        <v>7.0690106880765885E-3</v>
      </c>
      <c r="G76" s="1"/>
      <c r="H76" s="1">
        <f>SUM(OSRRefH22_8x_0)</f>
        <v>1870</v>
      </c>
      <c r="I76" s="1"/>
      <c r="J76" s="5">
        <f t="shared" si="37"/>
        <v>6.0379220249188589E-3</v>
      </c>
      <c r="K76" s="1"/>
      <c r="L76" s="1">
        <f t="shared" si="38"/>
        <v>-185.51999999999998</v>
      </c>
      <c r="M76" s="1"/>
      <c r="N76" s="5">
        <f t="shared" si="39"/>
        <v>-9.9208556149732605E-2</v>
      </c>
      <c r="O76" s="14"/>
      <c r="P76" s="1">
        <f>SUM(OSRRefP22_8x_0)</f>
        <v>1684.48</v>
      </c>
      <c r="Q76" s="1"/>
      <c r="R76" s="5">
        <f t="shared" si="40"/>
        <v>7.0690106880765885E-3</v>
      </c>
      <c r="S76" s="1"/>
      <c r="T76" s="1">
        <f>SUM(OSRRefT22_8x_0)</f>
        <v>1870</v>
      </c>
      <c r="U76" s="1"/>
      <c r="V76" s="5">
        <f t="shared" si="41"/>
        <v>6.0379220249188589E-3</v>
      </c>
      <c r="W76" s="1"/>
      <c r="X76" s="1">
        <f t="shared" si="42"/>
        <v>-185.51999999999998</v>
      </c>
      <c r="Y76" s="1"/>
      <c r="Z76" s="5">
        <f t="shared" si="43"/>
        <v>-9.9208556149732605E-2</v>
      </c>
    </row>
    <row r="77" spans="1:26" s="24" customFormat="1" hidden="1" outlineLevel="2" x14ac:dyDescent="0.25">
      <c r="A77" s="29"/>
      <c r="B77" s="11" t="str">
        <f>CONCATENATE("          ", "6351", " - ", "EQUIPMENT RENTAL")</f>
        <v xml:space="preserve">          6351 - EQUIPMENT RENTAL</v>
      </c>
      <c r="C77" s="11"/>
      <c r="D77" s="7">
        <v>1684.48</v>
      </c>
      <c r="E77" s="2"/>
      <c r="F77" s="6">
        <f t="shared" si="36"/>
        <v>7.0690106880765885E-3</v>
      </c>
      <c r="G77" s="2"/>
      <c r="H77" s="7">
        <v>1870</v>
      </c>
      <c r="I77" s="2"/>
      <c r="J77" s="6">
        <f t="shared" si="37"/>
        <v>6.0379220249188589E-3</v>
      </c>
      <c r="K77" s="2"/>
      <c r="L77" s="7">
        <f t="shared" si="38"/>
        <v>-185.51999999999998</v>
      </c>
      <c r="M77" s="2"/>
      <c r="N77" s="6">
        <f t="shared" si="39"/>
        <v>-9.9208556149732605E-2</v>
      </c>
      <c r="O77" s="11"/>
      <c r="P77" s="7">
        <v>1684.48</v>
      </c>
      <c r="Q77" s="2"/>
      <c r="R77" s="6">
        <f t="shared" si="40"/>
        <v>7.0690106880765885E-3</v>
      </c>
      <c r="S77" s="2"/>
      <c r="T77" s="7">
        <v>1870</v>
      </c>
      <c r="U77" s="2"/>
      <c r="V77" s="6">
        <f t="shared" si="41"/>
        <v>6.0379220249188589E-3</v>
      </c>
      <c r="W77" s="2"/>
      <c r="X77" s="7">
        <f t="shared" si="42"/>
        <v>-185.51999999999998</v>
      </c>
      <c r="Y77" s="2"/>
      <c r="Z77" s="6">
        <f t="shared" si="43"/>
        <v>-9.9208556149732605E-2</v>
      </c>
    </row>
    <row r="78" spans="1:26" s="27" customFormat="1" outlineLevel="1" collapsed="1" x14ac:dyDescent="0.25">
      <c r="A78" s="28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SUM(OSRRefD22_9x_0)</f>
        <v>71.69</v>
      </c>
      <c r="E78" s="1"/>
      <c r="F78" s="5">
        <f t="shared" si="36"/>
        <v>3.0085093098654222E-4</v>
      </c>
      <c r="G78" s="1"/>
      <c r="H78" s="1">
        <f>SUM(OSRRefH22_9x_0)</f>
        <v>0</v>
      </c>
      <c r="I78" s="1"/>
      <c r="J78" s="5">
        <f t="shared" si="37"/>
        <v>0</v>
      </c>
      <c r="K78" s="1"/>
      <c r="L78" s="1">
        <f t="shared" si="38"/>
        <v>71.69</v>
      </c>
      <c r="M78" s="1"/>
      <c r="N78" s="5">
        <f t="shared" si="39"/>
        <v>0</v>
      </c>
      <c r="O78" s="14"/>
      <c r="P78" s="1">
        <f>SUM(OSRRefP22_9x_0)</f>
        <v>71.69</v>
      </c>
      <c r="Q78" s="1"/>
      <c r="R78" s="5">
        <f t="shared" si="40"/>
        <v>3.0085093098654222E-4</v>
      </c>
      <c r="S78" s="1"/>
      <c r="T78" s="1">
        <f>SUM(OSRRefT22_9x_0)</f>
        <v>0</v>
      </c>
      <c r="U78" s="1"/>
      <c r="V78" s="5">
        <f t="shared" si="41"/>
        <v>0</v>
      </c>
      <c r="W78" s="1"/>
      <c r="X78" s="1">
        <f t="shared" si="42"/>
        <v>71.69</v>
      </c>
      <c r="Y78" s="1"/>
      <c r="Z78" s="5">
        <f t="shared" si="43"/>
        <v>0</v>
      </c>
    </row>
    <row r="79" spans="1:26" s="24" customFormat="1" hidden="1" outlineLevel="2" x14ac:dyDescent="0.25">
      <c r="A79" s="29"/>
      <c r="B79" s="11" t="str">
        <f>CONCATENATE("          ", "6305", " - ", "FREIGHT OUT")</f>
        <v xml:space="preserve">          6305 - FREIGHT OUT</v>
      </c>
      <c r="C79" s="11"/>
      <c r="D79" s="7">
        <v>71.69</v>
      </c>
      <c r="E79" s="2"/>
      <c r="F79" s="6">
        <f t="shared" si="36"/>
        <v>3.0085093098654222E-4</v>
      </c>
      <c r="G79" s="2"/>
      <c r="H79" s="7"/>
      <c r="I79" s="2"/>
      <c r="J79" s="6">
        <f t="shared" si="37"/>
        <v>0</v>
      </c>
      <c r="K79" s="2"/>
      <c r="L79" s="7">
        <f t="shared" si="38"/>
        <v>71.69</v>
      </c>
      <c r="M79" s="2"/>
      <c r="N79" s="6">
        <f t="shared" si="39"/>
        <v>0</v>
      </c>
      <c r="O79" s="11"/>
      <c r="P79" s="7">
        <v>71.69</v>
      </c>
      <c r="Q79" s="2"/>
      <c r="R79" s="6">
        <f t="shared" si="40"/>
        <v>3.0085093098654222E-4</v>
      </c>
      <c r="S79" s="2"/>
      <c r="T79" s="7"/>
      <c r="U79" s="2"/>
      <c r="V79" s="6">
        <f t="shared" si="41"/>
        <v>0</v>
      </c>
      <c r="W79" s="2"/>
      <c r="X79" s="7">
        <f t="shared" si="42"/>
        <v>71.69</v>
      </c>
      <c r="Y79" s="2"/>
      <c r="Z79" s="6">
        <f t="shared" si="43"/>
        <v>0</v>
      </c>
    </row>
    <row r="80" spans="1:26" s="27" customFormat="1" outlineLevel="1" collapsed="1" x14ac:dyDescent="0.25">
      <c r="A80" s="28"/>
      <c r="B80" s="14" t="str">
        <f>CONCATENATE("     ","General                                           ")</f>
        <v xml:space="preserve">     General                                           </v>
      </c>
      <c r="C80" s="14"/>
      <c r="D80" s="1">
        <f>SUM(OSRRefD22_10x_0)</f>
        <v>22041.85</v>
      </c>
      <c r="E80" s="1"/>
      <c r="F80" s="5">
        <f t="shared" si="36"/>
        <v>9.2499806014307642E-2</v>
      </c>
      <c r="G80" s="1"/>
      <c r="H80" s="1">
        <f>SUM(OSRRefH22_10x_0)</f>
        <v>11245</v>
      </c>
      <c r="I80" s="1"/>
      <c r="J80" s="5">
        <f t="shared" si="37"/>
        <v>3.6308253032199235E-2</v>
      </c>
      <c r="K80" s="1"/>
      <c r="L80" s="1">
        <f t="shared" si="38"/>
        <v>10796.849999999999</v>
      </c>
      <c r="M80" s="1"/>
      <c r="N80" s="5">
        <f t="shared" si="39"/>
        <v>0.96014673188083577</v>
      </c>
      <c r="O80" s="14"/>
      <c r="P80" s="1">
        <f>SUM(OSRRefP22_10x_0)</f>
        <v>22041.85</v>
      </c>
      <c r="Q80" s="1"/>
      <c r="R80" s="5">
        <f t="shared" si="40"/>
        <v>9.2499806014307642E-2</v>
      </c>
      <c r="S80" s="1"/>
      <c r="T80" s="1">
        <f>SUM(OSRRefT22_10x_0)</f>
        <v>11245</v>
      </c>
      <c r="U80" s="1"/>
      <c r="V80" s="5">
        <f t="shared" si="41"/>
        <v>3.6308253032199235E-2</v>
      </c>
      <c r="W80" s="1"/>
      <c r="X80" s="1">
        <f t="shared" si="42"/>
        <v>10796.849999999999</v>
      </c>
      <c r="Y80" s="1"/>
      <c r="Z80" s="5">
        <f t="shared" si="43"/>
        <v>0.96014673188083577</v>
      </c>
    </row>
    <row r="81" spans="1:26" s="24" customFormat="1" hidden="1" outlineLevel="2" x14ac:dyDescent="0.25">
      <c r="A81" s="29"/>
      <c r="B81" s="11" t="str">
        <f>CONCATENATE("          ", "6269", " - ", "ENTERTAINMENT")</f>
        <v xml:space="preserve">          6269 - ENTERTAINMENT</v>
      </c>
      <c r="C81" s="11"/>
      <c r="D81" s="7"/>
      <c r="E81" s="2"/>
      <c r="F81" s="6">
        <f t="shared" si="36"/>
        <v>0</v>
      </c>
      <c r="G81" s="2"/>
      <c r="H81" s="7">
        <v>1150</v>
      </c>
      <c r="I81" s="2"/>
      <c r="J81" s="6">
        <f t="shared" si="37"/>
        <v>3.7131606035597261E-3</v>
      </c>
      <c r="K81" s="2"/>
      <c r="L81" s="7">
        <f t="shared" si="38"/>
        <v>-1150</v>
      </c>
      <c r="M81" s="2"/>
      <c r="N81" s="6">
        <f t="shared" si="39"/>
        <v>-1</v>
      </c>
      <c r="O81" s="11"/>
      <c r="P81" s="7"/>
      <c r="Q81" s="2"/>
      <c r="R81" s="6">
        <f t="shared" si="40"/>
        <v>0</v>
      </c>
      <c r="S81" s="2"/>
      <c r="T81" s="7">
        <v>1150</v>
      </c>
      <c r="U81" s="2"/>
      <c r="V81" s="6">
        <f t="shared" si="41"/>
        <v>3.7131606035597261E-3</v>
      </c>
      <c r="W81" s="2"/>
      <c r="X81" s="7">
        <f t="shared" si="42"/>
        <v>-1150</v>
      </c>
      <c r="Y81" s="2"/>
      <c r="Z81" s="6">
        <f t="shared" si="43"/>
        <v>-1</v>
      </c>
    </row>
    <row r="82" spans="1:26" s="24" customFormat="1" hidden="1" outlineLevel="2" x14ac:dyDescent="0.25">
      <c r="A82" s="29"/>
      <c r="B82" s="11" t="str">
        <f>CONCATENATE("          ", "6279", " - ", "GENERAL EXPENSE")</f>
        <v xml:space="preserve">          6279 - GENERAL EXPENSE</v>
      </c>
      <c r="C82" s="11"/>
      <c r="D82" s="7">
        <v>22041.85</v>
      </c>
      <c r="E82" s="2"/>
      <c r="F82" s="6">
        <f t="shared" si="36"/>
        <v>9.2499806014307642E-2</v>
      </c>
      <c r="G82" s="2"/>
      <c r="H82" s="7">
        <v>10095</v>
      </c>
      <c r="I82" s="2"/>
      <c r="J82" s="6">
        <f t="shared" si="37"/>
        <v>3.2595092428639512E-2</v>
      </c>
      <c r="K82" s="2"/>
      <c r="L82" s="7">
        <f t="shared" si="38"/>
        <v>11946.849999999999</v>
      </c>
      <c r="M82" s="2"/>
      <c r="N82" s="6">
        <f t="shared" si="39"/>
        <v>1.1834422981674095</v>
      </c>
      <c r="O82" s="11"/>
      <c r="P82" s="7">
        <v>22041.85</v>
      </c>
      <c r="Q82" s="2"/>
      <c r="R82" s="6">
        <f t="shared" si="40"/>
        <v>9.2499806014307642E-2</v>
      </c>
      <c r="S82" s="2"/>
      <c r="T82" s="7">
        <v>10095</v>
      </c>
      <c r="U82" s="2"/>
      <c r="V82" s="6">
        <f t="shared" si="41"/>
        <v>3.2595092428639512E-2</v>
      </c>
      <c r="W82" s="2"/>
      <c r="X82" s="7">
        <f t="shared" si="42"/>
        <v>11946.849999999999</v>
      </c>
      <c r="Y82" s="2"/>
      <c r="Z82" s="6">
        <f t="shared" si="43"/>
        <v>1.1834422981674095</v>
      </c>
    </row>
    <row r="83" spans="1:26" s="27" customFormat="1" outlineLevel="1" collapsed="1" x14ac:dyDescent="0.25">
      <c r="A83" s="28"/>
      <c r="B83" s="14" t="str">
        <f>CONCATENATE("     ","Insurance                                         ")</f>
        <v xml:space="preserve">     Insurance                                         </v>
      </c>
      <c r="C83" s="14"/>
      <c r="D83" s="1">
        <f>SUM(OSRRefD22_11x_0)</f>
        <v>4483.67</v>
      </c>
      <c r="E83" s="1"/>
      <c r="F83" s="5">
        <f t="shared" ref="F83:F95" si="44">IF(D$12=0,0,D83/D$12)</f>
        <v>1.8815961692515409E-2</v>
      </c>
      <c r="G83" s="1"/>
      <c r="H83" s="1">
        <f>SUM(OSRRefH22_11x_0)</f>
        <v>4234</v>
      </c>
      <c r="I83" s="1"/>
      <c r="J83" s="5">
        <f t="shared" ref="J83:J95" si="45">IF(H$12=0,0,H83/H$12)</f>
        <v>1.3670888691714679E-2</v>
      </c>
      <c r="K83" s="1"/>
      <c r="L83" s="1">
        <f t="shared" ref="L83:L95" si="46">+D83-H83</f>
        <v>249.67000000000007</v>
      </c>
      <c r="M83" s="1"/>
      <c r="N83" s="5">
        <f t="shared" ref="N83:N95" si="47">IF(H83=0,0,L83/H83)</f>
        <v>5.8967879074161567E-2</v>
      </c>
      <c r="O83" s="14"/>
      <c r="P83" s="1">
        <f>SUM(OSRRefP22_11x_0)</f>
        <v>4483.67</v>
      </c>
      <c r="Q83" s="1"/>
      <c r="R83" s="5">
        <f t="shared" ref="R83:R95" si="48">IF(P$12=0,0,P83/P$12)</f>
        <v>1.8815961692515409E-2</v>
      </c>
      <c r="S83" s="1"/>
      <c r="T83" s="1">
        <f>SUM(OSRRefT22_11x_0)</f>
        <v>4234</v>
      </c>
      <c r="U83" s="1"/>
      <c r="V83" s="5">
        <f t="shared" ref="V83:V95" si="49">IF(T$12=0,0,T83/T$12)</f>
        <v>1.3670888691714679E-2</v>
      </c>
      <c r="W83" s="1"/>
      <c r="X83" s="1">
        <f t="shared" ref="X83:X95" si="50">+P83-T83</f>
        <v>249.67000000000007</v>
      </c>
      <c r="Y83" s="1"/>
      <c r="Z83" s="5">
        <f t="shared" ref="Z83:Z95" si="51">IF(T83=0,0,X83/T83)</f>
        <v>5.8967879074161567E-2</v>
      </c>
    </row>
    <row r="84" spans="1:26" s="24" customFormat="1" hidden="1" outlineLevel="2" x14ac:dyDescent="0.25">
      <c r="A84" s="29"/>
      <c r="B84" s="11" t="str">
        <f>CONCATENATE("          ", "6314", " - ", "LIABILITY INSURANCE")</f>
        <v xml:space="preserve">          6314 - LIABILITY INSURANCE</v>
      </c>
      <c r="C84" s="11"/>
      <c r="D84" s="7">
        <v>4483.67</v>
      </c>
      <c r="E84" s="2"/>
      <c r="F84" s="6">
        <f t="shared" si="44"/>
        <v>1.8815961692515409E-2</v>
      </c>
      <c r="G84" s="2"/>
      <c r="H84" s="7">
        <v>4234</v>
      </c>
      <c r="I84" s="2"/>
      <c r="J84" s="6">
        <f t="shared" si="45"/>
        <v>1.3670888691714679E-2</v>
      </c>
      <c r="K84" s="2"/>
      <c r="L84" s="7">
        <f t="shared" si="46"/>
        <v>249.67000000000007</v>
      </c>
      <c r="M84" s="2"/>
      <c r="N84" s="6">
        <f t="shared" si="47"/>
        <v>5.8967879074161567E-2</v>
      </c>
      <c r="O84" s="11"/>
      <c r="P84" s="7">
        <v>4483.67</v>
      </c>
      <c r="Q84" s="2"/>
      <c r="R84" s="6">
        <f t="shared" si="48"/>
        <v>1.8815961692515409E-2</v>
      </c>
      <c r="S84" s="2"/>
      <c r="T84" s="7">
        <v>4234</v>
      </c>
      <c r="U84" s="2"/>
      <c r="V84" s="6">
        <f t="shared" si="49"/>
        <v>1.3670888691714679E-2</v>
      </c>
      <c r="W84" s="2"/>
      <c r="X84" s="7">
        <f t="shared" si="50"/>
        <v>249.67000000000007</v>
      </c>
      <c r="Y84" s="2"/>
      <c r="Z84" s="6">
        <f t="shared" si="51"/>
        <v>5.8967879074161567E-2</v>
      </c>
    </row>
    <row r="85" spans="1:26" s="27" customFormat="1" outlineLevel="1" collapsed="1" x14ac:dyDescent="0.25">
      <c r="A85" s="28"/>
      <c r="B85" s="14" t="str">
        <f>CONCATENATE("     ","Interest                                          ")</f>
        <v xml:space="preserve">     Interest                                          </v>
      </c>
      <c r="C85" s="14"/>
      <c r="D85" s="1">
        <f>SUM(OSRRefD22_12x_0)</f>
        <v>11740</v>
      </c>
      <c r="E85" s="1"/>
      <c r="F85" s="5">
        <f t="shared" si="44"/>
        <v>4.926753982120248E-2</v>
      </c>
      <c r="G85" s="1"/>
      <c r="H85" s="1">
        <f>SUM(OSRRefH22_12x_0)</f>
        <v>11929</v>
      </c>
      <c r="I85" s="1"/>
      <c r="J85" s="5">
        <f t="shared" si="45"/>
        <v>3.851677638249041E-2</v>
      </c>
      <c r="K85" s="1"/>
      <c r="L85" s="1">
        <f t="shared" si="46"/>
        <v>-189</v>
      </c>
      <c r="M85" s="1"/>
      <c r="N85" s="5">
        <f t="shared" si="47"/>
        <v>-1.5843742141000924E-2</v>
      </c>
      <c r="O85" s="14"/>
      <c r="P85" s="1">
        <f>SUM(OSRRefP22_12x_0)</f>
        <v>11740</v>
      </c>
      <c r="Q85" s="1"/>
      <c r="R85" s="5">
        <f t="shared" si="48"/>
        <v>4.926753982120248E-2</v>
      </c>
      <c r="S85" s="1"/>
      <c r="T85" s="1">
        <f>SUM(OSRRefT22_12x_0)</f>
        <v>11929</v>
      </c>
      <c r="U85" s="1"/>
      <c r="V85" s="5">
        <f t="shared" si="49"/>
        <v>3.851677638249041E-2</v>
      </c>
      <c r="W85" s="1"/>
      <c r="X85" s="1">
        <f t="shared" si="50"/>
        <v>-189</v>
      </c>
      <c r="Y85" s="1"/>
      <c r="Z85" s="5">
        <f t="shared" si="51"/>
        <v>-1.5843742141000924E-2</v>
      </c>
    </row>
    <row r="86" spans="1:26" s="24" customFormat="1" hidden="1" outlineLevel="2" x14ac:dyDescent="0.25">
      <c r="A86" s="29"/>
      <c r="B86" s="11" t="str">
        <f>CONCATENATE("          ", "6401", " - ", "INTEREST EXPENSE")</f>
        <v xml:space="preserve">          6401 - INTEREST EXPENSE</v>
      </c>
      <c r="C86" s="11"/>
      <c r="D86" s="7">
        <v>11740</v>
      </c>
      <c r="E86" s="2"/>
      <c r="F86" s="6">
        <f t="shared" si="44"/>
        <v>4.926753982120248E-2</v>
      </c>
      <c r="G86" s="2"/>
      <c r="H86" s="7">
        <v>11929</v>
      </c>
      <c r="I86" s="2"/>
      <c r="J86" s="6">
        <f t="shared" si="45"/>
        <v>3.851677638249041E-2</v>
      </c>
      <c r="K86" s="2"/>
      <c r="L86" s="7">
        <f t="shared" si="46"/>
        <v>-189</v>
      </c>
      <c r="M86" s="2"/>
      <c r="N86" s="6">
        <f t="shared" si="47"/>
        <v>-1.5843742141000924E-2</v>
      </c>
      <c r="O86" s="11"/>
      <c r="P86" s="7">
        <v>11740</v>
      </c>
      <c r="Q86" s="2"/>
      <c r="R86" s="6">
        <f t="shared" si="48"/>
        <v>4.926753982120248E-2</v>
      </c>
      <c r="S86" s="2"/>
      <c r="T86" s="7">
        <v>11929</v>
      </c>
      <c r="U86" s="2"/>
      <c r="V86" s="6">
        <f t="shared" si="49"/>
        <v>3.851677638249041E-2</v>
      </c>
      <c r="W86" s="2"/>
      <c r="X86" s="7">
        <f t="shared" si="50"/>
        <v>-189</v>
      </c>
      <c r="Y86" s="2"/>
      <c r="Z86" s="6">
        <f t="shared" si="51"/>
        <v>-1.5843742141000924E-2</v>
      </c>
    </row>
    <row r="87" spans="1:26" s="27" customFormat="1" outlineLevel="1" collapsed="1" x14ac:dyDescent="0.25">
      <c r="A87" s="28"/>
      <c r="B87" s="14" t="str">
        <f>CONCATENATE("     ","R/H Commissions                                   ")</f>
        <v xml:space="preserve">     R/H Commissions                                   </v>
      </c>
      <c r="C87" s="14"/>
      <c r="D87" s="1">
        <f>SUM(OSRRefD22_13x_0)</f>
        <v>0</v>
      </c>
      <c r="E87" s="1"/>
      <c r="F87" s="5">
        <f t="shared" si="44"/>
        <v>0</v>
      </c>
      <c r="G87" s="1"/>
      <c r="H87" s="1">
        <f>SUM(OSRRefH22_13x_0)</f>
        <v>0</v>
      </c>
      <c r="I87" s="1"/>
      <c r="J87" s="5">
        <f t="shared" si="45"/>
        <v>0</v>
      </c>
      <c r="K87" s="1"/>
      <c r="L87" s="1">
        <f t="shared" si="46"/>
        <v>0</v>
      </c>
      <c r="M87" s="1"/>
      <c r="N87" s="5">
        <f t="shared" si="47"/>
        <v>0</v>
      </c>
      <c r="O87" s="14"/>
      <c r="P87" s="1">
        <f>SUM(OSRRefP22_13x_0)</f>
        <v>0</v>
      </c>
      <c r="Q87" s="1"/>
      <c r="R87" s="5">
        <f t="shared" si="48"/>
        <v>0</v>
      </c>
      <c r="S87" s="1"/>
      <c r="T87" s="1">
        <f>SUM(OSRRefT22_13x_0)</f>
        <v>0</v>
      </c>
      <c r="U87" s="1"/>
      <c r="V87" s="5">
        <f t="shared" si="49"/>
        <v>0</v>
      </c>
      <c r="W87" s="1"/>
      <c r="X87" s="1">
        <f t="shared" si="50"/>
        <v>0</v>
      </c>
      <c r="Y87" s="1"/>
      <c r="Z87" s="5">
        <f t="shared" si="51"/>
        <v>0</v>
      </c>
    </row>
    <row r="88" spans="1:26" s="24" customFormat="1" hidden="1" outlineLevel="2" x14ac:dyDescent="0.25">
      <c r="A88" s="29"/>
      <c r="B88" s="11" t="str">
        <f>CONCATENATE("          ", "6387", " - ", "COMMISSION DUE HOUSING")</f>
        <v xml:space="preserve">          6387 - COMMISSION DUE HOUSING</v>
      </c>
      <c r="C88" s="11"/>
      <c r="D88" s="7"/>
      <c r="E88" s="2"/>
      <c r="F88" s="6">
        <f t="shared" si="44"/>
        <v>0</v>
      </c>
      <c r="G88" s="2"/>
      <c r="H88" s="7">
        <v>0</v>
      </c>
      <c r="I88" s="2"/>
      <c r="J88" s="6">
        <f t="shared" si="45"/>
        <v>0</v>
      </c>
      <c r="K88" s="2"/>
      <c r="L88" s="7">
        <f t="shared" si="46"/>
        <v>0</v>
      </c>
      <c r="M88" s="2"/>
      <c r="N88" s="6">
        <f t="shared" si="47"/>
        <v>0</v>
      </c>
      <c r="O88" s="11"/>
      <c r="P88" s="7"/>
      <c r="Q88" s="2"/>
      <c r="R88" s="6">
        <f t="shared" si="48"/>
        <v>0</v>
      </c>
      <c r="S88" s="2"/>
      <c r="T88" s="7">
        <v>0</v>
      </c>
      <c r="U88" s="2"/>
      <c r="V88" s="6">
        <f t="shared" si="49"/>
        <v>0</v>
      </c>
      <c r="W88" s="2"/>
      <c r="X88" s="7">
        <f t="shared" si="50"/>
        <v>0</v>
      </c>
      <c r="Y88" s="2"/>
      <c r="Z88" s="6">
        <f t="shared" si="51"/>
        <v>0</v>
      </c>
    </row>
    <row r="89" spans="1:26" s="27" customFormat="1" outlineLevel="1" collapsed="1" x14ac:dyDescent="0.25">
      <c r="A89" s="28"/>
      <c r="B89" s="14" t="str">
        <f>CONCATENATE("     ","Rent                                              ")</f>
        <v xml:space="preserve">     Rent                                              </v>
      </c>
      <c r="C89" s="14"/>
      <c r="D89" s="1">
        <f>SUM(OSRRefD22_14x_0)</f>
        <v>3000</v>
      </c>
      <c r="E89" s="1"/>
      <c r="F89" s="5">
        <f t="shared" si="44"/>
        <v>1.2589660942385641E-2</v>
      </c>
      <c r="G89" s="1"/>
      <c r="H89" s="1">
        <f>SUM(OSRRefH22_14x_0)</f>
        <v>3000</v>
      </c>
      <c r="I89" s="1"/>
      <c r="J89" s="5">
        <f t="shared" si="45"/>
        <v>9.686505922329721E-3</v>
      </c>
      <c r="K89" s="1"/>
      <c r="L89" s="1">
        <f t="shared" si="46"/>
        <v>0</v>
      </c>
      <c r="M89" s="1"/>
      <c r="N89" s="5">
        <f t="shared" si="47"/>
        <v>0</v>
      </c>
      <c r="O89" s="14"/>
      <c r="P89" s="1">
        <f>SUM(OSRRefP22_14x_0)</f>
        <v>3000</v>
      </c>
      <c r="Q89" s="1"/>
      <c r="R89" s="5">
        <f t="shared" si="48"/>
        <v>1.2589660942385641E-2</v>
      </c>
      <c r="S89" s="1"/>
      <c r="T89" s="1">
        <f>SUM(OSRRefT22_14x_0)</f>
        <v>3000</v>
      </c>
      <c r="U89" s="1"/>
      <c r="V89" s="5">
        <f t="shared" si="49"/>
        <v>9.686505922329721E-3</v>
      </c>
      <c r="W89" s="1"/>
      <c r="X89" s="1">
        <f t="shared" si="50"/>
        <v>0</v>
      </c>
      <c r="Y89" s="1"/>
      <c r="Z89" s="5">
        <f t="shared" si="51"/>
        <v>0</v>
      </c>
    </row>
    <row r="90" spans="1:26" s="24" customFormat="1" hidden="1" outlineLevel="2" x14ac:dyDescent="0.25">
      <c r="A90" s="29"/>
      <c r="B90" s="11" t="str">
        <f>CONCATENATE("          ", "6273", " - ", "RENT")</f>
        <v xml:space="preserve">          6273 - RENT</v>
      </c>
      <c r="C90" s="11"/>
      <c r="D90" s="7">
        <v>3000</v>
      </c>
      <c r="E90" s="2"/>
      <c r="F90" s="6">
        <f t="shared" si="44"/>
        <v>1.2589660942385641E-2</v>
      </c>
      <c r="G90" s="2"/>
      <c r="H90" s="7">
        <v>3000</v>
      </c>
      <c r="I90" s="2"/>
      <c r="J90" s="6">
        <f t="shared" si="45"/>
        <v>9.686505922329721E-3</v>
      </c>
      <c r="K90" s="2"/>
      <c r="L90" s="7">
        <f t="shared" si="46"/>
        <v>0</v>
      </c>
      <c r="M90" s="2"/>
      <c r="N90" s="6">
        <f t="shared" si="47"/>
        <v>0</v>
      </c>
      <c r="O90" s="11"/>
      <c r="P90" s="7">
        <v>3000</v>
      </c>
      <c r="Q90" s="2"/>
      <c r="R90" s="6">
        <f t="shared" si="48"/>
        <v>1.2589660942385641E-2</v>
      </c>
      <c r="S90" s="2"/>
      <c r="T90" s="7">
        <v>3000</v>
      </c>
      <c r="U90" s="2"/>
      <c r="V90" s="6">
        <f t="shared" si="49"/>
        <v>9.686505922329721E-3</v>
      </c>
      <c r="W90" s="2"/>
      <c r="X90" s="7">
        <f t="shared" si="50"/>
        <v>0</v>
      </c>
      <c r="Y90" s="2"/>
      <c r="Z90" s="6">
        <f t="shared" si="51"/>
        <v>0</v>
      </c>
    </row>
    <row r="91" spans="1:26" s="27" customFormat="1" outlineLevel="1" collapsed="1" x14ac:dyDescent="0.25">
      <c r="A91" s="28"/>
      <c r="B91" s="14" t="str">
        <f>CONCATENATE("     ","Repair and Maintenance                            ")</f>
        <v xml:space="preserve">     Repair and Maintenance                            </v>
      </c>
      <c r="C91" s="14"/>
      <c r="D91" s="1">
        <f>SUM(OSRRefD22_15x_0)</f>
        <v>27630.34</v>
      </c>
      <c r="E91" s="1"/>
      <c r="F91" s="5">
        <f t="shared" si="44"/>
        <v>0.11595220410761189</v>
      </c>
      <c r="G91" s="1"/>
      <c r="H91" s="1">
        <f>SUM(OSRRefH22_15x_0)</f>
        <v>21330</v>
      </c>
      <c r="I91" s="1"/>
      <c r="J91" s="5">
        <f t="shared" si="45"/>
        <v>6.8871057107764311E-2</v>
      </c>
      <c r="K91" s="1"/>
      <c r="L91" s="1">
        <f t="shared" si="46"/>
        <v>6300.34</v>
      </c>
      <c r="M91" s="1"/>
      <c r="N91" s="5">
        <f t="shared" si="47"/>
        <v>0.29537458977965309</v>
      </c>
      <c r="O91" s="14"/>
      <c r="P91" s="1">
        <f>SUM(OSRRefP22_15x_0)</f>
        <v>27630.34</v>
      </c>
      <c r="Q91" s="1"/>
      <c r="R91" s="5">
        <f t="shared" si="48"/>
        <v>0.11595220410761189</v>
      </c>
      <c r="S91" s="1"/>
      <c r="T91" s="1">
        <f>SUM(OSRRefT22_15x_0)</f>
        <v>21330</v>
      </c>
      <c r="U91" s="1"/>
      <c r="V91" s="5">
        <f t="shared" si="49"/>
        <v>6.8871057107764311E-2</v>
      </c>
      <c r="W91" s="1"/>
      <c r="X91" s="1">
        <f t="shared" si="50"/>
        <v>6300.34</v>
      </c>
      <c r="Y91" s="1"/>
      <c r="Z91" s="5">
        <f t="shared" si="51"/>
        <v>0.29537458977965309</v>
      </c>
    </row>
    <row r="92" spans="1:26" s="24" customFormat="1" hidden="1" outlineLevel="2" x14ac:dyDescent="0.25">
      <c r="A92" s="29"/>
      <c r="B92" s="11" t="str">
        <f>CONCATENATE("          ", "6371", " - ", "COMPUTER SOFTWARE MAINTENANCE")</f>
        <v xml:space="preserve">          6371 - COMPUTER SOFTWARE MAINTENANCE</v>
      </c>
      <c r="C92" s="11"/>
      <c r="D92" s="7"/>
      <c r="E92" s="2"/>
      <c r="F92" s="6">
        <f t="shared" si="44"/>
        <v>0</v>
      </c>
      <c r="G92" s="2"/>
      <c r="H92" s="7">
        <v>550</v>
      </c>
      <c r="I92" s="2"/>
      <c r="J92" s="6">
        <f t="shared" si="45"/>
        <v>1.7758594190937821E-3</v>
      </c>
      <c r="K92" s="2"/>
      <c r="L92" s="7">
        <f t="shared" si="46"/>
        <v>-550</v>
      </c>
      <c r="M92" s="2"/>
      <c r="N92" s="6">
        <f t="shared" si="47"/>
        <v>-1</v>
      </c>
      <c r="O92" s="11"/>
      <c r="P92" s="7"/>
      <c r="Q92" s="2"/>
      <c r="R92" s="6">
        <f t="shared" si="48"/>
        <v>0</v>
      </c>
      <c r="S92" s="2"/>
      <c r="T92" s="7">
        <v>550</v>
      </c>
      <c r="U92" s="2"/>
      <c r="V92" s="6">
        <f t="shared" si="49"/>
        <v>1.7758594190937821E-3</v>
      </c>
      <c r="W92" s="2"/>
      <c r="X92" s="7">
        <f t="shared" si="50"/>
        <v>-550</v>
      </c>
      <c r="Y92" s="2"/>
      <c r="Z92" s="6">
        <f t="shared" si="51"/>
        <v>-1</v>
      </c>
    </row>
    <row r="93" spans="1:26" s="24" customFormat="1" hidden="1" outlineLevel="2" x14ac:dyDescent="0.25">
      <c r="A93" s="29"/>
      <c r="B93" s="11" t="str">
        <f>CONCATENATE("          ", "6372", " - ", "COMPUTER HARDWARE MAINTENANCE")</f>
        <v xml:space="preserve">          6372 - COMPUTER HARDWARE MAINTENANCE</v>
      </c>
      <c r="C93" s="11"/>
      <c r="D93" s="7"/>
      <c r="E93" s="2"/>
      <c r="F93" s="6">
        <f t="shared" si="44"/>
        <v>0</v>
      </c>
      <c r="G93" s="2"/>
      <c r="H93" s="7">
        <v>200</v>
      </c>
      <c r="I93" s="2"/>
      <c r="J93" s="6">
        <f t="shared" si="45"/>
        <v>6.4576706148864805E-4</v>
      </c>
      <c r="K93" s="2"/>
      <c r="L93" s="7">
        <f t="shared" si="46"/>
        <v>-200</v>
      </c>
      <c r="M93" s="2"/>
      <c r="N93" s="6">
        <f t="shared" si="47"/>
        <v>-1</v>
      </c>
      <c r="O93" s="11"/>
      <c r="P93" s="7"/>
      <c r="Q93" s="2"/>
      <c r="R93" s="6">
        <f t="shared" si="48"/>
        <v>0</v>
      </c>
      <c r="S93" s="2"/>
      <c r="T93" s="7">
        <v>200</v>
      </c>
      <c r="U93" s="2"/>
      <c r="V93" s="6">
        <f t="shared" si="49"/>
        <v>6.4576706148864805E-4</v>
      </c>
      <c r="W93" s="2"/>
      <c r="X93" s="7">
        <f t="shared" si="50"/>
        <v>-200</v>
      </c>
      <c r="Y93" s="2"/>
      <c r="Z93" s="6">
        <f t="shared" si="51"/>
        <v>-1</v>
      </c>
    </row>
    <row r="94" spans="1:26" s="24" customFormat="1" hidden="1" outlineLevel="2" x14ac:dyDescent="0.25">
      <c r="A94" s="29"/>
      <c r="B94" s="11" t="str">
        <f>CONCATENATE("          ", "6373", " - ", "MAINTENANCE CONTRACTS")</f>
        <v xml:space="preserve">          6373 - MAINTENANCE CONTRACTS</v>
      </c>
      <c r="C94" s="11"/>
      <c r="D94" s="7">
        <v>6028.88</v>
      </c>
      <c r="E94" s="2"/>
      <c r="F94" s="6">
        <f t="shared" si="44"/>
        <v>2.5300518354109982E-2</v>
      </c>
      <c r="G94" s="2"/>
      <c r="H94" s="7">
        <v>2200</v>
      </c>
      <c r="I94" s="2"/>
      <c r="J94" s="6">
        <f t="shared" si="45"/>
        <v>7.1034376763751284E-3</v>
      </c>
      <c r="K94" s="2"/>
      <c r="L94" s="7">
        <f t="shared" si="46"/>
        <v>3828.88</v>
      </c>
      <c r="M94" s="2"/>
      <c r="N94" s="6">
        <f t="shared" si="47"/>
        <v>1.7403999999999999</v>
      </c>
      <c r="O94" s="11"/>
      <c r="P94" s="7">
        <v>6028.88</v>
      </c>
      <c r="Q94" s="2"/>
      <c r="R94" s="6">
        <f t="shared" si="48"/>
        <v>2.5300518354109982E-2</v>
      </c>
      <c r="S94" s="2"/>
      <c r="T94" s="7">
        <v>2200</v>
      </c>
      <c r="U94" s="2"/>
      <c r="V94" s="6">
        <f t="shared" si="49"/>
        <v>7.1034376763751284E-3</v>
      </c>
      <c r="W94" s="2"/>
      <c r="X94" s="7">
        <f t="shared" si="50"/>
        <v>3828.88</v>
      </c>
      <c r="Y94" s="2"/>
      <c r="Z94" s="6">
        <f t="shared" si="51"/>
        <v>1.7403999999999999</v>
      </c>
    </row>
    <row r="95" spans="1:26" s="24" customFormat="1" hidden="1" outlineLevel="2" x14ac:dyDescent="0.25">
      <c r="A95" s="29"/>
      <c r="B95" s="11" t="str">
        <f>CONCATENATE("          ", "6375", " - ", "OUTSIDE REPAIRS &amp; MAINTENANCE")</f>
        <v xml:space="preserve">          6375 - OUTSIDE REPAIRS &amp; MAINTENANCE</v>
      </c>
      <c r="C95" s="11"/>
      <c r="D95" s="7">
        <v>21601.46</v>
      </c>
      <c r="E95" s="2"/>
      <c r="F95" s="6">
        <f t="shared" si="44"/>
        <v>9.0651685753501909E-2</v>
      </c>
      <c r="G95" s="2"/>
      <c r="H95" s="7">
        <v>18380</v>
      </c>
      <c r="I95" s="2"/>
      <c r="J95" s="6">
        <f t="shared" si="45"/>
        <v>5.9345992950806753E-2</v>
      </c>
      <c r="K95" s="2"/>
      <c r="L95" s="7">
        <f t="shared" si="46"/>
        <v>3221.4599999999991</v>
      </c>
      <c r="M95" s="2"/>
      <c r="N95" s="6">
        <f t="shared" si="47"/>
        <v>0.17526985854189331</v>
      </c>
      <c r="O95" s="11"/>
      <c r="P95" s="7">
        <v>21601.46</v>
      </c>
      <c r="Q95" s="2"/>
      <c r="R95" s="6">
        <f t="shared" si="48"/>
        <v>9.0651685753501909E-2</v>
      </c>
      <c r="S95" s="2"/>
      <c r="T95" s="7">
        <v>18380</v>
      </c>
      <c r="U95" s="2"/>
      <c r="V95" s="6">
        <f t="shared" si="49"/>
        <v>5.9345992950806753E-2</v>
      </c>
      <c r="W95" s="2"/>
      <c r="X95" s="7">
        <f t="shared" si="50"/>
        <v>3221.4599999999991</v>
      </c>
      <c r="Y95" s="2"/>
      <c r="Z95" s="6">
        <f t="shared" si="51"/>
        <v>0.17526985854189331</v>
      </c>
    </row>
    <row r="96" spans="1:26" s="27" customFormat="1" outlineLevel="1" collapsed="1" x14ac:dyDescent="0.25">
      <c r="A96" s="28"/>
      <c r="B96" s="14" t="str">
        <f>CONCATENATE("     ","Royalty &amp; Commissions                             ")</f>
        <v xml:space="preserve">     Royalty &amp; Commissions                             </v>
      </c>
      <c r="C96" s="14"/>
      <c r="D96" s="1">
        <f>SUM(OSRRefD22_16x_0)</f>
        <v>16858.099999999999</v>
      </c>
      <c r="E96" s="1"/>
      <c r="F96" s="5">
        <f t="shared" ref="F96:F98" si="52">IF(D$12=0,0,D96/D$12)</f>
        <v>7.0745921044277127E-2</v>
      </c>
      <c r="G96" s="1"/>
      <c r="H96" s="1">
        <f>SUM(OSRRefH22_16x_0)</f>
        <v>9690</v>
      </c>
      <c r="I96" s="1"/>
      <c r="J96" s="5">
        <f t="shared" ref="J96:J98" si="53">IF(H$12=0,0,H96/H$12)</f>
        <v>3.1287414129124995E-2</v>
      </c>
      <c r="K96" s="1"/>
      <c r="L96" s="1">
        <f t="shared" ref="L96:L98" si="54">+D96-H96</f>
        <v>7168.0999999999985</v>
      </c>
      <c r="M96" s="1"/>
      <c r="N96" s="5">
        <f t="shared" ref="N96:N98" si="55">IF(H96=0,0,L96/H96)</f>
        <v>0.73974200206398333</v>
      </c>
      <c r="O96" s="14"/>
      <c r="P96" s="1">
        <f>SUM(OSRRefP22_16x_0)</f>
        <v>16858.099999999999</v>
      </c>
      <c r="Q96" s="1"/>
      <c r="R96" s="5">
        <f t="shared" ref="R96:R98" si="56">IF(P$12=0,0,P96/P$12)</f>
        <v>7.0745921044277127E-2</v>
      </c>
      <c r="S96" s="1"/>
      <c r="T96" s="1">
        <f>SUM(OSRRefT22_16x_0)</f>
        <v>9690</v>
      </c>
      <c r="U96" s="1"/>
      <c r="V96" s="5">
        <f t="shared" ref="V96:V98" si="57">IF(T$12=0,0,T96/T$12)</f>
        <v>3.1287414129124995E-2</v>
      </c>
      <c r="W96" s="1"/>
      <c r="X96" s="1">
        <f t="shared" ref="X96:X98" si="58">+P96-T96</f>
        <v>7168.0999999999985</v>
      </c>
      <c r="Y96" s="1"/>
      <c r="Z96" s="5">
        <f t="shared" ref="Z96:Z98" si="59">IF(T96=0,0,X96/T96)</f>
        <v>0.73974200206398333</v>
      </c>
    </row>
    <row r="97" spans="1:26" s="24" customFormat="1" hidden="1" outlineLevel="2" x14ac:dyDescent="0.25">
      <c r="A97" s="29"/>
      <c r="B97" s="11" t="str">
        <f>CONCATENATE("          ", "6254", " - ", "ROYALTY &amp; COMMISSIONS")</f>
        <v xml:space="preserve">          6254 - ROYALTY &amp; COMMISSIONS</v>
      </c>
      <c r="C97" s="11"/>
      <c r="D97" s="7">
        <v>13972.66</v>
      </c>
      <c r="E97" s="2"/>
      <c r="F97" s="6">
        <f t="shared" si="52"/>
        <v>5.8637017287744717E-2</v>
      </c>
      <c r="G97" s="2"/>
      <c r="H97" s="7">
        <v>4117</v>
      </c>
      <c r="I97" s="2"/>
      <c r="J97" s="6">
        <f t="shared" si="53"/>
        <v>1.329311496074382E-2</v>
      </c>
      <c r="K97" s="2"/>
      <c r="L97" s="7">
        <f t="shared" si="54"/>
        <v>9855.66</v>
      </c>
      <c r="M97" s="2"/>
      <c r="N97" s="6">
        <f t="shared" si="55"/>
        <v>2.3938936118532914</v>
      </c>
      <c r="O97" s="11"/>
      <c r="P97" s="7">
        <v>13972.66</v>
      </c>
      <c r="Q97" s="2"/>
      <c r="R97" s="6">
        <f t="shared" si="56"/>
        <v>5.8637017287744717E-2</v>
      </c>
      <c r="S97" s="2"/>
      <c r="T97" s="7">
        <v>4117</v>
      </c>
      <c r="U97" s="2"/>
      <c r="V97" s="6">
        <f t="shared" si="57"/>
        <v>1.329311496074382E-2</v>
      </c>
      <c r="W97" s="2"/>
      <c r="X97" s="7">
        <f t="shared" si="58"/>
        <v>9855.66</v>
      </c>
      <c r="Y97" s="2"/>
      <c r="Z97" s="6">
        <f t="shared" si="59"/>
        <v>2.3938936118532914</v>
      </c>
    </row>
    <row r="98" spans="1:26" s="24" customFormat="1" hidden="1" outlineLevel="2" x14ac:dyDescent="0.25">
      <c r="A98" s="29"/>
      <c r="B98" s="11" t="str">
        <f>CONCATENATE("          ", "6259", " - ", "ROYALTY &amp; COMMISSIONS")</f>
        <v xml:space="preserve">          6259 - ROYALTY &amp; COMMISSIONS</v>
      </c>
      <c r="C98" s="11"/>
      <c r="D98" s="7">
        <v>2885.44</v>
      </c>
      <c r="E98" s="2"/>
      <c r="F98" s="6">
        <f t="shared" si="52"/>
        <v>1.2108903756532409E-2</v>
      </c>
      <c r="G98" s="2"/>
      <c r="H98" s="7">
        <v>5573</v>
      </c>
      <c r="I98" s="2"/>
      <c r="J98" s="6">
        <f t="shared" si="53"/>
        <v>1.7994299168381179E-2</v>
      </c>
      <c r="K98" s="2"/>
      <c r="L98" s="7">
        <f t="shared" si="54"/>
        <v>-2687.56</v>
      </c>
      <c r="M98" s="2"/>
      <c r="N98" s="6">
        <f t="shared" si="55"/>
        <v>-0.48224654584604343</v>
      </c>
      <c r="O98" s="11"/>
      <c r="P98" s="7">
        <v>2885.44</v>
      </c>
      <c r="Q98" s="2"/>
      <c r="R98" s="6">
        <f t="shared" si="56"/>
        <v>1.2108903756532409E-2</v>
      </c>
      <c r="S98" s="2"/>
      <c r="T98" s="7">
        <v>5573</v>
      </c>
      <c r="U98" s="2"/>
      <c r="V98" s="6">
        <f t="shared" si="57"/>
        <v>1.7994299168381179E-2</v>
      </c>
      <c r="W98" s="2"/>
      <c r="X98" s="7">
        <f t="shared" si="58"/>
        <v>-2687.56</v>
      </c>
      <c r="Y98" s="2"/>
      <c r="Z98" s="6">
        <f t="shared" si="59"/>
        <v>-0.48224654584604343</v>
      </c>
    </row>
    <row r="99" spans="1:26" s="27" customFormat="1" outlineLevel="1" collapsed="1" x14ac:dyDescent="0.25">
      <c r="A99" s="28"/>
      <c r="B99" s="14" t="str">
        <f>CONCATENATE("     ","Services                                          ")</f>
        <v xml:space="preserve">     Services                                          </v>
      </c>
      <c r="C99" s="14"/>
      <c r="D99" s="1">
        <f>SUM(OSRRefD22_17x_0)</f>
        <v>23127.74</v>
      </c>
      <c r="E99" s="1"/>
      <c r="F99" s="5">
        <f t="shared" ref="F99:F105" si="60">IF(D$12=0,0,D99/D$12)</f>
        <v>9.7056801654550037E-2</v>
      </c>
      <c r="G99" s="1"/>
      <c r="H99" s="1">
        <f>SUM(OSRRefH22_17x_0)</f>
        <v>22675</v>
      </c>
      <c r="I99" s="1"/>
      <c r="J99" s="5">
        <f t="shared" ref="J99:J105" si="61">IF(H$12=0,0,H99/H$12)</f>
        <v>7.3213840596275476E-2</v>
      </c>
      <c r="K99" s="1"/>
      <c r="L99" s="1">
        <f t="shared" ref="L99:L105" si="62">+D99-H99</f>
        <v>452.7400000000016</v>
      </c>
      <c r="M99" s="1"/>
      <c r="N99" s="5">
        <f t="shared" ref="N99:N105" si="63">IF(H99=0,0,L99/H99)</f>
        <v>1.996648291069467E-2</v>
      </c>
      <c r="O99" s="14"/>
      <c r="P99" s="1">
        <f>SUM(OSRRefP22_17x_0)</f>
        <v>23127.74</v>
      </c>
      <c r="Q99" s="1"/>
      <c r="R99" s="5">
        <f t="shared" ref="R99:R105" si="64">IF(P$12=0,0,P99/P$12)</f>
        <v>9.7056801654550037E-2</v>
      </c>
      <c r="S99" s="1"/>
      <c r="T99" s="1">
        <f>SUM(OSRRefT22_17x_0)</f>
        <v>22675</v>
      </c>
      <c r="U99" s="1"/>
      <c r="V99" s="5">
        <f t="shared" ref="V99:V105" si="65">IF(T$12=0,0,T99/T$12)</f>
        <v>7.3213840596275476E-2</v>
      </c>
      <c r="W99" s="1"/>
      <c r="X99" s="1">
        <f t="shared" ref="X99:X105" si="66">+P99-T99</f>
        <v>452.7400000000016</v>
      </c>
      <c r="Y99" s="1"/>
      <c r="Z99" s="5">
        <f t="shared" ref="Z99:Z105" si="67">IF(T99=0,0,X99/T99)</f>
        <v>1.996648291069467E-2</v>
      </c>
    </row>
    <row r="100" spans="1:26" s="24" customFormat="1" hidden="1" outlineLevel="2" x14ac:dyDescent="0.25">
      <c r="A100" s="29"/>
      <c r="B100" s="11" t="str">
        <f>CONCATENATE("          ", "6281", " - ", "STORAGE FEE")</f>
        <v xml:space="preserve">          6281 - STORAGE FEE</v>
      </c>
      <c r="C100" s="11"/>
      <c r="D100" s="7"/>
      <c r="E100" s="2"/>
      <c r="F100" s="6">
        <f t="shared" si="60"/>
        <v>0</v>
      </c>
      <c r="G100" s="2"/>
      <c r="H100" s="7">
        <v>0</v>
      </c>
      <c r="I100" s="2"/>
      <c r="J100" s="6">
        <f t="shared" si="61"/>
        <v>0</v>
      </c>
      <c r="K100" s="2"/>
      <c r="L100" s="7">
        <f t="shared" si="62"/>
        <v>0</v>
      </c>
      <c r="M100" s="2"/>
      <c r="N100" s="6">
        <f t="shared" si="63"/>
        <v>0</v>
      </c>
      <c r="O100" s="11"/>
      <c r="P100" s="7"/>
      <c r="Q100" s="2"/>
      <c r="R100" s="6">
        <f t="shared" si="64"/>
        <v>0</v>
      </c>
      <c r="S100" s="2"/>
      <c r="T100" s="7">
        <v>0</v>
      </c>
      <c r="U100" s="2"/>
      <c r="V100" s="6">
        <f t="shared" si="65"/>
        <v>0</v>
      </c>
      <c r="W100" s="2"/>
      <c r="X100" s="7">
        <f t="shared" si="66"/>
        <v>0</v>
      </c>
      <c r="Y100" s="2"/>
      <c r="Z100" s="6">
        <f t="shared" si="67"/>
        <v>0</v>
      </c>
    </row>
    <row r="101" spans="1:26" s="24" customFormat="1" hidden="1" outlineLevel="2" x14ac:dyDescent="0.25">
      <c r="A101" s="29"/>
      <c r="B101" s="11" t="str">
        <f>CONCATENATE("          ", "6282", " - ", "JANITORIAL/EXTERMINATOR EXPENS")</f>
        <v xml:space="preserve">          6282 - JANITORIAL/EXTERMINATOR EXPENS</v>
      </c>
      <c r="C101" s="11"/>
      <c r="D101" s="7">
        <v>1879.66</v>
      </c>
      <c r="E101" s="2"/>
      <c r="F101" s="6">
        <f t="shared" si="60"/>
        <v>7.888094028988199E-3</v>
      </c>
      <c r="G101" s="2"/>
      <c r="H101" s="7">
        <v>1355</v>
      </c>
      <c r="I101" s="2"/>
      <c r="J101" s="6">
        <f t="shared" si="61"/>
        <v>4.3750718415855906E-3</v>
      </c>
      <c r="K101" s="2"/>
      <c r="L101" s="7">
        <f t="shared" si="62"/>
        <v>524.66000000000008</v>
      </c>
      <c r="M101" s="2"/>
      <c r="N101" s="6">
        <f t="shared" si="63"/>
        <v>0.38720295202952038</v>
      </c>
      <c r="O101" s="11"/>
      <c r="P101" s="7">
        <v>1879.66</v>
      </c>
      <c r="Q101" s="2"/>
      <c r="R101" s="6">
        <f t="shared" si="64"/>
        <v>7.888094028988199E-3</v>
      </c>
      <c r="S101" s="2"/>
      <c r="T101" s="7">
        <v>1355</v>
      </c>
      <c r="U101" s="2"/>
      <c r="V101" s="6">
        <f t="shared" si="65"/>
        <v>4.3750718415855906E-3</v>
      </c>
      <c r="W101" s="2"/>
      <c r="X101" s="7">
        <f t="shared" si="66"/>
        <v>524.66000000000008</v>
      </c>
      <c r="Y101" s="2"/>
      <c r="Z101" s="6">
        <f t="shared" si="67"/>
        <v>0.38720295202952038</v>
      </c>
    </row>
    <row r="102" spans="1:26" s="24" customFormat="1" hidden="1" outlineLevel="2" x14ac:dyDescent="0.25">
      <c r="A102" s="29"/>
      <c r="B102" s="11" t="str">
        <f>CONCATENATE("          ", "6283", " - ", "PLANT SERVICE")</f>
        <v xml:space="preserve">          6283 - PLANT SERVICE</v>
      </c>
      <c r="C102" s="11"/>
      <c r="D102" s="7">
        <v>199.78</v>
      </c>
      <c r="E102" s="2"/>
      <c r="F102" s="6">
        <f t="shared" si="60"/>
        <v>8.3838748768993445E-4</v>
      </c>
      <c r="G102" s="2"/>
      <c r="H102" s="7">
        <v>150</v>
      </c>
      <c r="I102" s="2"/>
      <c r="J102" s="6">
        <f t="shared" si="61"/>
        <v>4.8432529611648601E-4</v>
      </c>
      <c r="K102" s="2"/>
      <c r="L102" s="7">
        <f t="shared" si="62"/>
        <v>49.78</v>
      </c>
      <c r="M102" s="2"/>
      <c r="N102" s="6">
        <f t="shared" si="63"/>
        <v>0.3318666666666667</v>
      </c>
      <c r="O102" s="11"/>
      <c r="P102" s="7">
        <v>199.78</v>
      </c>
      <c r="Q102" s="2"/>
      <c r="R102" s="6">
        <f t="shared" si="64"/>
        <v>8.3838748768993445E-4</v>
      </c>
      <c r="S102" s="2"/>
      <c r="T102" s="7">
        <v>150</v>
      </c>
      <c r="U102" s="2"/>
      <c r="V102" s="6">
        <f t="shared" si="65"/>
        <v>4.8432529611648601E-4</v>
      </c>
      <c r="W102" s="2"/>
      <c r="X102" s="7">
        <f t="shared" si="66"/>
        <v>49.78</v>
      </c>
      <c r="Y102" s="2"/>
      <c r="Z102" s="6">
        <f t="shared" si="67"/>
        <v>0.3318666666666667</v>
      </c>
    </row>
    <row r="103" spans="1:26" s="24" customFormat="1" hidden="1" outlineLevel="2" x14ac:dyDescent="0.25">
      <c r="A103" s="29"/>
      <c r="B103" s="11" t="str">
        <f>CONCATENATE("          ", "6284", " - ", "TRASH REMOVAL EXPENSE")</f>
        <v xml:space="preserve">          6284 - TRASH REMOVAL EXPENSE</v>
      </c>
      <c r="C103" s="11"/>
      <c r="D103" s="7">
        <v>4436</v>
      </c>
      <c r="E103" s="2"/>
      <c r="F103" s="6">
        <f t="shared" si="60"/>
        <v>1.8615911980140901E-2</v>
      </c>
      <c r="G103" s="2"/>
      <c r="H103" s="7">
        <v>3665</v>
      </c>
      <c r="I103" s="2"/>
      <c r="J103" s="6">
        <f t="shared" si="61"/>
        <v>1.1833681401779475E-2</v>
      </c>
      <c r="K103" s="2"/>
      <c r="L103" s="7">
        <f t="shared" si="62"/>
        <v>771</v>
      </c>
      <c r="M103" s="2"/>
      <c r="N103" s="6">
        <f t="shared" si="63"/>
        <v>0.21036834924965894</v>
      </c>
      <c r="O103" s="11"/>
      <c r="P103" s="7">
        <v>4436</v>
      </c>
      <c r="Q103" s="2"/>
      <c r="R103" s="6">
        <f t="shared" si="64"/>
        <v>1.8615911980140901E-2</v>
      </c>
      <c r="S103" s="2"/>
      <c r="T103" s="7">
        <v>3665</v>
      </c>
      <c r="U103" s="2"/>
      <c r="V103" s="6">
        <f t="shared" si="65"/>
        <v>1.1833681401779475E-2</v>
      </c>
      <c r="W103" s="2"/>
      <c r="X103" s="7">
        <f t="shared" si="66"/>
        <v>771</v>
      </c>
      <c r="Y103" s="2"/>
      <c r="Z103" s="6">
        <f t="shared" si="67"/>
        <v>0.21036834924965894</v>
      </c>
    </row>
    <row r="104" spans="1:26" s="24" customFormat="1" hidden="1" outlineLevel="2" x14ac:dyDescent="0.25">
      <c r="A104" s="29"/>
      <c r="B104" s="11" t="str">
        <f>CONCATENATE("          ", "6285", " - ", "JANITORIAL SERVICES")</f>
        <v xml:space="preserve">          6285 - JANITORIAL SERVICES</v>
      </c>
      <c r="C104" s="11"/>
      <c r="D104" s="7">
        <v>12917.08</v>
      </c>
      <c r="E104" s="2"/>
      <c r="F104" s="6">
        <f t="shared" si="60"/>
        <v>5.4207219188556907E-2</v>
      </c>
      <c r="G104" s="2"/>
      <c r="H104" s="7">
        <v>13292</v>
      </c>
      <c r="I104" s="2"/>
      <c r="J104" s="6">
        <f t="shared" si="61"/>
        <v>4.2917678906535549E-2</v>
      </c>
      <c r="K104" s="2"/>
      <c r="L104" s="7">
        <f t="shared" si="62"/>
        <v>-374.92000000000007</v>
      </c>
      <c r="M104" s="2"/>
      <c r="N104" s="6">
        <f t="shared" si="63"/>
        <v>-2.8206439963888059E-2</v>
      </c>
      <c r="O104" s="11"/>
      <c r="P104" s="7">
        <v>12917.08</v>
      </c>
      <c r="Q104" s="2"/>
      <c r="R104" s="6">
        <f t="shared" si="64"/>
        <v>5.4207219188556907E-2</v>
      </c>
      <c r="S104" s="2"/>
      <c r="T104" s="7">
        <v>13292</v>
      </c>
      <c r="U104" s="2"/>
      <c r="V104" s="6">
        <f t="shared" si="65"/>
        <v>4.2917678906535549E-2</v>
      </c>
      <c r="W104" s="2"/>
      <c r="X104" s="7">
        <f t="shared" si="66"/>
        <v>-374.92000000000007</v>
      </c>
      <c r="Y104" s="2"/>
      <c r="Z104" s="6">
        <f t="shared" si="67"/>
        <v>-2.8206439963888059E-2</v>
      </c>
    </row>
    <row r="105" spans="1:26" s="24" customFormat="1" hidden="1" outlineLevel="2" x14ac:dyDescent="0.25">
      <c r="A105" s="29"/>
      <c r="B105" s="11" t="str">
        <f>CONCATENATE("          ", "6286", " - ", "LAUNDRY EXPENSE")</f>
        <v xml:space="preserve">          6286 - LAUNDRY EXPENSE</v>
      </c>
      <c r="C105" s="11"/>
      <c r="D105" s="7">
        <v>3695.22</v>
      </c>
      <c r="E105" s="2"/>
      <c r="F105" s="6">
        <f t="shared" si="60"/>
        <v>1.550718896917409E-2</v>
      </c>
      <c r="G105" s="2"/>
      <c r="H105" s="7">
        <v>4213</v>
      </c>
      <c r="I105" s="2"/>
      <c r="J105" s="6">
        <f t="shared" si="61"/>
        <v>1.360308315025837E-2</v>
      </c>
      <c r="K105" s="2"/>
      <c r="L105" s="7">
        <f t="shared" si="62"/>
        <v>-517.7800000000002</v>
      </c>
      <c r="M105" s="2"/>
      <c r="N105" s="6">
        <f t="shared" si="63"/>
        <v>-0.12290054592926661</v>
      </c>
      <c r="O105" s="11"/>
      <c r="P105" s="7">
        <v>3695.22</v>
      </c>
      <c r="Q105" s="2"/>
      <c r="R105" s="6">
        <f t="shared" si="64"/>
        <v>1.550718896917409E-2</v>
      </c>
      <c r="S105" s="2"/>
      <c r="T105" s="7">
        <v>4213</v>
      </c>
      <c r="U105" s="2"/>
      <c r="V105" s="6">
        <f t="shared" si="65"/>
        <v>1.360308315025837E-2</v>
      </c>
      <c r="W105" s="2"/>
      <c r="X105" s="7">
        <f t="shared" si="66"/>
        <v>-517.7800000000002</v>
      </c>
      <c r="Y105" s="2"/>
      <c r="Z105" s="6">
        <f t="shared" si="67"/>
        <v>-0.12290054592926661</v>
      </c>
    </row>
    <row r="106" spans="1:26" s="27" customFormat="1" outlineLevel="1" collapsed="1" x14ac:dyDescent="0.25">
      <c r="A106" s="28"/>
      <c r="B106" s="14" t="str">
        <f>CONCATENATE("     ","Subscriptions &amp; Dues                              ")</f>
        <v xml:space="preserve">     Subscriptions &amp; Dues                              </v>
      </c>
      <c r="C106" s="14"/>
      <c r="D106" s="1">
        <f>SUM(OSRRefD22_18x_0)</f>
        <v>569.82000000000005</v>
      </c>
      <c r="E106" s="1"/>
      <c r="F106" s="5">
        <f t="shared" ref="F106:F118" si="68">IF(D$12=0,0,D106/D$12)</f>
        <v>2.3912801993967291E-3</v>
      </c>
      <c r="G106" s="1"/>
      <c r="H106" s="1">
        <f>SUM(OSRRefH22_18x_0)</f>
        <v>574</v>
      </c>
      <c r="I106" s="1"/>
      <c r="J106" s="5">
        <f t="shared" ref="J106:J118" si="69">IF(H$12=0,0,H106/H$12)</f>
        <v>1.8533514664724198E-3</v>
      </c>
      <c r="K106" s="1"/>
      <c r="L106" s="1">
        <f t="shared" ref="L106:L118" si="70">+D106-H106</f>
        <v>-4.17999999999995</v>
      </c>
      <c r="M106" s="1"/>
      <c r="N106" s="5">
        <f t="shared" ref="N106:N118" si="71">IF(H106=0,0,L106/H106)</f>
        <v>-7.2822299651567075E-3</v>
      </c>
      <c r="O106" s="14"/>
      <c r="P106" s="1">
        <f>SUM(OSRRefP22_18x_0)</f>
        <v>569.82000000000005</v>
      </c>
      <c r="Q106" s="1"/>
      <c r="R106" s="5">
        <f t="shared" ref="R106:R118" si="72">IF(P$12=0,0,P106/P$12)</f>
        <v>2.3912801993967291E-3</v>
      </c>
      <c r="S106" s="1"/>
      <c r="T106" s="1">
        <f>SUM(OSRRefT22_18x_0)</f>
        <v>574</v>
      </c>
      <c r="U106" s="1"/>
      <c r="V106" s="5">
        <f t="shared" ref="V106:V118" si="73">IF(T$12=0,0,T106/T$12)</f>
        <v>1.8533514664724198E-3</v>
      </c>
      <c r="W106" s="1"/>
      <c r="X106" s="1">
        <f t="shared" ref="X106:X118" si="74">+P106-T106</f>
        <v>-4.17999999999995</v>
      </c>
      <c r="Y106" s="1"/>
      <c r="Z106" s="5">
        <f t="shared" ref="Z106:Z118" si="75">IF(T106=0,0,X106/T106)</f>
        <v>-7.2822299651567075E-3</v>
      </c>
    </row>
    <row r="107" spans="1:26" s="24" customFormat="1" hidden="1" outlineLevel="2" x14ac:dyDescent="0.25">
      <c r="A107" s="29"/>
      <c r="B107" s="11" t="str">
        <f>CONCATENATE("          ", "6275", " - ", "SUBSCRIPTIONS")</f>
        <v xml:space="preserve">          6275 - SUBSCRIPTIONS</v>
      </c>
      <c r="C107" s="11"/>
      <c r="D107" s="7">
        <v>569.82000000000005</v>
      </c>
      <c r="E107" s="2"/>
      <c r="F107" s="6">
        <f t="shared" si="68"/>
        <v>2.3912801993967291E-3</v>
      </c>
      <c r="G107" s="2"/>
      <c r="H107" s="7">
        <v>574</v>
      </c>
      <c r="I107" s="2"/>
      <c r="J107" s="6">
        <f t="shared" si="69"/>
        <v>1.8533514664724198E-3</v>
      </c>
      <c r="K107" s="2"/>
      <c r="L107" s="7">
        <f t="shared" si="70"/>
        <v>-4.17999999999995</v>
      </c>
      <c r="M107" s="2"/>
      <c r="N107" s="6">
        <f t="shared" si="71"/>
        <v>-7.2822299651567075E-3</v>
      </c>
      <c r="O107" s="11"/>
      <c r="P107" s="7">
        <v>569.82000000000005</v>
      </c>
      <c r="Q107" s="2"/>
      <c r="R107" s="6">
        <f t="shared" si="72"/>
        <v>2.3912801993967291E-3</v>
      </c>
      <c r="S107" s="2"/>
      <c r="T107" s="7">
        <v>574</v>
      </c>
      <c r="U107" s="2"/>
      <c r="V107" s="6">
        <f t="shared" si="73"/>
        <v>1.8533514664724198E-3</v>
      </c>
      <c r="W107" s="2"/>
      <c r="X107" s="7">
        <f t="shared" si="74"/>
        <v>-4.17999999999995</v>
      </c>
      <c r="Y107" s="2"/>
      <c r="Z107" s="6">
        <f t="shared" si="75"/>
        <v>-7.2822299651567075E-3</v>
      </c>
    </row>
    <row r="108" spans="1:26" s="27" customFormat="1" outlineLevel="1" collapsed="1" x14ac:dyDescent="0.25">
      <c r="A108" s="28"/>
      <c r="B108" s="14" t="str">
        <f>CONCATENATE("     ","Supplies                                          ")</f>
        <v xml:space="preserve">     Supplies                                          </v>
      </c>
      <c r="C108" s="14"/>
      <c r="D108" s="1">
        <f>SUM(OSRRefD22_19x_0)</f>
        <v>24206.949999999997</v>
      </c>
      <c r="E108" s="1"/>
      <c r="F108" s="5">
        <f t="shared" si="68"/>
        <v>0.10158576431642735</v>
      </c>
      <c r="G108" s="1"/>
      <c r="H108" s="1">
        <f>SUM(OSRRefH22_19x_0)</f>
        <v>30639.9</v>
      </c>
      <c r="I108" s="1"/>
      <c r="J108" s="5">
        <f t="shared" si="69"/>
        <v>9.8931190936530133E-2</v>
      </c>
      <c r="K108" s="1"/>
      <c r="L108" s="1">
        <f t="shared" si="70"/>
        <v>-6432.9500000000044</v>
      </c>
      <c r="M108" s="1"/>
      <c r="N108" s="5">
        <f t="shared" si="71"/>
        <v>-0.20995336146658455</v>
      </c>
      <c r="O108" s="14"/>
      <c r="P108" s="1">
        <f>SUM(OSRRefP22_19x_0)</f>
        <v>24206.949999999997</v>
      </c>
      <c r="Q108" s="1"/>
      <c r="R108" s="5">
        <f t="shared" si="72"/>
        <v>0.10158576431642735</v>
      </c>
      <c r="S108" s="1"/>
      <c r="T108" s="1">
        <f>SUM(OSRRefT22_19x_0)</f>
        <v>30639.9</v>
      </c>
      <c r="U108" s="1"/>
      <c r="V108" s="5">
        <f t="shared" si="73"/>
        <v>9.8931190936530133E-2</v>
      </c>
      <c r="W108" s="1"/>
      <c r="X108" s="1">
        <f t="shared" si="74"/>
        <v>-6432.9500000000044</v>
      </c>
      <c r="Y108" s="1"/>
      <c r="Z108" s="5">
        <f t="shared" si="75"/>
        <v>-0.20995336146658455</v>
      </c>
    </row>
    <row r="109" spans="1:26" s="24" customFormat="1" hidden="1" outlineLevel="2" x14ac:dyDescent="0.25">
      <c r="A109" s="29"/>
      <c r="B109" s="11" t="str">
        <f>CONCATENATE("          ", "6234", " - ", "EXPENDABLE SUPPLIES &amp; EQUIPMEN")</f>
        <v xml:space="preserve">          6234 - EXPENDABLE SUPPLIES &amp; EQUIPMEN</v>
      </c>
      <c r="C109" s="11"/>
      <c r="D109" s="7"/>
      <c r="E109" s="2"/>
      <c r="F109" s="6">
        <f t="shared" si="68"/>
        <v>0</v>
      </c>
      <c r="G109" s="2"/>
      <c r="H109" s="7">
        <v>3700</v>
      </c>
      <c r="I109" s="2"/>
      <c r="J109" s="6">
        <f t="shared" si="69"/>
        <v>1.1946690637539989E-2</v>
      </c>
      <c r="K109" s="2"/>
      <c r="L109" s="7">
        <f t="shared" si="70"/>
        <v>-3700</v>
      </c>
      <c r="M109" s="2"/>
      <c r="N109" s="6">
        <f t="shared" si="71"/>
        <v>-1</v>
      </c>
      <c r="O109" s="11"/>
      <c r="P109" s="7"/>
      <c r="Q109" s="2"/>
      <c r="R109" s="6">
        <f t="shared" si="72"/>
        <v>0</v>
      </c>
      <c r="S109" s="2"/>
      <c r="T109" s="7">
        <v>3700</v>
      </c>
      <c r="U109" s="2"/>
      <c r="V109" s="6">
        <f t="shared" si="73"/>
        <v>1.1946690637539989E-2</v>
      </c>
      <c r="W109" s="2"/>
      <c r="X109" s="7">
        <f t="shared" si="74"/>
        <v>-3700</v>
      </c>
      <c r="Y109" s="2"/>
      <c r="Z109" s="6">
        <f t="shared" si="75"/>
        <v>-1</v>
      </c>
    </row>
    <row r="110" spans="1:26" s="24" customFormat="1" hidden="1" outlineLevel="2" x14ac:dyDescent="0.25">
      <c r="A110" s="29"/>
      <c r="B110" s="11" t="str">
        <f>CONCATENATE("          ", "6237", " - ", "JANITORIAL SUPPLIES")</f>
        <v xml:space="preserve">          6237 - JANITORIAL SUPPLIES</v>
      </c>
      <c r="C110" s="11"/>
      <c r="D110" s="7">
        <v>4251.6400000000003</v>
      </c>
      <c r="E110" s="2"/>
      <c r="F110" s="6">
        <f t="shared" si="68"/>
        <v>1.784223534969483E-2</v>
      </c>
      <c r="G110" s="2"/>
      <c r="H110" s="7">
        <v>5511</v>
      </c>
      <c r="I110" s="2"/>
      <c r="J110" s="6">
        <f t="shared" si="69"/>
        <v>1.7794111379319695E-2</v>
      </c>
      <c r="K110" s="2"/>
      <c r="L110" s="7">
        <f t="shared" si="70"/>
        <v>-1259.3599999999997</v>
      </c>
      <c r="M110" s="2"/>
      <c r="N110" s="6">
        <f t="shared" si="71"/>
        <v>-0.22851751043367804</v>
      </c>
      <c r="O110" s="11"/>
      <c r="P110" s="7">
        <v>4251.6400000000003</v>
      </c>
      <c r="Q110" s="2"/>
      <c r="R110" s="6">
        <f t="shared" si="72"/>
        <v>1.784223534969483E-2</v>
      </c>
      <c r="S110" s="2"/>
      <c r="T110" s="7">
        <v>5511</v>
      </c>
      <c r="U110" s="2"/>
      <c r="V110" s="6">
        <f t="shared" si="73"/>
        <v>1.7794111379319695E-2</v>
      </c>
      <c r="W110" s="2"/>
      <c r="X110" s="7">
        <f t="shared" si="74"/>
        <v>-1259.3599999999997</v>
      </c>
      <c r="Y110" s="2"/>
      <c r="Z110" s="6">
        <f t="shared" si="75"/>
        <v>-0.22851751043367804</v>
      </c>
    </row>
    <row r="111" spans="1:26" s="24" customFormat="1" hidden="1" outlineLevel="2" x14ac:dyDescent="0.25">
      <c r="A111" s="29"/>
      <c r="B111" s="11" t="str">
        <f>CONCATENATE("          ", "6239", " - ", "KITCHEN SUPPLIES")</f>
        <v xml:space="preserve">          6239 - KITCHEN SUPPLIES</v>
      </c>
      <c r="C111" s="11"/>
      <c r="D111" s="7">
        <v>6419.53</v>
      </c>
      <c r="E111" s="2"/>
      <c r="F111" s="6">
        <f t="shared" si="68"/>
        <v>2.6939902036490965E-2</v>
      </c>
      <c r="G111" s="2"/>
      <c r="H111" s="7">
        <v>11066</v>
      </c>
      <c r="I111" s="2"/>
      <c r="J111" s="6">
        <f t="shared" si="69"/>
        <v>3.5730291512166897E-2</v>
      </c>
      <c r="K111" s="2"/>
      <c r="L111" s="7">
        <f t="shared" si="70"/>
        <v>-4646.47</v>
      </c>
      <c r="M111" s="2"/>
      <c r="N111" s="6">
        <f t="shared" si="71"/>
        <v>-0.41988704138803545</v>
      </c>
      <c r="O111" s="11"/>
      <c r="P111" s="7">
        <v>6419.53</v>
      </c>
      <c r="Q111" s="2"/>
      <c r="R111" s="6">
        <f t="shared" si="72"/>
        <v>2.6939902036490965E-2</v>
      </c>
      <c r="S111" s="2"/>
      <c r="T111" s="7">
        <v>11066</v>
      </c>
      <c r="U111" s="2"/>
      <c r="V111" s="6">
        <f t="shared" si="73"/>
        <v>3.5730291512166897E-2</v>
      </c>
      <c r="W111" s="2"/>
      <c r="X111" s="7">
        <f t="shared" si="74"/>
        <v>-4646.47</v>
      </c>
      <c r="Y111" s="2"/>
      <c r="Z111" s="6">
        <f t="shared" si="75"/>
        <v>-0.41988704138803545</v>
      </c>
    </row>
    <row r="112" spans="1:26" s="24" customFormat="1" hidden="1" outlineLevel="2" x14ac:dyDescent="0.25">
      <c r="A112" s="29"/>
      <c r="B112" s="11" t="str">
        <f>CONCATENATE("          ", "6241", " - ", "OFFICE EXPENSE")</f>
        <v xml:space="preserve">          6241 - OFFICE EXPENSE</v>
      </c>
      <c r="C112" s="11"/>
      <c r="D112" s="7">
        <v>3018.64</v>
      </c>
      <c r="E112" s="2"/>
      <c r="F112" s="6">
        <f t="shared" si="68"/>
        <v>1.266788470237433E-2</v>
      </c>
      <c r="G112" s="2"/>
      <c r="H112" s="7">
        <v>1201.25</v>
      </c>
      <c r="I112" s="2"/>
      <c r="J112" s="6">
        <f t="shared" si="69"/>
        <v>3.8786384130661922E-3</v>
      </c>
      <c r="K112" s="2"/>
      <c r="L112" s="7">
        <f t="shared" si="70"/>
        <v>1817.3899999999999</v>
      </c>
      <c r="M112" s="2"/>
      <c r="N112" s="6">
        <f t="shared" si="71"/>
        <v>1.5129157127991675</v>
      </c>
      <c r="O112" s="11"/>
      <c r="P112" s="7">
        <v>3018.64</v>
      </c>
      <c r="Q112" s="2"/>
      <c r="R112" s="6">
        <f t="shared" si="72"/>
        <v>1.266788470237433E-2</v>
      </c>
      <c r="S112" s="2"/>
      <c r="T112" s="7">
        <v>1201.25</v>
      </c>
      <c r="U112" s="2"/>
      <c r="V112" s="6">
        <f t="shared" si="73"/>
        <v>3.8786384130661922E-3</v>
      </c>
      <c r="W112" s="2"/>
      <c r="X112" s="7">
        <f t="shared" si="74"/>
        <v>1817.3899999999999</v>
      </c>
      <c r="Y112" s="2"/>
      <c r="Z112" s="6">
        <f t="shared" si="75"/>
        <v>1.5129157127991675</v>
      </c>
    </row>
    <row r="113" spans="1:26" s="24" customFormat="1" hidden="1" outlineLevel="2" x14ac:dyDescent="0.25">
      <c r="A113" s="29"/>
      <c r="B113" s="11" t="str">
        <f>CONCATENATE("          ", "6243", " - ", "PAPER SUPPLIES")</f>
        <v xml:space="preserve">          6243 - PAPER SUPPLIES</v>
      </c>
      <c r="C113" s="11"/>
      <c r="D113" s="7">
        <v>2838.31</v>
      </c>
      <c r="E113" s="2"/>
      <c r="F113" s="6">
        <f t="shared" si="68"/>
        <v>1.191112018312753E-2</v>
      </c>
      <c r="G113" s="2"/>
      <c r="H113" s="7">
        <v>2280</v>
      </c>
      <c r="I113" s="2"/>
      <c r="J113" s="6">
        <f t="shared" si="69"/>
        <v>7.3617445009705879E-3</v>
      </c>
      <c r="K113" s="2"/>
      <c r="L113" s="7">
        <f t="shared" si="70"/>
        <v>558.30999999999995</v>
      </c>
      <c r="M113" s="2"/>
      <c r="N113" s="6">
        <f t="shared" si="71"/>
        <v>0.24487280701754383</v>
      </c>
      <c r="O113" s="11"/>
      <c r="P113" s="7">
        <v>2838.31</v>
      </c>
      <c r="Q113" s="2"/>
      <c r="R113" s="6">
        <f t="shared" si="72"/>
        <v>1.191112018312753E-2</v>
      </c>
      <c r="S113" s="2"/>
      <c r="T113" s="7">
        <v>2280</v>
      </c>
      <c r="U113" s="2"/>
      <c r="V113" s="6">
        <f t="shared" si="73"/>
        <v>7.3617445009705879E-3</v>
      </c>
      <c r="W113" s="2"/>
      <c r="X113" s="7">
        <f t="shared" si="74"/>
        <v>558.30999999999995</v>
      </c>
      <c r="Y113" s="2"/>
      <c r="Z113" s="6">
        <f t="shared" si="75"/>
        <v>0.24487280701754383</v>
      </c>
    </row>
    <row r="114" spans="1:26" s="24" customFormat="1" hidden="1" outlineLevel="2" x14ac:dyDescent="0.25">
      <c r="A114" s="29"/>
      <c r="B114" s="11" t="str">
        <f>CONCATENATE("          ", "6244", " - ", "SAFETY SUPPLY EXPENSE")</f>
        <v xml:space="preserve">          6244 - SAFETY SUPPLY EXPENSE</v>
      </c>
      <c r="C114" s="11"/>
      <c r="D114" s="7"/>
      <c r="E114" s="2"/>
      <c r="F114" s="6">
        <f t="shared" si="68"/>
        <v>0</v>
      </c>
      <c r="G114" s="2"/>
      <c r="H114" s="7">
        <v>140</v>
      </c>
      <c r="I114" s="2"/>
      <c r="J114" s="6">
        <f t="shared" si="69"/>
        <v>4.5203694304205363E-4</v>
      </c>
      <c r="K114" s="2"/>
      <c r="L114" s="7">
        <f t="shared" si="70"/>
        <v>-140</v>
      </c>
      <c r="M114" s="2"/>
      <c r="N114" s="6">
        <f t="shared" si="71"/>
        <v>-1</v>
      </c>
      <c r="O114" s="11"/>
      <c r="P114" s="7"/>
      <c r="Q114" s="2"/>
      <c r="R114" s="6">
        <f t="shared" si="72"/>
        <v>0</v>
      </c>
      <c r="S114" s="2"/>
      <c r="T114" s="7">
        <v>140</v>
      </c>
      <c r="U114" s="2"/>
      <c r="V114" s="6">
        <f t="shared" si="73"/>
        <v>4.5203694304205363E-4</v>
      </c>
      <c r="W114" s="2"/>
      <c r="X114" s="7">
        <f t="shared" si="74"/>
        <v>-140</v>
      </c>
      <c r="Y114" s="2"/>
      <c r="Z114" s="6">
        <f t="shared" si="75"/>
        <v>-1</v>
      </c>
    </row>
    <row r="115" spans="1:26" s="24" customFormat="1" hidden="1" outlineLevel="2" x14ac:dyDescent="0.25">
      <c r="A115" s="29"/>
      <c r="B115" s="11" t="str">
        <f>CONCATENATE("          ", "6245", " - ", "PRINTING")</f>
        <v xml:space="preserve">          6245 - PRINTING</v>
      </c>
      <c r="C115" s="11"/>
      <c r="D115" s="7">
        <v>137.76</v>
      </c>
      <c r="E115" s="2"/>
      <c r="F115" s="6">
        <f t="shared" si="68"/>
        <v>5.7811723047434865E-4</v>
      </c>
      <c r="G115" s="2"/>
      <c r="H115" s="7">
        <v>50</v>
      </c>
      <c r="I115" s="2"/>
      <c r="J115" s="6">
        <f t="shared" si="69"/>
        <v>1.6144176537216201E-4</v>
      </c>
      <c r="K115" s="2"/>
      <c r="L115" s="7">
        <f t="shared" si="70"/>
        <v>87.759999999999991</v>
      </c>
      <c r="M115" s="2"/>
      <c r="N115" s="6">
        <f t="shared" si="71"/>
        <v>1.7551999999999999</v>
      </c>
      <c r="O115" s="11"/>
      <c r="P115" s="7">
        <v>137.76</v>
      </c>
      <c r="Q115" s="2"/>
      <c r="R115" s="6">
        <f t="shared" si="72"/>
        <v>5.7811723047434865E-4</v>
      </c>
      <c r="S115" s="2"/>
      <c r="T115" s="7">
        <v>50</v>
      </c>
      <c r="U115" s="2"/>
      <c r="V115" s="6">
        <f t="shared" si="73"/>
        <v>1.6144176537216201E-4</v>
      </c>
      <c r="W115" s="2"/>
      <c r="X115" s="7">
        <f t="shared" si="74"/>
        <v>87.759999999999991</v>
      </c>
      <c r="Y115" s="2"/>
      <c r="Z115" s="6">
        <f t="shared" si="75"/>
        <v>1.7551999999999999</v>
      </c>
    </row>
    <row r="116" spans="1:26" s="24" customFormat="1" hidden="1" outlineLevel="2" x14ac:dyDescent="0.25">
      <c r="A116" s="29"/>
      <c r="B116" s="11" t="str">
        <f>CONCATENATE("          ", "6246", " - ", "REPLACEMENTS")</f>
        <v xml:space="preserve">          6246 - REPLACEMENTS</v>
      </c>
      <c r="C116" s="11"/>
      <c r="D116" s="7"/>
      <c r="E116" s="2"/>
      <c r="F116" s="6">
        <f t="shared" si="68"/>
        <v>0</v>
      </c>
      <c r="G116" s="2"/>
      <c r="H116" s="7">
        <v>2400</v>
      </c>
      <c r="I116" s="2"/>
      <c r="J116" s="6">
        <f t="shared" si="69"/>
        <v>7.7492047378637761E-3</v>
      </c>
      <c r="K116" s="2"/>
      <c r="L116" s="7">
        <f t="shared" si="70"/>
        <v>-2400</v>
      </c>
      <c r="M116" s="2"/>
      <c r="N116" s="6">
        <f t="shared" si="71"/>
        <v>-1</v>
      </c>
      <c r="O116" s="11"/>
      <c r="P116" s="7"/>
      <c r="Q116" s="2"/>
      <c r="R116" s="6">
        <f t="shared" si="72"/>
        <v>0</v>
      </c>
      <c r="S116" s="2"/>
      <c r="T116" s="7">
        <v>2400</v>
      </c>
      <c r="U116" s="2"/>
      <c r="V116" s="6">
        <f t="shared" si="73"/>
        <v>7.7492047378637761E-3</v>
      </c>
      <c r="W116" s="2"/>
      <c r="X116" s="7">
        <f t="shared" si="74"/>
        <v>-2400</v>
      </c>
      <c r="Y116" s="2"/>
      <c r="Z116" s="6">
        <f t="shared" si="75"/>
        <v>-1</v>
      </c>
    </row>
    <row r="117" spans="1:26" s="24" customFormat="1" hidden="1" outlineLevel="2" x14ac:dyDescent="0.25">
      <c r="A117" s="29"/>
      <c r="B117" s="11" t="str">
        <f>CONCATENATE("          ", "6247", " - ", "STORE SUPPLIES")</f>
        <v xml:space="preserve">          6247 - STORE SUPPLIES</v>
      </c>
      <c r="C117" s="11"/>
      <c r="D117" s="7">
        <v>6961.63</v>
      </c>
      <c r="E117" s="2"/>
      <c r="F117" s="6">
        <f t="shared" si="68"/>
        <v>2.9214853768780052E-2</v>
      </c>
      <c r="G117" s="2"/>
      <c r="H117" s="7">
        <v>891.65</v>
      </c>
      <c r="I117" s="2"/>
      <c r="J117" s="6">
        <f t="shared" si="69"/>
        <v>2.8789910018817652E-3</v>
      </c>
      <c r="K117" s="2"/>
      <c r="L117" s="7">
        <f t="shared" si="70"/>
        <v>6069.9800000000005</v>
      </c>
      <c r="M117" s="2"/>
      <c r="N117" s="6">
        <f t="shared" si="71"/>
        <v>6.8075814501205638</v>
      </c>
      <c r="O117" s="11"/>
      <c r="P117" s="7">
        <v>6961.63</v>
      </c>
      <c r="Q117" s="2"/>
      <c r="R117" s="6">
        <f t="shared" si="72"/>
        <v>2.9214853768780052E-2</v>
      </c>
      <c r="S117" s="2"/>
      <c r="T117" s="7">
        <v>891.65</v>
      </c>
      <c r="U117" s="2"/>
      <c r="V117" s="6">
        <f t="shared" si="73"/>
        <v>2.8789910018817652E-3</v>
      </c>
      <c r="W117" s="2"/>
      <c r="X117" s="7">
        <f t="shared" si="74"/>
        <v>6069.9800000000005</v>
      </c>
      <c r="Y117" s="2"/>
      <c r="Z117" s="6">
        <f t="shared" si="75"/>
        <v>6.8075814501205638</v>
      </c>
    </row>
    <row r="118" spans="1:26" s="24" customFormat="1" hidden="1" outlineLevel="2" x14ac:dyDescent="0.25">
      <c r="A118" s="29"/>
      <c r="B118" s="11" t="str">
        <f>CONCATENATE("          ", "6248", " - ", "UNIFORMS")</f>
        <v xml:space="preserve">          6248 - UNIFORMS</v>
      </c>
      <c r="C118" s="11"/>
      <c r="D118" s="7">
        <v>579.44000000000005</v>
      </c>
      <c r="E118" s="2"/>
      <c r="F118" s="6">
        <f t="shared" si="68"/>
        <v>2.4316510454853121E-3</v>
      </c>
      <c r="G118" s="2"/>
      <c r="H118" s="7">
        <v>3400</v>
      </c>
      <c r="I118" s="2"/>
      <c r="J118" s="6">
        <f t="shared" si="69"/>
        <v>1.0978040045307016E-2</v>
      </c>
      <c r="K118" s="2"/>
      <c r="L118" s="7">
        <f t="shared" si="70"/>
        <v>-2820.56</v>
      </c>
      <c r="M118" s="2"/>
      <c r="N118" s="6">
        <f t="shared" si="71"/>
        <v>-0.82957647058823525</v>
      </c>
      <c r="O118" s="11"/>
      <c r="P118" s="7">
        <v>579.44000000000005</v>
      </c>
      <c r="Q118" s="2"/>
      <c r="R118" s="6">
        <f t="shared" si="72"/>
        <v>2.4316510454853121E-3</v>
      </c>
      <c r="S118" s="2"/>
      <c r="T118" s="7">
        <v>3400</v>
      </c>
      <c r="U118" s="2"/>
      <c r="V118" s="6">
        <f t="shared" si="73"/>
        <v>1.0978040045307016E-2</v>
      </c>
      <c r="W118" s="2"/>
      <c r="X118" s="7">
        <f t="shared" si="74"/>
        <v>-2820.56</v>
      </c>
      <c r="Y118" s="2"/>
      <c r="Z118" s="6">
        <f t="shared" si="75"/>
        <v>-0.82957647058823525</v>
      </c>
    </row>
    <row r="119" spans="1:26" s="27" customFormat="1" outlineLevel="1" collapsed="1" x14ac:dyDescent="0.25">
      <c r="A119" s="28"/>
      <c r="B119" s="14" t="str">
        <f>CONCATENATE("     ","Telephone/Data Lines                              ")</f>
        <v xml:space="preserve">     Telephone/Data Lines                              </v>
      </c>
      <c r="C119" s="14"/>
      <c r="D119" s="1">
        <f>SUM(OSRRefD22_20x_0)</f>
        <v>1185.1500000000001</v>
      </c>
      <c r="E119" s="1"/>
      <c r="F119" s="5">
        <f t="shared" ref="F119:F121" si="76">IF(D$12=0,0,D119/D$12)</f>
        <v>4.9735455552894483E-3</v>
      </c>
      <c r="G119" s="1"/>
      <c r="H119" s="1">
        <f>SUM(OSRRefH22_20x_0)</f>
        <v>1963</v>
      </c>
      <c r="I119" s="1"/>
      <c r="J119" s="5">
        <f t="shared" ref="J119:J121" si="77">IF(H$12=0,0,H119/H$12)</f>
        <v>6.3382037085110803E-3</v>
      </c>
      <c r="K119" s="1"/>
      <c r="L119" s="1">
        <f t="shared" ref="L119:L121" si="78">+D119-H119</f>
        <v>-777.84999999999991</v>
      </c>
      <c r="M119" s="1"/>
      <c r="N119" s="5">
        <f t="shared" ref="N119:N121" si="79">IF(H119=0,0,L119/H119)</f>
        <v>-0.3962557310239429</v>
      </c>
      <c r="O119" s="14"/>
      <c r="P119" s="1">
        <f>SUM(OSRRefP22_20x_0)</f>
        <v>1185.1500000000001</v>
      </c>
      <c r="Q119" s="1"/>
      <c r="R119" s="5">
        <f t="shared" ref="R119:R121" si="80">IF(P$12=0,0,P119/P$12)</f>
        <v>4.9735455552894483E-3</v>
      </c>
      <c r="S119" s="1"/>
      <c r="T119" s="1">
        <f>SUM(OSRRefT22_20x_0)</f>
        <v>1963</v>
      </c>
      <c r="U119" s="1"/>
      <c r="V119" s="5">
        <f t="shared" ref="V119:V121" si="81">IF(T$12=0,0,T119/T$12)</f>
        <v>6.3382037085110803E-3</v>
      </c>
      <c r="W119" s="1"/>
      <c r="X119" s="1">
        <f t="shared" ref="X119:X121" si="82">+P119-T119</f>
        <v>-777.84999999999991</v>
      </c>
      <c r="Y119" s="1"/>
      <c r="Z119" s="5">
        <f t="shared" ref="Z119:Z121" si="83">IF(T119=0,0,X119/T119)</f>
        <v>-0.3962557310239429</v>
      </c>
    </row>
    <row r="120" spans="1:26" s="24" customFormat="1" hidden="1" outlineLevel="2" x14ac:dyDescent="0.25">
      <c r="A120" s="29"/>
      <c r="B120" s="11" t="str">
        <f>CONCATENATE("          ", "6303", " - ", "DATA PHONE LINES")</f>
        <v xml:space="preserve">          6303 - DATA PHONE LINES</v>
      </c>
      <c r="C120" s="11"/>
      <c r="D120" s="7"/>
      <c r="E120" s="2"/>
      <c r="F120" s="6">
        <f t="shared" si="76"/>
        <v>0</v>
      </c>
      <c r="G120" s="2"/>
      <c r="H120" s="7">
        <v>398</v>
      </c>
      <c r="I120" s="2"/>
      <c r="J120" s="6">
        <f t="shared" si="77"/>
        <v>1.2850764523624097E-3</v>
      </c>
      <c r="K120" s="2"/>
      <c r="L120" s="7">
        <f t="shared" si="78"/>
        <v>-398</v>
      </c>
      <c r="M120" s="2"/>
      <c r="N120" s="6">
        <f t="shared" si="79"/>
        <v>-1</v>
      </c>
      <c r="O120" s="11"/>
      <c r="P120" s="7"/>
      <c r="Q120" s="2"/>
      <c r="R120" s="6">
        <f t="shared" si="80"/>
        <v>0</v>
      </c>
      <c r="S120" s="2"/>
      <c r="T120" s="7">
        <v>398</v>
      </c>
      <c r="U120" s="2"/>
      <c r="V120" s="6">
        <f t="shared" si="81"/>
        <v>1.2850764523624097E-3</v>
      </c>
      <c r="W120" s="2"/>
      <c r="X120" s="7">
        <f t="shared" si="82"/>
        <v>-398</v>
      </c>
      <c r="Y120" s="2"/>
      <c r="Z120" s="6">
        <f t="shared" si="83"/>
        <v>-1</v>
      </c>
    </row>
    <row r="121" spans="1:26" s="24" customFormat="1" hidden="1" outlineLevel="2" x14ac:dyDescent="0.25">
      <c r="A121" s="29"/>
      <c r="B121" s="11" t="str">
        <f>CONCATENATE("          ", "6309", " - ", "TELEPHONE")</f>
        <v xml:space="preserve">          6309 - TELEPHONE</v>
      </c>
      <c r="C121" s="11"/>
      <c r="D121" s="7">
        <v>1185.1500000000001</v>
      </c>
      <c r="E121" s="2"/>
      <c r="F121" s="6">
        <f t="shared" si="76"/>
        <v>4.9735455552894483E-3</v>
      </c>
      <c r="G121" s="2"/>
      <c r="H121" s="7">
        <v>1565</v>
      </c>
      <c r="I121" s="2"/>
      <c r="J121" s="6">
        <f t="shared" si="77"/>
        <v>5.053127256148671E-3</v>
      </c>
      <c r="K121" s="2"/>
      <c r="L121" s="7">
        <f t="shared" si="78"/>
        <v>-379.84999999999991</v>
      </c>
      <c r="M121" s="2"/>
      <c r="N121" s="6">
        <f t="shared" si="79"/>
        <v>-0.24271565495207661</v>
      </c>
      <c r="O121" s="11"/>
      <c r="P121" s="7">
        <v>1185.1500000000001</v>
      </c>
      <c r="Q121" s="2"/>
      <c r="R121" s="6">
        <f t="shared" si="80"/>
        <v>4.9735455552894483E-3</v>
      </c>
      <c r="S121" s="2"/>
      <c r="T121" s="7">
        <v>1565</v>
      </c>
      <c r="U121" s="2"/>
      <c r="V121" s="6">
        <f t="shared" si="81"/>
        <v>5.053127256148671E-3</v>
      </c>
      <c r="W121" s="2"/>
      <c r="X121" s="7">
        <f t="shared" si="82"/>
        <v>-379.84999999999991</v>
      </c>
      <c r="Y121" s="2"/>
      <c r="Z121" s="6">
        <f t="shared" si="83"/>
        <v>-0.24271565495207661</v>
      </c>
    </row>
    <row r="122" spans="1:26" s="27" customFormat="1" outlineLevel="1" collapsed="1" x14ac:dyDescent="0.25">
      <c r="A122" s="28"/>
      <c r="B122" s="14" t="str">
        <f>CONCATENATE("     ","Training                                          ")</f>
        <v xml:space="preserve">     Training                                          </v>
      </c>
      <c r="C122" s="14"/>
      <c r="D122" s="1">
        <f>SUM(OSRRefD22_21x_0)</f>
        <v>868.85</v>
      </c>
      <c r="E122" s="1"/>
      <c r="F122" s="5">
        <f t="shared" ref="F122:F127" si="84">IF(D$12=0,0,D122/D$12)</f>
        <v>3.6461756365972551E-3</v>
      </c>
      <c r="G122" s="1"/>
      <c r="H122" s="1">
        <f>SUM(OSRRefH22_21x_0)</f>
        <v>540</v>
      </c>
      <c r="I122" s="1"/>
      <c r="J122" s="5">
        <f t="shared" ref="J122:J127" si="85">IF(H$12=0,0,H122/H$12)</f>
        <v>1.7435710660193497E-3</v>
      </c>
      <c r="K122" s="1"/>
      <c r="L122" s="1">
        <f t="shared" ref="L122:L127" si="86">+D122-H122</f>
        <v>328.85</v>
      </c>
      <c r="M122" s="1"/>
      <c r="N122" s="5">
        <f t="shared" ref="N122:N127" si="87">IF(H122=0,0,L122/H122)</f>
        <v>0.60898148148148157</v>
      </c>
      <c r="O122" s="14"/>
      <c r="P122" s="1">
        <f>SUM(OSRRefP22_21x_0)</f>
        <v>868.85</v>
      </c>
      <c r="Q122" s="1"/>
      <c r="R122" s="5">
        <f t="shared" ref="R122:R127" si="88">IF(P$12=0,0,P122/P$12)</f>
        <v>3.6461756365972551E-3</v>
      </c>
      <c r="S122" s="1"/>
      <c r="T122" s="1">
        <f>SUM(OSRRefT22_21x_0)</f>
        <v>540</v>
      </c>
      <c r="U122" s="1"/>
      <c r="V122" s="5">
        <f t="shared" ref="V122:V127" si="89">IF(T$12=0,0,T122/T$12)</f>
        <v>1.7435710660193497E-3</v>
      </c>
      <c r="W122" s="1"/>
      <c r="X122" s="1">
        <f t="shared" ref="X122:X127" si="90">+P122-T122</f>
        <v>328.85</v>
      </c>
      <c r="Y122" s="1"/>
      <c r="Z122" s="5">
        <f t="shared" ref="Z122:Z127" si="91">IF(T122=0,0,X122/T122)</f>
        <v>0.60898148148148157</v>
      </c>
    </row>
    <row r="123" spans="1:26" s="24" customFormat="1" hidden="1" outlineLevel="2" x14ac:dyDescent="0.25">
      <c r="A123" s="29"/>
      <c r="B123" s="11" t="str">
        <f>CONCATENATE("          ", "6376", " - ", "TRAINING")</f>
        <v xml:space="preserve">          6376 - TRAINING</v>
      </c>
      <c r="C123" s="11"/>
      <c r="D123" s="7">
        <v>868.85</v>
      </c>
      <c r="E123" s="2"/>
      <c r="F123" s="6">
        <f t="shared" si="84"/>
        <v>3.6461756365972551E-3</v>
      </c>
      <c r="G123" s="2"/>
      <c r="H123" s="7">
        <v>540</v>
      </c>
      <c r="I123" s="2"/>
      <c r="J123" s="6">
        <f t="shared" si="85"/>
        <v>1.7435710660193497E-3</v>
      </c>
      <c r="K123" s="2"/>
      <c r="L123" s="7">
        <f t="shared" si="86"/>
        <v>328.85</v>
      </c>
      <c r="M123" s="2"/>
      <c r="N123" s="6">
        <f t="shared" si="87"/>
        <v>0.60898148148148157</v>
      </c>
      <c r="O123" s="11"/>
      <c r="P123" s="7">
        <v>868.85</v>
      </c>
      <c r="Q123" s="2"/>
      <c r="R123" s="6">
        <f t="shared" si="88"/>
        <v>3.6461756365972551E-3</v>
      </c>
      <c r="S123" s="2"/>
      <c r="T123" s="7">
        <v>540</v>
      </c>
      <c r="U123" s="2"/>
      <c r="V123" s="6">
        <f t="shared" si="89"/>
        <v>1.7435710660193497E-3</v>
      </c>
      <c r="W123" s="2"/>
      <c r="X123" s="7">
        <f t="shared" si="90"/>
        <v>328.85</v>
      </c>
      <c r="Y123" s="2"/>
      <c r="Z123" s="6">
        <f t="shared" si="91"/>
        <v>0.60898148148148157</v>
      </c>
    </row>
    <row r="124" spans="1:26" s="27" customFormat="1" outlineLevel="1" collapsed="1" x14ac:dyDescent="0.25">
      <c r="A124" s="28"/>
      <c r="B124" s="14" t="str">
        <f>CONCATENATE("     ","Travel                                            ")</f>
        <v xml:space="preserve">     Travel                                            </v>
      </c>
      <c r="C124" s="14"/>
      <c r="D124" s="1">
        <f>SUM(OSRRefD22_22x_0)</f>
        <v>764.32</v>
      </c>
      <c r="E124" s="1"/>
      <c r="F124" s="5">
        <f t="shared" si="84"/>
        <v>3.2075098838280649E-3</v>
      </c>
      <c r="G124" s="1"/>
      <c r="H124" s="1">
        <f>SUM(OSRRefH22_22x_0)</f>
        <v>5200</v>
      </c>
      <c r="I124" s="1"/>
      <c r="J124" s="5">
        <f t="shared" si="85"/>
        <v>1.6789943598704848E-2</v>
      </c>
      <c r="K124" s="1"/>
      <c r="L124" s="1">
        <f t="shared" si="86"/>
        <v>-4435.68</v>
      </c>
      <c r="M124" s="1"/>
      <c r="N124" s="5">
        <f t="shared" si="87"/>
        <v>-0.85301538461538462</v>
      </c>
      <c r="O124" s="14"/>
      <c r="P124" s="1">
        <f>SUM(OSRRefP22_22x_0)</f>
        <v>764.32</v>
      </c>
      <c r="Q124" s="1"/>
      <c r="R124" s="5">
        <f t="shared" si="88"/>
        <v>3.2075098838280649E-3</v>
      </c>
      <c r="S124" s="1"/>
      <c r="T124" s="1">
        <f>SUM(OSRRefT22_22x_0)</f>
        <v>5200</v>
      </c>
      <c r="U124" s="1"/>
      <c r="V124" s="5">
        <f t="shared" si="89"/>
        <v>1.6789943598704848E-2</v>
      </c>
      <c r="W124" s="1"/>
      <c r="X124" s="1">
        <f t="shared" si="90"/>
        <v>-4435.68</v>
      </c>
      <c r="Y124" s="1"/>
      <c r="Z124" s="5">
        <f t="shared" si="91"/>
        <v>-0.85301538461538462</v>
      </c>
    </row>
    <row r="125" spans="1:26" s="24" customFormat="1" hidden="1" outlineLevel="2" x14ac:dyDescent="0.25">
      <c r="A125" s="29"/>
      <c r="B125" s="11" t="str">
        <f>CONCATENATE("          ", "6292", " - ", "TRAVEL/CONFERENCE")</f>
        <v xml:space="preserve">          6292 - TRAVEL/CONFERENCE</v>
      </c>
      <c r="C125" s="11"/>
      <c r="D125" s="7">
        <v>505.23</v>
      </c>
      <c r="E125" s="2"/>
      <c r="F125" s="6">
        <f t="shared" si="84"/>
        <v>2.120224799307166E-3</v>
      </c>
      <c r="G125" s="2"/>
      <c r="H125" s="7">
        <v>5200</v>
      </c>
      <c r="I125" s="2"/>
      <c r="J125" s="6">
        <f t="shared" si="85"/>
        <v>1.6789943598704848E-2</v>
      </c>
      <c r="K125" s="2"/>
      <c r="L125" s="7">
        <f t="shared" si="86"/>
        <v>-4694.7700000000004</v>
      </c>
      <c r="M125" s="2"/>
      <c r="N125" s="6">
        <f t="shared" si="87"/>
        <v>-0.90284038461538474</v>
      </c>
      <c r="O125" s="11"/>
      <c r="P125" s="7">
        <v>505.23</v>
      </c>
      <c r="Q125" s="2"/>
      <c r="R125" s="6">
        <f t="shared" si="88"/>
        <v>2.120224799307166E-3</v>
      </c>
      <c r="S125" s="2"/>
      <c r="T125" s="7">
        <v>5200</v>
      </c>
      <c r="U125" s="2"/>
      <c r="V125" s="6">
        <f t="shared" si="89"/>
        <v>1.6789943598704848E-2</v>
      </c>
      <c r="W125" s="2"/>
      <c r="X125" s="7">
        <f t="shared" si="90"/>
        <v>-4694.7700000000004</v>
      </c>
      <c r="Y125" s="2"/>
      <c r="Z125" s="6">
        <f t="shared" si="91"/>
        <v>-0.90284038461538474</v>
      </c>
    </row>
    <row r="126" spans="1:26" s="24" customFormat="1" hidden="1" outlineLevel="2" x14ac:dyDescent="0.25">
      <c r="A126" s="29"/>
      <c r="B126" s="11" t="str">
        <f>CONCATENATE("          ", "6294", " - ", "TRAVEL OPERATIONAL")</f>
        <v xml:space="preserve">          6294 - TRAVEL OPERATIONAL</v>
      </c>
      <c r="C126" s="11"/>
      <c r="D126" s="7">
        <v>45.49</v>
      </c>
      <c r="E126" s="2"/>
      <c r="F126" s="6">
        <f t="shared" si="84"/>
        <v>1.9090122542304096E-4</v>
      </c>
      <c r="G126" s="2"/>
      <c r="H126" s="7"/>
      <c r="I126" s="2"/>
      <c r="J126" s="6">
        <f t="shared" si="85"/>
        <v>0</v>
      </c>
      <c r="K126" s="2"/>
      <c r="L126" s="7">
        <f t="shared" si="86"/>
        <v>45.49</v>
      </c>
      <c r="M126" s="2"/>
      <c r="N126" s="6">
        <f t="shared" si="87"/>
        <v>0</v>
      </c>
      <c r="O126" s="11"/>
      <c r="P126" s="7">
        <v>45.49</v>
      </c>
      <c r="Q126" s="2"/>
      <c r="R126" s="6">
        <f t="shared" si="88"/>
        <v>1.9090122542304096E-4</v>
      </c>
      <c r="S126" s="2"/>
      <c r="T126" s="7"/>
      <c r="U126" s="2"/>
      <c r="V126" s="6">
        <f t="shared" si="89"/>
        <v>0</v>
      </c>
      <c r="W126" s="2"/>
      <c r="X126" s="7">
        <f t="shared" si="90"/>
        <v>45.49</v>
      </c>
      <c r="Y126" s="2"/>
      <c r="Z126" s="6">
        <f t="shared" si="91"/>
        <v>0</v>
      </c>
    </row>
    <row r="127" spans="1:26" s="24" customFormat="1" hidden="1" outlineLevel="2" x14ac:dyDescent="0.25">
      <c r="A127" s="29"/>
      <c r="B127" s="11" t="str">
        <f>CONCATENATE("          ", "6298", " - ", "VEHICLE MILEAGE")</f>
        <v xml:space="preserve">          6298 - VEHICLE MILEAGE</v>
      </c>
      <c r="C127" s="11"/>
      <c r="D127" s="7">
        <v>213.6</v>
      </c>
      <c r="E127" s="2"/>
      <c r="F127" s="6">
        <f t="shared" si="84"/>
        <v>8.9638385909785769E-4</v>
      </c>
      <c r="G127" s="2"/>
      <c r="H127" s="7">
        <v>0</v>
      </c>
      <c r="I127" s="2"/>
      <c r="J127" s="6">
        <f t="shared" si="85"/>
        <v>0</v>
      </c>
      <c r="K127" s="2"/>
      <c r="L127" s="7">
        <f t="shared" si="86"/>
        <v>213.6</v>
      </c>
      <c r="M127" s="2"/>
      <c r="N127" s="6">
        <f t="shared" si="87"/>
        <v>0</v>
      </c>
      <c r="O127" s="11"/>
      <c r="P127" s="7">
        <v>213.6</v>
      </c>
      <c r="Q127" s="2"/>
      <c r="R127" s="6">
        <f t="shared" si="88"/>
        <v>8.9638385909785769E-4</v>
      </c>
      <c r="S127" s="2"/>
      <c r="T127" s="7">
        <v>0</v>
      </c>
      <c r="U127" s="2"/>
      <c r="V127" s="6">
        <f t="shared" si="89"/>
        <v>0</v>
      </c>
      <c r="W127" s="2"/>
      <c r="X127" s="7">
        <f t="shared" si="90"/>
        <v>213.6</v>
      </c>
      <c r="Y127" s="2"/>
      <c r="Z127" s="6">
        <f t="shared" si="91"/>
        <v>0</v>
      </c>
    </row>
    <row r="128" spans="1:26" s="27" customFormat="1" outlineLevel="1" collapsed="1" x14ac:dyDescent="0.25">
      <c r="A128" s="28"/>
      <c r="B128" s="14" t="str">
        <f>CONCATENATE("     ","Utilities                                         ")</f>
        <v xml:space="preserve">     Utilities                                         </v>
      </c>
      <c r="C128" s="14"/>
      <c r="D128" s="1">
        <f>SUM(OSRRefD22_23x_0)</f>
        <v>14650</v>
      </c>
      <c r="E128" s="1"/>
      <c r="F128" s="5">
        <f t="shared" ref="F128:F129" si="92">IF(D$12=0,0,D128/D$12)</f>
        <v>6.1479510935316548E-2</v>
      </c>
      <c r="G128" s="1"/>
      <c r="H128" s="1">
        <f>SUM(OSRRefH22_23x_0)</f>
        <v>18556</v>
      </c>
      <c r="I128" s="1"/>
      <c r="J128" s="5">
        <f t="shared" ref="J128:J129" si="93">IF(H$12=0,0,H128/H$12)</f>
        <v>5.9914267964916765E-2</v>
      </c>
      <c r="K128" s="1"/>
      <c r="L128" s="1">
        <f t="shared" ref="L128:L129" si="94">+D128-H128</f>
        <v>-3906</v>
      </c>
      <c r="M128" s="1"/>
      <c r="N128" s="5">
        <f t="shared" ref="N128:N129" si="95">IF(H128=0,0,L128/H128)</f>
        <v>-0.21049795214485881</v>
      </c>
      <c r="O128" s="14"/>
      <c r="P128" s="1">
        <f>SUM(OSRRefP22_23x_0)</f>
        <v>14650</v>
      </c>
      <c r="Q128" s="1"/>
      <c r="R128" s="5">
        <f t="shared" ref="R128:R129" si="96">IF(P$12=0,0,P128/P$12)</f>
        <v>6.1479510935316548E-2</v>
      </c>
      <c r="S128" s="1"/>
      <c r="T128" s="1">
        <f>SUM(OSRRefT22_23x_0)</f>
        <v>18556</v>
      </c>
      <c r="U128" s="1"/>
      <c r="V128" s="5">
        <f t="shared" ref="V128:V129" si="97">IF(T$12=0,0,T128/T$12)</f>
        <v>5.9914267964916765E-2</v>
      </c>
      <c r="W128" s="1"/>
      <c r="X128" s="1">
        <f t="shared" ref="X128:X129" si="98">+P128-T128</f>
        <v>-3906</v>
      </c>
      <c r="Y128" s="1"/>
      <c r="Z128" s="5">
        <f t="shared" ref="Z128:Z129" si="99">IF(T128=0,0,X128/T128)</f>
        <v>-0.21049795214485881</v>
      </c>
    </row>
    <row r="129" spans="1:26" s="24" customFormat="1" hidden="1" outlineLevel="2" x14ac:dyDescent="0.25">
      <c r="A129" s="29"/>
      <c r="B129" s="11" t="str">
        <f>CONCATENATE("          ", "6274", " - ", "UTILITIES")</f>
        <v xml:space="preserve">          6274 - UTILITIES</v>
      </c>
      <c r="C129" s="11"/>
      <c r="D129" s="7">
        <v>14650</v>
      </c>
      <c r="E129" s="2"/>
      <c r="F129" s="6">
        <f t="shared" si="92"/>
        <v>6.1479510935316548E-2</v>
      </c>
      <c r="G129" s="2"/>
      <c r="H129" s="7">
        <v>18556</v>
      </c>
      <c r="I129" s="2"/>
      <c r="J129" s="6">
        <f t="shared" si="93"/>
        <v>5.9914267964916765E-2</v>
      </c>
      <c r="K129" s="2"/>
      <c r="L129" s="7">
        <f t="shared" si="94"/>
        <v>-3906</v>
      </c>
      <c r="M129" s="2"/>
      <c r="N129" s="6">
        <f t="shared" si="95"/>
        <v>-0.21049795214485881</v>
      </c>
      <c r="O129" s="11"/>
      <c r="P129" s="7">
        <v>14650</v>
      </c>
      <c r="Q129" s="2"/>
      <c r="R129" s="6">
        <f t="shared" si="96"/>
        <v>6.1479510935316548E-2</v>
      </c>
      <c r="S129" s="2"/>
      <c r="T129" s="7">
        <v>18556</v>
      </c>
      <c r="U129" s="2"/>
      <c r="V129" s="6">
        <f t="shared" si="97"/>
        <v>5.9914267964916765E-2</v>
      </c>
      <c r="W129" s="2"/>
      <c r="X129" s="7">
        <f t="shared" si="98"/>
        <v>-3906</v>
      </c>
      <c r="Y129" s="2"/>
      <c r="Z129" s="6">
        <f t="shared" si="99"/>
        <v>-0.21049795214485881</v>
      </c>
    </row>
    <row r="130" spans="1:26" s="57" customFormat="1" x14ac:dyDescent="0.25">
      <c r="A130" s="36"/>
      <c r="B130" s="36"/>
      <c r="C130" s="36"/>
      <c r="D130" s="1"/>
      <c r="E130" s="1"/>
      <c r="F130" s="5"/>
      <c r="G130" s="1"/>
      <c r="H130" s="1"/>
      <c r="I130" s="1"/>
      <c r="J130" s="5"/>
      <c r="K130" s="1"/>
      <c r="L130" s="1"/>
      <c r="M130" s="1"/>
      <c r="N130" s="5"/>
      <c r="O130" s="36"/>
      <c r="P130" s="1"/>
      <c r="Q130" s="1"/>
      <c r="R130" s="5"/>
      <c r="S130" s="1"/>
      <c r="T130" s="1"/>
      <c r="U130" s="1"/>
      <c r="V130" s="5"/>
      <c r="W130" s="1"/>
      <c r="X130" s="1"/>
      <c r="Y130" s="1"/>
      <c r="Z130" s="5"/>
    </row>
    <row r="131" spans="1:26" s="23" customFormat="1" collapsed="1" x14ac:dyDescent="0.25">
      <c r="A131" s="10"/>
      <c r="B131" s="25" t="s">
        <v>0</v>
      </c>
      <c r="C131" s="10"/>
      <c r="D131" s="4">
        <f>SUM(OSRRefD25x_0)</f>
        <v>50933.41</v>
      </c>
      <c r="E131" s="4"/>
      <c r="F131" s="12">
        <f t="shared" ref="F131:F135" si="100">IF(D$12=0,0,D131/D$12)</f>
        <v>0.21374478751317144</v>
      </c>
      <c r="G131" s="4"/>
      <c r="H131" s="4">
        <f>SUM(OSRRefH25x_0)</f>
        <v>29503</v>
      </c>
      <c r="I131" s="4"/>
      <c r="J131" s="12">
        <f t="shared" ref="J131:J135" si="101">IF(H$12=0,0,H131/H$12)</f>
        <v>9.5260328075497919E-2</v>
      </c>
      <c r="K131" s="4"/>
      <c r="L131" s="4">
        <f t="shared" ref="L131:L135" si="102">+D131-H131</f>
        <v>21430.410000000003</v>
      </c>
      <c r="M131" s="4"/>
      <c r="N131" s="12">
        <f t="shared" ref="N131:N135" si="103">IF(H131=0,0,L131/H131)</f>
        <v>0.72638070704674118</v>
      </c>
      <c r="O131" s="10"/>
      <c r="P131" s="4">
        <f>SUM(OSRRefP25x_0)</f>
        <v>50933.41</v>
      </c>
      <c r="Q131" s="4"/>
      <c r="R131" s="12">
        <f t="shared" ref="R131:R135" si="104">IF(P$12=0,0,P131/P$12)</f>
        <v>0.21374478751317144</v>
      </c>
      <c r="S131" s="4"/>
      <c r="T131" s="4">
        <f>SUM(OSRRefT25x_0)</f>
        <v>29503</v>
      </c>
      <c r="U131" s="4"/>
      <c r="V131" s="12">
        <f t="shared" ref="V131:V135" si="105">IF(T$12=0,0,T131/T$12)</f>
        <v>9.5260328075497919E-2</v>
      </c>
      <c r="W131" s="4"/>
      <c r="X131" s="4">
        <f t="shared" ref="X131:X135" si="106">+P131-T131</f>
        <v>21430.410000000003</v>
      </c>
      <c r="Y131" s="4"/>
      <c r="Z131" s="12">
        <f t="shared" ref="Z131:Z135" si="107">IF(T131=0,0,X131/T131)</f>
        <v>0.72638070704674118</v>
      </c>
    </row>
    <row r="132" spans="1:26" s="24" customFormat="1" hidden="1" outlineLevel="1" x14ac:dyDescent="0.25">
      <c r="A132" s="51"/>
      <c r="B132" s="11" t="str">
        <f>CONCATENATE("          ", "9150", " - ", "MISC. INCOME")</f>
        <v xml:space="preserve">          9150 - MISC. INCOME</v>
      </c>
      <c r="C132" s="11"/>
      <c r="D132" s="2">
        <f>--41260.26</f>
        <v>41260.26</v>
      </c>
      <c r="E132" s="2"/>
      <c r="F132" s="22">
        <f t="shared" si="100"/>
        <v>0.17315089459822552</v>
      </c>
      <c r="G132" s="2"/>
      <c r="H132" s="2">
        <v>17422</v>
      </c>
      <c r="I132" s="2"/>
      <c r="J132" s="22">
        <f t="shared" si="101"/>
        <v>5.6252768726276131E-2</v>
      </c>
      <c r="K132" s="2"/>
      <c r="L132" s="2">
        <f t="shared" si="102"/>
        <v>23838.260000000002</v>
      </c>
      <c r="M132" s="2"/>
      <c r="N132" s="22">
        <f t="shared" si="103"/>
        <v>1.3682849271036621</v>
      </c>
      <c r="O132" s="11"/>
      <c r="P132" s="2">
        <f>--41260.26</f>
        <v>41260.26</v>
      </c>
      <c r="Q132" s="2"/>
      <c r="R132" s="22">
        <f t="shared" si="104"/>
        <v>0.17315089459822552</v>
      </c>
      <c r="S132" s="2"/>
      <c r="T132" s="2">
        <v>17422</v>
      </c>
      <c r="U132" s="2"/>
      <c r="V132" s="22">
        <f t="shared" si="105"/>
        <v>5.6252768726276131E-2</v>
      </c>
      <c r="W132" s="2"/>
      <c r="X132" s="2">
        <f t="shared" si="106"/>
        <v>23838.260000000002</v>
      </c>
      <c r="Y132" s="2"/>
      <c r="Z132" s="22">
        <f t="shared" si="107"/>
        <v>1.3682849271036621</v>
      </c>
    </row>
    <row r="133" spans="1:26" s="24" customFormat="1" hidden="1" outlineLevel="1" x14ac:dyDescent="0.25">
      <c r="A133" s="51"/>
      <c r="B133" s="11" t="str">
        <f>CONCATENATE("          ", "9151", " - ", "MISC. INCOME")</f>
        <v xml:space="preserve">          9151 - MISC. INCOME</v>
      </c>
      <c r="C133" s="11"/>
      <c r="D133" s="2">
        <f>0</f>
        <v>0</v>
      </c>
      <c r="E133" s="2"/>
      <c r="F133" s="22">
        <f t="shared" si="100"/>
        <v>0</v>
      </c>
      <c r="G133" s="2"/>
      <c r="H133" s="2">
        <v>12081</v>
      </c>
      <c r="I133" s="2"/>
      <c r="J133" s="22">
        <f t="shared" si="101"/>
        <v>3.9007559349221788E-2</v>
      </c>
      <c r="K133" s="2"/>
      <c r="L133" s="2">
        <f t="shared" si="102"/>
        <v>-12081</v>
      </c>
      <c r="M133" s="2"/>
      <c r="N133" s="22">
        <f t="shared" si="103"/>
        <v>-1</v>
      </c>
      <c r="O133" s="11"/>
      <c r="P133" s="2">
        <f>0</f>
        <v>0</v>
      </c>
      <c r="Q133" s="2"/>
      <c r="R133" s="22">
        <f t="shared" si="104"/>
        <v>0</v>
      </c>
      <c r="S133" s="2"/>
      <c r="T133" s="2">
        <v>12081</v>
      </c>
      <c r="U133" s="2"/>
      <c r="V133" s="22">
        <f t="shared" si="105"/>
        <v>3.9007559349221788E-2</v>
      </c>
      <c r="W133" s="2"/>
      <c r="X133" s="2">
        <f t="shared" si="106"/>
        <v>-12081</v>
      </c>
      <c r="Y133" s="2"/>
      <c r="Z133" s="22">
        <f t="shared" si="107"/>
        <v>-1</v>
      </c>
    </row>
    <row r="134" spans="1:26" s="24" customFormat="1" hidden="1" outlineLevel="1" x14ac:dyDescent="0.25">
      <c r="A134" s="51"/>
      <c r="B134" s="11" t="str">
        <f>CONCATENATE("          ", "9160", " - ", "MISC. INCOME")</f>
        <v xml:space="preserve">          9160 - MISC. INCOME</v>
      </c>
      <c r="C134" s="11"/>
      <c r="D134" s="2">
        <f>--5992.1</f>
        <v>5992.1</v>
      </c>
      <c r="E134" s="2"/>
      <c r="F134" s="22">
        <f t="shared" si="100"/>
        <v>2.5146169110956334E-2</v>
      </c>
      <c r="G134" s="2"/>
      <c r="H134" s="2"/>
      <c r="I134" s="2"/>
      <c r="J134" s="22">
        <f t="shared" si="101"/>
        <v>0</v>
      </c>
      <c r="K134" s="2"/>
      <c r="L134" s="2">
        <f t="shared" si="102"/>
        <v>5992.1</v>
      </c>
      <c r="M134" s="2"/>
      <c r="N134" s="22">
        <f t="shared" si="103"/>
        <v>0</v>
      </c>
      <c r="O134" s="11"/>
      <c r="P134" s="2">
        <f>--5992.1</f>
        <v>5992.1</v>
      </c>
      <c r="Q134" s="2"/>
      <c r="R134" s="22">
        <f t="shared" si="104"/>
        <v>2.5146169110956334E-2</v>
      </c>
      <c r="S134" s="2"/>
      <c r="T134" s="2"/>
      <c r="U134" s="2"/>
      <c r="V134" s="22">
        <f t="shared" si="105"/>
        <v>0</v>
      </c>
      <c r="W134" s="2"/>
      <c r="X134" s="2">
        <f t="shared" si="106"/>
        <v>5992.1</v>
      </c>
      <c r="Y134" s="2"/>
      <c r="Z134" s="22">
        <f t="shared" si="107"/>
        <v>0</v>
      </c>
    </row>
    <row r="135" spans="1:26" s="24" customFormat="1" hidden="1" outlineLevel="1" x14ac:dyDescent="0.25">
      <c r="A135" s="51"/>
      <c r="B135" s="11" t="str">
        <f>CONCATENATE("          ", "9165", " - ", "OTHER INCOME")</f>
        <v xml:space="preserve">          9165 - OTHER INCOME</v>
      </c>
      <c r="C135" s="11"/>
      <c r="D135" s="2">
        <f>--3681.05</f>
        <v>3681.05</v>
      </c>
      <c r="E135" s="2"/>
      <c r="F135" s="22">
        <f t="shared" si="100"/>
        <v>1.5447723803989555E-2</v>
      </c>
      <c r="G135" s="2"/>
      <c r="H135" s="2"/>
      <c r="I135" s="2"/>
      <c r="J135" s="22">
        <f t="shared" si="101"/>
        <v>0</v>
      </c>
      <c r="K135" s="2"/>
      <c r="L135" s="2">
        <f t="shared" si="102"/>
        <v>3681.05</v>
      </c>
      <c r="M135" s="2"/>
      <c r="N135" s="22">
        <f t="shared" si="103"/>
        <v>0</v>
      </c>
      <c r="O135" s="11"/>
      <c r="P135" s="2">
        <f>--3681.05</f>
        <v>3681.05</v>
      </c>
      <c r="Q135" s="2"/>
      <c r="R135" s="22">
        <f t="shared" si="104"/>
        <v>1.5447723803989555E-2</v>
      </c>
      <c r="S135" s="2"/>
      <c r="T135" s="2"/>
      <c r="U135" s="2"/>
      <c r="V135" s="22">
        <f t="shared" si="105"/>
        <v>0</v>
      </c>
      <c r="W135" s="2"/>
      <c r="X135" s="2">
        <f t="shared" si="106"/>
        <v>3681.05</v>
      </c>
      <c r="Y135" s="2"/>
      <c r="Z135" s="22">
        <f t="shared" si="107"/>
        <v>0</v>
      </c>
    </row>
    <row r="136" spans="1:26" x14ac:dyDescent="0.25">
      <c r="A136" s="9"/>
      <c r="B136" s="10"/>
      <c r="C136" s="10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0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x14ac:dyDescent="0.25">
      <c r="A137" s="10"/>
      <c r="B137" s="26" t="s">
        <v>3</v>
      </c>
      <c r="C137" s="26"/>
      <c r="D137" s="21">
        <f>+D36-D38+D131</f>
        <v>-294147.01</v>
      </c>
      <c r="E137" s="13"/>
      <c r="F137" s="19">
        <f>IF(D$12=0,0,D137/D$12)</f>
        <v>-1.2344037077055063</v>
      </c>
      <c r="G137" s="13"/>
      <c r="H137" s="21">
        <f>+H36-H38+H131</f>
        <v>-249127.40879560582</v>
      </c>
      <c r="I137" s="13"/>
      <c r="J137" s="19">
        <f>IF(H$12=0,0,H137/H$12)</f>
        <v>-0.80439137357109769</v>
      </c>
      <c r="K137" s="15"/>
      <c r="L137" s="21">
        <f>+D137-H137</f>
        <v>-45019.601204394188</v>
      </c>
      <c r="M137" s="15"/>
      <c r="N137" s="19">
        <f>IF(H137=0,0,L137/H137)</f>
        <v>0.18070914566180907</v>
      </c>
      <c r="O137" s="25"/>
      <c r="P137" s="21">
        <f>+P36-P38+P131</f>
        <v>-294147.01</v>
      </c>
      <c r="Q137" s="13"/>
      <c r="R137" s="19">
        <f>IF(P$12=0,0,P137/P$12)</f>
        <v>-1.2344037077055063</v>
      </c>
      <c r="S137" s="13"/>
      <c r="T137" s="21">
        <f>+T36-T38+T131</f>
        <v>-249127.40879560582</v>
      </c>
      <c r="U137" s="13"/>
      <c r="V137" s="19">
        <f>IF(T$12=0,0,T137/T$12)</f>
        <v>-0.80439137357109769</v>
      </c>
      <c r="W137" s="15"/>
      <c r="X137" s="21">
        <f>+P137-T137</f>
        <v>-45019.601204394188</v>
      </c>
      <c r="Y137" s="15"/>
      <c r="Z137" s="19">
        <f>IF(T137=0,0,X137/T137)</f>
        <v>0.18070914566180907</v>
      </c>
    </row>
    <row r="138" spans="1:26" x14ac:dyDescent="0.25">
      <c r="A138" s="9"/>
      <c r="B138" s="10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25">
      <c r="A139" s="52"/>
      <c r="B139" s="10" t="s">
        <v>14</v>
      </c>
      <c r="C139" s="10"/>
      <c r="D139" s="4">
        <v>49547.66</v>
      </c>
      <c r="E139" s="4"/>
      <c r="F139" s="12">
        <f>IF(D$12=0,0,D139/D$12)</f>
        <v>0.20792941329620113</v>
      </c>
      <c r="G139" s="4"/>
      <c r="H139" s="4">
        <v>75479</v>
      </c>
      <c r="I139" s="4"/>
      <c r="J139" s="12">
        <f>IF(H$12=0,0,H139/H$12)</f>
        <v>0.24370926017050831</v>
      </c>
      <c r="K139" s="4"/>
      <c r="L139" s="4">
        <f>+D139-H139</f>
        <v>-25931.339999999997</v>
      </c>
      <c r="M139" s="4"/>
      <c r="N139" s="12">
        <f>IF(H139=0,0,L139/H139)</f>
        <v>-0.34355701585871562</v>
      </c>
      <c r="O139" s="10"/>
      <c r="P139" s="4">
        <v>49547.66</v>
      </c>
      <c r="Q139" s="4"/>
      <c r="R139" s="12">
        <f>IF(P$12=0,0,P139/P$12)</f>
        <v>0.20792941329620113</v>
      </c>
      <c r="S139" s="4"/>
      <c r="T139" s="4">
        <v>75479</v>
      </c>
      <c r="U139" s="4"/>
      <c r="V139" s="12">
        <f>IF(T$12=0,0,T139/T$12)</f>
        <v>0.24370926017050831</v>
      </c>
      <c r="W139" s="4"/>
      <c r="X139" s="4">
        <f>+P139-T139</f>
        <v>-25931.339999999997</v>
      </c>
      <c r="Y139" s="4"/>
      <c r="Z139" s="12">
        <f>IF(T139=0,0,X139/T139)</f>
        <v>-0.34355701585871562</v>
      </c>
    </row>
    <row r="140" spans="1:26" x14ac:dyDescent="0.25">
      <c r="A140" s="9"/>
      <c r="B140" s="10"/>
      <c r="C140" s="10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0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6" t="s">
        <v>4</v>
      </c>
      <c r="C141" s="26"/>
      <c r="D141" s="32">
        <f>+D137-D139</f>
        <v>-343694.67000000004</v>
      </c>
      <c r="E141" s="13"/>
      <c r="F141" s="31">
        <f>IF(D$12=0,0,D141/D$12)</f>
        <v>-1.4423331210017076</v>
      </c>
      <c r="G141" s="13"/>
      <c r="H141" s="32">
        <f>+H137-H139</f>
        <v>-324606.40879560582</v>
      </c>
      <c r="I141" s="13"/>
      <c r="J141" s="31">
        <f>IF(H$12=0,0,H141/H$12)</f>
        <v>-1.0481006337416061</v>
      </c>
      <c r="K141" s="15"/>
      <c r="L141" s="32">
        <f>D141-H141</f>
        <v>-19088.261204394221</v>
      </c>
      <c r="M141" s="15"/>
      <c r="N141" s="31">
        <f>IF(H141=0,0,L141/H141)</f>
        <v>5.8804326369333894E-2</v>
      </c>
      <c r="O141" s="25"/>
      <c r="P141" s="32">
        <f>+P137-P139</f>
        <v>-343694.67000000004</v>
      </c>
      <c r="Q141" s="13"/>
      <c r="R141" s="31">
        <f>IF(P$12=0,0,P141/P$12)</f>
        <v>-1.4423331210017076</v>
      </c>
      <c r="S141" s="13"/>
      <c r="T141" s="32">
        <f>+T137-T139</f>
        <v>-324606.40879560582</v>
      </c>
      <c r="U141" s="13"/>
      <c r="V141" s="31">
        <f>IF(T$12=0,0,T141/T$12)</f>
        <v>-1.0481006337416061</v>
      </c>
      <c r="W141" s="15"/>
      <c r="X141" s="32">
        <f>P141-T141</f>
        <v>-19088.261204394221</v>
      </c>
      <c r="Y141" s="15"/>
      <c r="Z141" s="31">
        <f>IF(T141=0,0,X141/T141)</f>
        <v>5.8804326369333894E-2</v>
      </c>
    </row>
    <row r="142" spans="1:26" ht="15.75" thickTop="1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x14ac:dyDescent="0.25">
      <c r="A143" s="9"/>
      <c r="B143" s="9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ht="15.75" thickBot="1" x14ac:dyDescent="0.3">
      <c r="A144" s="10"/>
      <c r="B144" s="26" t="s">
        <v>5</v>
      </c>
      <c r="C144" s="26"/>
      <c r="D144" s="33">
        <f>SUM(D141:D143)</f>
        <v>-343694.67000000004</v>
      </c>
      <c r="E144" s="13"/>
      <c r="F144" s="34">
        <f>IF(D$12=0,0,D144/D$12)</f>
        <v>-1.4423331210017076</v>
      </c>
      <c r="G144" s="13"/>
      <c r="H144" s="33">
        <f>SUM(H141:H143)</f>
        <v>-324606.40879560582</v>
      </c>
      <c r="I144" s="13"/>
      <c r="J144" s="34">
        <f>IF(H$12=0,0,H144/H$12)</f>
        <v>-1.0481006337416061</v>
      </c>
      <c r="K144" s="15"/>
      <c r="L144" s="33">
        <f>+D144-H144</f>
        <v>-19088.261204394221</v>
      </c>
      <c r="M144" s="15"/>
      <c r="N144" s="34">
        <f>IF(H144=0,0,L144/H144)</f>
        <v>5.8804326369333894E-2</v>
      </c>
      <c r="O144" s="25"/>
      <c r="P144" s="33">
        <f>SUM(P141:P143)</f>
        <v>-343694.67000000004</v>
      </c>
      <c r="Q144" s="13"/>
      <c r="R144" s="34">
        <f>IF(P$12=0,0,P144/P$12)</f>
        <v>-1.4423331210017076</v>
      </c>
      <c r="S144" s="13"/>
      <c r="T144" s="33">
        <f>SUM(T141:T143)</f>
        <v>-324606.40879560582</v>
      </c>
      <c r="U144" s="13"/>
      <c r="V144" s="34">
        <f>IF(T$12=0,0,T144/T$12)</f>
        <v>-1.0481006337416061</v>
      </c>
      <c r="W144" s="15"/>
      <c r="X144" s="33">
        <f>+P144-T144</f>
        <v>-19088.261204394221</v>
      </c>
      <c r="Y144" s="15"/>
      <c r="Z144" s="34">
        <f>IF(T144=0,0,X144/T144)</f>
        <v>5.8804326369333894E-2</v>
      </c>
    </row>
    <row r="145" spans="1:24" ht="15.75" thickTop="1" x14ac:dyDescent="0.25">
      <c r="A145" s="9"/>
      <c r="C145" s="9"/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25">
      <c r="A146" s="9"/>
      <c r="B146" s="61">
        <v>43726.678299305553</v>
      </c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  <row r="147" spans="1:24" x14ac:dyDescent="0.25">
      <c r="A147" s="9"/>
      <c r="B147" s="56" t="s">
        <v>314</v>
      </c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4" x14ac:dyDescent="0.25">
      <c r="A148" s="9"/>
      <c r="B148" s="53"/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  <row r="149" spans="1:24" x14ac:dyDescent="0.25">
      <c r="D149" s="17"/>
      <c r="E149" s="17"/>
      <c r="G149" s="17"/>
      <c r="H149" s="17"/>
      <c r="I149" s="17"/>
      <c r="J149" s="42"/>
      <c r="K149" s="17"/>
      <c r="L149" s="17"/>
      <c r="M149" s="17"/>
      <c r="P149" s="17"/>
      <c r="Q149" s="17"/>
      <c r="R149" s="42"/>
      <c r="S149" s="17"/>
      <c r="T149" s="17"/>
      <c r="U149" s="17"/>
      <c r="V149" s="42"/>
      <c r="W149" s="17"/>
      <c r="X149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179465.83000000002</v>
      </c>
      <c r="E12" s="4"/>
      <c r="F12" s="12"/>
      <c r="G12" s="4"/>
      <c r="H12" s="4">
        <f>SUM(OSRRefH13x_0)</f>
        <v>249875</v>
      </c>
      <c r="I12" s="4"/>
      <c r="J12" s="12"/>
      <c r="K12" s="4"/>
      <c r="L12" s="4">
        <f t="shared" ref="L12:L23" si="0">+D12-H12</f>
        <v>-70409.169999999984</v>
      </c>
      <c r="M12" s="4"/>
      <c r="N12" s="12">
        <f t="shared" ref="N12:N23" si="1">IF(H12=0,0,L12/H12)</f>
        <v>-0.28177756878439214</v>
      </c>
      <c r="O12" s="10"/>
      <c r="P12" s="4">
        <f>SUM(OSRRefP13x_0)</f>
        <v>179465.83000000002</v>
      </c>
      <c r="Q12" s="4"/>
      <c r="R12" s="12"/>
      <c r="S12" s="4"/>
      <c r="T12" s="4">
        <f>SUM(OSRRefT13x_0)</f>
        <v>249875</v>
      </c>
      <c r="U12" s="4"/>
      <c r="V12" s="12"/>
      <c r="W12" s="4"/>
      <c r="X12" s="4">
        <f t="shared" ref="X12:X23" si="2">+P12-T12</f>
        <v>-70409.169999999984</v>
      </c>
      <c r="Y12" s="4"/>
      <c r="Z12" s="12">
        <f t="shared" ref="Z12:Z23" si="3">IF(T12=0,0,X12/T12)</f>
        <v>-0.28177756878439214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160435</v>
      </c>
      <c r="I13" s="2"/>
      <c r="J13" s="22"/>
      <c r="K13" s="2"/>
      <c r="L13" s="2">
        <f t="shared" si="0"/>
        <v>-160435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160435</v>
      </c>
      <c r="U13" s="2"/>
      <c r="V13" s="22"/>
      <c r="W13" s="2"/>
      <c r="X13" s="2">
        <f t="shared" si="2"/>
        <v>-160435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--18878.7</f>
        <v>18878.7</v>
      </c>
      <c r="E14" s="2"/>
      <c r="F14" s="22"/>
      <c r="G14" s="2"/>
      <c r="H14" s="2"/>
      <c r="I14" s="2"/>
      <c r="J14" s="22"/>
      <c r="K14" s="2"/>
      <c r="L14" s="2">
        <f t="shared" si="0"/>
        <v>18878.7</v>
      </c>
      <c r="M14" s="2"/>
      <c r="N14" s="22">
        <f t="shared" si="1"/>
        <v>0</v>
      </c>
      <c r="O14" s="11"/>
      <c r="P14" s="2">
        <f>--18878.7</f>
        <v>18878.7</v>
      </c>
      <c r="Q14" s="2"/>
      <c r="R14" s="22"/>
      <c r="S14" s="2"/>
      <c r="T14" s="2"/>
      <c r="U14" s="2"/>
      <c r="V14" s="22"/>
      <c r="W14" s="2"/>
      <c r="X14" s="2">
        <f t="shared" si="2"/>
        <v>18878.7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--43778.84</f>
        <v>43778.84</v>
      </c>
      <c r="E15" s="2"/>
      <c r="F15" s="22"/>
      <c r="G15" s="2"/>
      <c r="H15" s="2"/>
      <c r="I15" s="2"/>
      <c r="J15" s="22"/>
      <c r="K15" s="2"/>
      <c r="L15" s="2">
        <f t="shared" si="0"/>
        <v>43778.84</v>
      </c>
      <c r="M15" s="2"/>
      <c r="N15" s="22">
        <f t="shared" si="1"/>
        <v>0</v>
      </c>
      <c r="O15" s="11"/>
      <c r="P15" s="2">
        <f>--43778.84</f>
        <v>43778.84</v>
      </c>
      <c r="Q15" s="2"/>
      <c r="R15" s="22"/>
      <c r="S15" s="2"/>
      <c r="T15" s="2"/>
      <c r="U15" s="2"/>
      <c r="V15" s="22"/>
      <c r="W15" s="2"/>
      <c r="X15" s="2">
        <f t="shared" si="2"/>
        <v>43778.84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"4053", " - ", "TAXABLE SALES-FOOD")</f>
        <v xml:space="preserve">          4053 - TAXABLE SALES-FOOD</v>
      </c>
      <c r="C16" s="11"/>
      <c r="D16" s="2">
        <f>--24931.11</f>
        <v>24931.11</v>
      </c>
      <c r="E16" s="2"/>
      <c r="F16" s="22"/>
      <c r="G16" s="2"/>
      <c r="H16" s="2"/>
      <c r="I16" s="2"/>
      <c r="J16" s="22"/>
      <c r="K16" s="2"/>
      <c r="L16" s="2">
        <f t="shared" si="0"/>
        <v>24931.11</v>
      </c>
      <c r="M16" s="2"/>
      <c r="N16" s="22">
        <f t="shared" si="1"/>
        <v>0</v>
      </c>
      <c r="O16" s="11"/>
      <c r="P16" s="2">
        <f>--24931.11</f>
        <v>24931.11</v>
      </c>
      <c r="Q16" s="2"/>
      <c r="R16" s="22"/>
      <c r="S16" s="2"/>
      <c r="T16" s="2"/>
      <c r="U16" s="2"/>
      <c r="V16" s="22"/>
      <c r="W16" s="2"/>
      <c r="X16" s="2">
        <f t="shared" si="2"/>
        <v>24931.11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"4055", " - ", "TAXABLE SALES-FOOD")</f>
        <v xml:space="preserve">          4055 - TAXABLE SALES-FOOD</v>
      </c>
      <c r="C17" s="11"/>
      <c r="D17" s="2">
        <f>--14243.63</f>
        <v>14243.63</v>
      </c>
      <c r="E17" s="2"/>
      <c r="F17" s="22"/>
      <c r="G17" s="2"/>
      <c r="H17" s="2"/>
      <c r="I17" s="2"/>
      <c r="J17" s="22"/>
      <c r="K17" s="2"/>
      <c r="L17" s="2">
        <f t="shared" si="0"/>
        <v>14243.63</v>
      </c>
      <c r="M17" s="2"/>
      <c r="N17" s="22">
        <f t="shared" si="1"/>
        <v>0</v>
      </c>
      <c r="O17" s="11"/>
      <c r="P17" s="2">
        <f>--14243.63</f>
        <v>14243.63</v>
      </c>
      <c r="Q17" s="2"/>
      <c r="R17" s="22"/>
      <c r="S17" s="2"/>
      <c r="T17" s="2"/>
      <c r="U17" s="2"/>
      <c r="V17" s="22"/>
      <c r="W17" s="2"/>
      <c r="X17" s="2">
        <f t="shared" si="2"/>
        <v>14243.63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"4058", " - ", "TAXABLE SALES-FOOD")</f>
        <v xml:space="preserve">          4058 - TAXABLE SALES-FOOD</v>
      </c>
      <c r="C18" s="11"/>
      <c r="D18" s="2">
        <f>--8401.66</f>
        <v>8401.66</v>
      </c>
      <c r="E18" s="2"/>
      <c r="F18" s="22"/>
      <c r="G18" s="2"/>
      <c r="H18" s="2"/>
      <c r="I18" s="2"/>
      <c r="J18" s="22"/>
      <c r="K18" s="2"/>
      <c r="L18" s="2">
        <f t="shared" si="0"/>
        <v>8401.66</v>
      </c>
      <c r="M18" s="2"/>
      <c r="N18" s="22">
        <f t="shared" si="1"/>
        <v>0</v>
      </c>
      <c r="O18" s="11"/>
      <c r="P18" s="2">
        <f>--8401.66</f>
        <v>8401.66</v>
      </c>
      <c r="Q18" s="2"/>
      <c r="R18" s="22"/>
      <c r="S18" s="2"/>
      <c r="T18" s="2"/>
      <c r="U18" s="2"/>
      <c r="V18" s="22"/>
      <c r="W18" s="2"/>
      <c r="X18" s="2">
        <f t="shared" si="2"/>
        <v>8401.66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89440</v>
      </c>
      <c r="I19" s="2"/>
      <c r="J19" s="22"/>
      <c r="K19" s="2"/>
      <c r="L19" s="2">
        <f t="shared" si="0"/>
        <v>-89440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89440</v>
      </c>
      <c r="U19" s="2"/>
      <c r="V19" s="22"/>
      <c r="W19" s="2"/>
      <c r="X19" s="2">
        <f t="shared" si="2"/>
        <v>-89440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"4151", " - ", "NON-TAXABLE SALES-FOOD")</f>
        <v xml:space="preserve">          4151 - NON-TAXABLE SALES-FOOD</v>
      </c>
      <c r="C20" s="11"/>
      <c r="D20" s="2">
        <f>--30368.45</f>
        <v>30368.45</v>
      </c>
      <c r="E20" s="2"/>
      <c r="F20" s="22"/>
      <c r="G20" s="2"/>
      <c r="H20" s="2"/>
      <c r="I20" s="2"/>
      <c r="J20" s="22"/>
      <c r="K20" s="2"/>
      <c r="L20" s="2">
        <f t="shared" si="0"/>
        <v>30368.45</v>
      </c>
      <c r="M20" s="2"/>
      <c r="N20" s="22">
        <f t="shared" si="1"/>
        <v>0</v>
      </c>
      <c r="O20" s="11"/>
      <c r="P20" s="2">
        <f>--30368.45</f>
        <v>30368.45</v>
      </c>
      <c r="Q20" s="2"/>
      <c r="R20" s="22"/>
      <c r="S20" s="2"/>
      <c r="T20" s="2"/>
      <c r="U20" s="2"/>
      <c r="V20" s="22"/>
      <c r="W20" s="2"/>
      <c r="X20" s="2">
        <f t="shared" si="2"/>
        <v>30368.45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"4152", " - ", "NON-TAXABLE SALES-FOOD")</f>
        <v xml:space="preserve">          4152 - NON-TAXABLE SALES-FOOD</v>
      </c>
      <c r="C21" s="11"/>
      <c r="D21" s="2">
        <f>--3667.09</f>
        <v>3667.09</v>
      </c>
      <c r="E21" s="2"/>
      <c r="F21" s="22"/>
      <c r="G21" s="2"/>
      <c r="H21" s="2"/>
      <c r="I21" s="2"/>
      <c r="J21" s="22"/>
      <c r="K21" s="2"/>
      <c r="L21" s="2">
        <f t="shared" si="0"/>
        <v>3667.09</v>
      </c>
      <c r="M21" s="2"/>
      <c r="N21" s="22">
        <f t="shared" si="1"/>
        <v>0</v>
      </c>
      <c r="O21" s="11"/>
      <c r="P21" s="2">
        <f>--3667.09</f>
        <v>3667.09</v>
      </c>
      <c r="Q21" s="2"/>
      <c r="R21" s="22"/>
      <c r="S21" s="2"/>
      <c r="T21" s="2"/>
      <c r="U21" s="2"/>
      <c r="V21" s="22"/>
      <c r="W21" s="2"/>
      <c r="X21" s="2">
        <f t="shared" si="2"/>
        <v>3667.09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"4155", " - ", "NON-TAXABLE SALES-FOOD")</f>
        <v xml:space="preserve">          4155 - NON-TAXABLE SALES-FOOD</v>
      </c>
      <c r="C22" s="11"/>
      <c r="D22" s="2">
        <f>--25636.66</f>
        <v>25636.66</v>
      </c>
      <c r="E22" s="2"/>
      <c r="F22" s="22"/>
      <c r="G22" s="2"/>
      <c r="H22" s="2"/>
      <c r="I22" s="2"/>
      <c r="J22" s="22"/>
      <c r="K22" s="2"/>
      <c r="L22" s="2">
        <f t="shared" si="0"/>
        <v>25636.66</v>
      </c>
      <c r="M22" s="2"/>
      <c r="N22" s="22">
        <f t="shared" si="1"/>
        <v>0</v>
      </c>
      <c r="O22" s="11"/>
      <c r="P22" s="2">
        <f>--25636.66</f>
        <v>25636.66</v>
      </c>
      <c r="Q22" s="2"/>
      <c r="R22" s="22"/>
      <c r="S22" s="2"/>
      <c r="T22" s="2"/>
      <c r="U22" s="2"/>
      <c r="V22" s="22"/>
      <c r="W22" s="2"/>
      <c r="X22" s="2">
        <f t="shared" si="2"/>
        <v>25636.66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"4158", " - ", "NON-TAXABLE SALES-FOOD")</f>
        <v xml:space="preserve">          4158 - NON-TAXABLE SALES-FOOD</v>
      </c>
      <c r="C23" s="11"/>
      <c r="D23" s="2">
        <f>--9559.69</f>
        <v>9559.69</v>
      </c>
      <c r="E23" s="2"/>
      <c r="F23" s="22"/>
      <c r="G23" s="2"/>
      <c r="H23" s="2"/>
      <c r="I23" s="2"/>
      <c r="J23" s="22"/>
      <c r="K23" s="2"/>
      <c r="L23" s="2">
        <f t="shared" si="0"/>
        <v>9559.69</v>
      </c>
      <c r="M23" s="2"/>
      <c r="N23" s="22">
        <f t="shared" si="1"/>
        <v>0</v>
      </c>
      <c r="O23" s="11"/>
      <c r="P23" s="2">
        <f>--9559.69</f>
        <v>9559.69</v>
      </c>
      <c r="Q23" s="2"/>
      <c r="R23" s="22"/>
      <c r="S23" s="2"/>
      <c r="T23" s="2"/>
      <c r="U23" s="2"/>
      <c r="V23" s="22"/>
      <c r="W23" s="2"/>
      <c r="X23" s="2">
        <f t="shared" si="2"/>
        <v>9559.69</v>
      </c>
      <c r="Y23" s="2"/>
      <c r="Z23" s="22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5" t="s">
        <v>8</v>
      </c>
      <c r="C25" s="10"/>
      <c r="D25" s="4">
        <f>SUM(OSRRefD16x_0)</f>
        <v>69621.23</v>
      </c>
      <c r="E25" s="4"/>
      <c r="F25" s="12">
        <f t="shared" ref="F25:F28" si="4">IF(D$12=0,0,D25/D$12)</f>
        <v>0.38793585386142859</v>
      </c>
      <c r="G25" s="4"/>
      <c r="H25" s="4">
        <f>SUM(OSRRefH16x_0)</f>
        <v>78707</v>
      </c>
      <c r="I25" s="4"/>
      <c r="J25" s="12">
        <f t="shared" ref="J25:J28" si="5">IF(H$12=0,0,H25/H$12)</f>
        <v>0.31498549274637316</v>
      </c>
      <c r="K25" s="4"/>
      <c r="L25" s="4">
        <f t="shared" ref="L25:L28" si="6">+D25-H25</f>
        <v>-9085.7700000000041</v>
      </c>
      <c r="M25" s="4"/>
      <c r="N25" s="12">
        <f t="shared" ref="N25:N28" si="7">IF(H25=0,0,L25/H25)</f>
        <v>-0.11543788989543502</v>
      </c>
      <c r="O25" s="10"/>
      <c r="P25" s="4">
        <f>SUM(OSRRefP16x_0)</f>
        <v>69621.23</v>
      </c>
      <c r="Q25" s="4"/>
      <c r="R25" s="12">
        <f t="shared" ref="R25:R28" si="8">IF(P$12=0,0,P25/P$12)</f>
        <v>0.38793585386142859</v>
      </c>
      <c r="S25" s="4"/>
      <c r="T25" s="4">
        <f>SUM(OSRRefT16x_0)</f>
        <v>78707</v>
      </c>
      <c r="U25" s="4"/>
      <c r="V25" s="12">
        <f t="shared" ref="V25:V28" si="9">IF(T$12=0,0,T25/T$12)</f>
        <v>0.31498549274637316</v>
      </c>
      <c r="W25" s="4"/>
      <c r="X25" s="4">
        <f t="shared" ref="X25:X28" si="10">+P25-T25</f>
        <v>-9085.7700000000041</v>
      </c>
      <c r="Y25" s="4"/>
      <c r="Z25" s="12">
        <f t="shared" ref="Z25:Z28" si="11">IF(T25=0,0,X25/T25)</f>
        <v>-0.11543788989543502</v>
      </c>
    </row>
    <row r="26" spans="1:26" s="24" customFormat="1" hidden="1" outlineLevel="1" x14ac:dyDescent="0.2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4"/>
        <v>0</v>
      </c>
      <c r="G26" s="2"/>
      <c r="H26" s="2">
        <v>78707</v>
      </c>
      <c r="I26" s="2"/>
      <c r="J26" s="22">
        <f t="shared" si="5"/>
        <v>0.31498549274637316</v>
      </c>
      <c r="K26" s="2"/>
      <c r="L26" s="2">
        <f t="shared" si="6"/>
        <v>-78707</v>
      </c>
      <c r="M26" s="2"/>
      <c r="N26" s="22">
        <f t="shared" si="7"/>
        <v>-1</v>
      </c>
      <c r="O26" s="11"/>
      <c r="P26" s="2"/>
      <c r="Q26" s="2"/>
      <c r="R26" s="22">
        <f t="shared" si="8"/>
        <v>0</v>
      </c>
      <c r="S26" s="2"/>
      <c r="T26" s="2">
        <v>78707</v>
      </c>
      <c r="U26" s="2"/>
      <c r="V26" s="22">
        <f t="shared" si="9"/>
        <v>0.31498549274637316</v>
      </c>
      <c r="W26" s="2"/>
      <c r="X26" s="2">
        <f t="shared" si="10"/>
        <v>-78707</v>
      </c>
      <c r="Y26" s="2"/>
      <c r="Z26" s="22">
        <f t="shared" si="11"/>
        <v>-1</v>
      </c>
    </row>
    <row r="27" spans="1:26" s="24" customFormat="1" hidden="1" outlineLevel="1" x14ac:dyDescent="0.25">
      <c r="A27" s="51"/>
      <c r="B27" s="11" t="str">
        <f>CONCATENATE("          ", "5053", " - ", "PURCHASES @ COST-FOOD")</f>
        <v xml:space="preserve">          5053 - PURCHASES @ COST-FOOD</v>
      </c>
      <c r="C27" s="11"/>
      <c r="D27" s="2">
        <v>77863.23</v>
      </c>
      <c r="E27" s="2"/>
      <c r="F27" s="22">
        <f t="shared" si="4"/>
        <v>0.4338610308157268</v>
      </c>
      <c r="G27" s="2"/>
      <c r="H27" s="2"/>
      <c r="I27" s="2"/>
      <c r="J27" s="22">
        <f t="shared" si="5"/>
        <v>0</v>
      </c>
      <c r="K27" s="2"/>
      <c r="L27" s="2">
        <f t="shared" si="6"/>
        <v>77863.23</v>
      </c>
      <c r="M27" s="2"/>
      <c r="N27" s="22">
        <f t="shared" si="7"/>
        <v>0</v>
      </c>
      <c r="O27" s="11"/>
      <c r="P27" s="2">
        <v>77863.23</v>
      </c>
      <c r="Q27" s="2"/>
      <c r="R27" s="22">
        <f t="shared" si="8"/>
        <v>0.4338610308157268</v>
      </c>
      <c r="S27" s="2"/>
      <c r="T27" s="2"/>
      <c r="U27" s="2"/>
      <c r="V27" s="22">
        <f t="shared" si="9"/>
        <v>0</v>
      </c>
      <c r="W27" s="2"/>
      <c r="X27" s="2">
        <f t="shared" si="10"/>
        <v>77863.23</v>
      </c>
      <c r="Y27" s="2"/>
      <c r="Z27" s="22">
        <f t="shared" si="11"/>
        <v>0</v>
      </c>
    </row>
    <row r="28" spans="1:26" s="24" customFormat="1" hidden="1" outlineLevel="1" x14ac:dyDescent="0.25">
      <c r="A28" s="51"/>
      <c r="B28" s="11" t="str">
        <f>CONCATENATE("          ", "5059", " - ", "PURCHASES @ COST-FOOD")</f>
        <v xml:space="preserve">          5059 - PURCHASES @ COST-FOOD</v>
      </c>
      <c r="C28" s="11"/>
      <c r="D28" s="2">
        <v>-8242</v>
      </c>
      <c r="E28" s="2"/>
      <c r="F28" s="22">
        <f t="shared" si="4"/>
        <v>-4.5925176954298201E-2</v>
      </c>
      <c r="G28" s="2"/>
      <c r="H28" s="2"/>
      <c r="I28" s="2"/>
      <c r="J28" s="22">
        <f t="shared" si="5"/>
        <v>0</v>
      </c>
      <c r="K28" s="2"/>
      <c r="L28" s="2">
        <f t="shared" si="6"/>
        <v>-8242</v>
      </c>
      <c r="M28" s="2"/>
      <c r="N28" s="22">
        <f t="shared" si="7"/>
        <v>0</v>
      </c>
      <c r="O28" s="11"/>
      <c r="P28" s="2">
        <v>-8242</v>
      </c>
      <c r="Q28" s="2"/>
      <c r="R28" s="22">
        <f t="shared" si="8"/>
        <v>-4.5925176954298201E-2</v>
      </c>
      <c r="S28" s="2"/>
      <c r="T28" s="2"/>
      <c r="U28" s="2"/>
      <c r="V28" s="22">
        <f t="shared" si="9"/>
        <v>0</v>
      </c>
      <c r="W28" s="2"/>
      <c r="X28" s="2">
        <f t="shared" si="10"/>
        <v>-8242</v>
      </c>
      <c r="Y28" s="2"/>
      <c r="Z28" s="22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6</v>
      </c>
      <c r="C30" s="26"/>
      <c r="D30" s="21">
        <f>D12-D25</f>
        <v>109844.60000000002</v>
      </c>
      <c r="E30" s="13"/>
      <c r="F30" s="19">
        <f>IF(D$12=0,0,D30/D$12)</f>
        <v>0.61206414613857141</v>
      </c>
      <c r="G30" s="13"/>
      <c r="H30" s="21">
        <f>H12-H25</f>
        <v>171168</v>
      </c>
      <c r="I30" s="13"/>
      <c r="J30" s="19">
        <f>IF(H$12=0,0,H30/H$12)</f>
        <v>0.68501450725362678</v>
      </c>
      <c r="K30" s="15"/>
      <c r="L30" s="21">
        <f>+D30-H30</f>
        <v>-61323.39999999998</v>
      </c>
      <c r="M30" s="15"/>
      <c r="N30" s="19">
        <f>IF(H30=0,0,L30/H30)</f>
        <v>-0.35826439521405856</v>
      </c>
      <c r="O30" s="25"/>
      <c r="P30" s="21">
        <f>P12-P25</f>
        <v>109844.60000000002</v>
      </c>
      <c r="Q30" s="13"/>
      <c r="R30" s="19">
        <f>IF(P$12=0,0,P30/P$12)</f>
        <v>0.61206414613857141</v>
      </c>
      <c r="S30" s="13"/>
      <c r="T30" s="21">
        <f>T12-T25</f>
        <v>171168</v>
      </c>
      <c r="U30" s="13"/>
      <c r="V30" s="19">
        <f>IF(T$12=0,0,T30/T$12)</f>
        <v>0.68501450725362678</v>
      </c>
      <c r="W30" s="15"/>
      <c r="X30" s="21">
        <f>+P30-T30</f>
        <v>-61323.39999999998</v>
      </c>
      <c r="Y30" s="15"/>
      <c r="Z30" s="19">
        <f>IF(T30=0,0,X30/T30)</f>
        <v>-0.35826439521405856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5" t="s">
        <v>9</v>
      </c>
      <c r="C32" s="10"/>
      <c r="D32" s="20">
        <f>SUM(OSRRefD22x_0)</f>
        <v>403759.96</v>
      </c>
      <c r="E32" s="20"/>
      <c r="F32" s="30">
        <f t="shared" ref="F32:F43" si="12">IF(D$12=0,0,D32/D$12)</f>
        <v>2.249787382924092</v>
      </c>
      <c r="G32" s="20"/>
      <c r="H32" s="20">
        <f>SUM(OSRRefH22x_0)</f>
        <v>406214.33850418276</v>
      </c>
      <c r="I32" s="20"/>
      <c r="J32" s="30">
        <f t="shared" ref="J32:J43" si="13">IF(H$12=0,0,H32/H$12)</f>
        <v>1.6256701891112866</v>
      </c>
      <c r="K32" s="4"/>
      <c r="L32" s="20">
        <f t="shared" ref="L32:L43" si="14">+D32-H32</f>
        <v>-2454.3785041827359</v>
      </c>
      <c r="M32" s="4"/>
      <c r="N32" s="30">
        <f t="shared" ref="N32:N43" si="15">IF(H32=0,0,L32/H32)</f>
        <v>-6.0420774737311826E-3</v>
      </c>
      <c r="O32" s="10"/>
      <c r="P32" s="20">
        <f>SUM(OSRRefP22x_0)</f>
        <v>403759.96</v>
      </c>
      <c r="Q32" s="20"/>
      <c r="R32" s="30">
        <f t="shared" ref="R32:R43" si="16">IF(P$12=0,0,P32/P$12)</f>
        <v>2.249787382924092</v>
      </c>
      <c r="S32" s="20"/>
      <c r="T32" s="20">
        <f>SUM(OSRRefT22x_0)</f>
        <v>406214.33850418276</v>
      </c>
      <c r="U32" s="20"/>
      <c r="V32" s="30">
        <f t="shared" ref="V32:V43" si="17">IF(T$12=0,0,T32/T$12)</f>
        <v>1.6256701891112866</v>
      </c>
      <c r="W32" s="4"/>
      <c r="X32" s="20">
        <f t="shared" ref="X32:X43" si="18">+P32-T32</f>
        <v>-2454.3785041827359</v>
      </c>
      <c r="Y32" s="4"/>
      <c r="Z32" s="30">
        <f t="shared" ref="Z32:Z43" si="19">IF(T32=0,0,X32/T32)</f>
        <v>-6.0420774737311826E-3</v>
      </c>
    </row>
    <row r="33" spans="1:26" s="27" customFormat="1" outlineLevel="1" collapsed="1" x14ac:dyDescent="0.25">
      <c r="A33" s="28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66181.48</v>
      </c>
      <c r="E33" s="1"/>
      <c r="F33" s="5">
        <f t="shared" si="12"/>
        <v>0.36876925262040128</v>
      </c>
      <c r="G33" s="1"/>
      <c r="H33" s="1">
        <f>SUM(OSRRefH22_0x_0)</f>
        <v>63259.135100336549</v>
      </c>
      <c r="I33" s="1"/>
      <c r="J33" s="5">
        <f t="shared" si="13"/>
        <v>0.25316312196232738</v>
      </c>
      <c r="K33" s="1"/>
      <c r="L33" s="1">
        <f t="shared" si="14"/>
        <v>2922.344899663447</v>
      </c>
      <c r="M33" s="1"/>
      <c r="N33" s="5">
        <f t="shared" si="15"/>
        <v>4.6196409341168809E-2</v>
      </c>
      <c r="O33" s="14"/>
      <c r="P33" s="1">
        <f>SUM(OSRRefP22_0x_0)</f>
        <v>66181.48</v>
      </c>
      <c r="Q33" s="1"/>
      <c r="R33" s="5">
        <f t="shared" si="16"/>
        <v>0.36876925262040128</v>
      </c>
      <c r="S33" s="1"/>
      <c r="T33" s="1">
        <f>SUM(OSRRefT22_0x_0)</f>
        <v>63259.135100336549</v>
      </c>
      <c r="U33" s="1"/>
      <c r="V33" s="5">
        <f t="shared" si="17"/>
        <v>0.25316312196232738</v>
      </c>
      <c r="W33" s="1"/>
      <c r="X33" s="1">
        <f t="shared" si="18"/>
        <v>2922.344899663447</v>
      </c>
      <c r="Y33" s="1"/>
      <c r="Z33" s="5">
        <f t="shared" si="19"/>
        <v>4.6196409341168809E-2</v>
      </c>
    </row>
    <row r="34" spans="1:26" s="24" customFormat="1" hidden="1" outlineLevel="2" x14ac:dyDescent="0.25">
      <c r="A34" s="29"/>
      <c r="B34" s="11" t="str">
        <f>CONCATENATE("          ", "6111", " - ", "F.I.C.A.")</f>
        <v xml:space="preserve">          6111 - F.I.C.A.</v>
      </c>
      <c r="C34" s="11"/>
      <c r="D34" s="7">
        <v>10456.19</v>
      </c>
      <c r="E34" s="2"/>
      <c r="F34" s="6">
        <f t="shared" si="12"/>
        <v>5.8262845913341826E-2</v>
      </c>
      <c r="G34" s="2"/>
      <c r="H34" s="7">
        <v>12358.819029951926</v>
      </c>
      <c r="I34" s="2"/>
      <c r="J34" s="6">
        <f t="shared" si="13"/>
        <v>4.9460006122869139E-2</v>
      </c>
      <c r="K34" s="2"/>
      <c r="L34" s="7">
        <f t="shared" si="14"/>
        <v>-1902.629029951926</v>
      </c>
      <c r="M34" s="2"/>
      <c r="N34" s="6">
        <f t="shared" si="15"/>
        <v>-0.15394909702463108</v>
      </c>
      <c r="O34" s="11"/>
      <c r="P34" s="7">
        <v>10456.19</v>
      </c>
      <c r="Q34" s="2"/>
      <c r="R34" s="6">
        <f t="shared" si="16"/>
        <v>5.8262845913341826E-2</v>
      </c>
      <c r="S34" s="2"/>
      <c r="T34" s="7">
        <v>12358.819029951926</v>
      </c>
      <c r="U34" s="2"/>
      <c r="V34" s="6">
        <f t="shared" si="17"/>
        <v>4.9460006122869139E-2</v>
      </c>
      <c r="W34" s="2"/>
      <c r="X34" s="7">
        <f t="shared" si="18"/>
        <v>-1902.629029951926</v>
      </c>
      <c r="Y34" s="2"/>
      <c r="Z34" s="6">
        <f t="shared" si="19"/>
        <v>-0.15394909702463108</v>
      </c>
    </row>
    <row r="35" spans="1:26" s="24" customFormat="1" hidden="1" outlineLevel="2" x14ac:dyDescent="0.25">
      <c r="A35" s="29"/>
      <c r="B35" s="11" t="str">
        <f>CONCATENATE("          ", "6112", " - ", "COMPENSATION INSURANCE")</f>
        <v xml:space="preserve">          6112 - COMPENSATION INSURANCE</v>
      </c>
      <c r="C35" s="11"/>
      <c r="D35" s="7">
        <v>4948.8</v>
      </c>
      <c r="E35" s="2"/>
      <c r="F35" s="6">
        <f t="shared" si="12"/>
        <v>2.7575165701459715E-2</v>
      </c>
      <c r="G35" s="2"/>
      <c r="H35" s="7">
        <v>6454.2648501923113</v>
      </c>
      <c r="I35" s="2"/>
      <c r="J35" s="6">
        <f t="shared" si="13"/>
        <v>2.5829974387963226E-2</v>
      </c>
      <c r="K35" s="2"/>
      <c r="L35" s="7">
        <f t="shared" si="14"/>
        <v>-1505.4648501923111</v>
      </c>
      <c r="M35" s="2"/>
      <c r="N35" s="6">
        <f t="shared" si="15"/>
        <v>-0.23325117346981109</v>
      </c>
      <c r="O35" s="11"/>
      <c r="P35" s="7">
        <v>4948.8</v>
      </c>
      <c r="Q35" s="2"/>
      <c r="R35" s="6">
        <f t="shared" si="16"/>
        <v>2.7575165701459715E-2</v>
      </c>
      <c r="S35" s="2"/>
      <c r="T35" s="7">
        <v>6454.2648501923113</v>
      </c>
      <c r="U35" s="2"/>
      <c r="V35" s="6">
        <f t="shared" si="17"/>
        <v>2.5829974387963226E-2</v>
      </c>
      <c r="W35" s="2"/>
      <c r="X35" s="7">
        <f t="shared" si="18"/>
        <v>-1505.4648501923111</v>
      </c>
      <c r="Y35" s="2"/>
      <c r="Z35" s="6">
        <f t="shared" si="19"/>
        <v>-0.23325117346981109</v>
      </c>
    </row>
    <row r="36" spans="1:26" s="24" customFormat="1" hidden="1" outlineLevel="2" x14ac:dyDescent="0.25">
      <c r="A36" s="29"/>
      <c r="B36" s="11" t="str">
        <f>CONCATENATE("          ", "6113", " - ", "GROUP INSURANCE")</f>
        <v xml:space="preserve">          6113 - GROUP INSURANCE</v>
      </c>
      <c r="C36" s="11"/>
      <c r="D36" s="7">
        <v>20602.560000000001</v>
      </c>
      <c r="E36" s="2"/>
      <c r="F36" s="6">
        <f t="shared" si="12"/>
        <v>0.11479934648283742</v>
      </c>
      <c r="G36" s="2"/>
      <c r="H36" s="7">
        <v>21476.500000000011</v>
      </c>
      <c r="I36" s="2"/>
      <c r="J36" s="6">
        <f t="shared" si="13"/>
        <v>8.594897448724366E-2</v>
      </c>
      <c r="K36" s="2"/>
      <c r="L36" s="7">
        <f t="shared" si="14"/>
        <v>-873.9400000000096</v>
      </c>
      <c r="M36" s="2"/>
      <c r="N36" s="6">
        <f t="shared" si="15"/>
        <v>-4.0692850324774016E-2</v>
      </c>
      <c r="O36" s="11"/>
      <c r="P36" s="7">
        <v>20602.560000000001</v>
      </c>
      <c r="Q36" s="2"/>
      <c r="R36" s="6">
        <f t="shared" si="16"/>
        <v>0.11479934648283742</v>
      </c>
      <c r="S36" s="2"/>
      <c r="T36" s="7">
        <v>21476.500000000011</v>
      </c>
      <c r="U36" s="2"/>
      <c r="V36" s="6">
        <f t="shared" si="17"/>
        <v>8.594897448724366E-2</v>
      </c>
      <c r="W36" s="2"/>
      <c r="X36" s="7">
        <f t="shared" si="18"/>
        <v>-873.9400000000096</v>
      </c>
      <c r="Y36" s="2"/>
      <c r="Z36" s="6">
        <f t="shared" si="19"/>
        <v>-4.0692850324774016E-2</v>
      </c>
    </row>
    <row r="37" spans="1:26" s="24" customFormat="1" hidden="1" outlineLevel="2" x14ac:dyDescent="0.25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7">
        <v>349.45</v>
      </c>
      <c r="E37" s="2"/>
      <c r="F37" s="6">
        <f t="shared" si="12"/>
        <v>1.9471673242756015E-3</v>
      </c>
      <c r="G37" s="2"/>
      <c r="H37" s="7">
        <v>484.41863750000005</v>
      </c>
      <c r="I37" s="2"/>
      <c r="J37" s="6">
        <f t="shared" si="13"/>
        <v>1.9386438719359682E-3</v>
      </c>
      <c r="K37" s="2"/>
      <c r="L37" s="7">
        <f t="shared" si="14"/>
        <v>-134.96863750000006</v>
      </c>
      <c r="M37" s="2"/>
      <c r="N37" s="6">
        <f t="shared" si="15"/>
        <v>-0.27861982808206887</v>
      </c>
      <c r="O37" s="11"/>
      <c r="P37" s="7">
        <v>349.45</v>
      </c>
      <c r="Q37" s="2"/>
      <c r="R37" s="6">
        <f t="shared" si="16"/>
        <v>1.9471673242756015E-3</v>
      </c>
      <c r="S37" s="2"/>
      <c r="T37" s="7">
        <v>484.41863750000005</v>
      </c>
      <c r="U37" s="2"/>
      <c r="V37" s="6">
        <f t="shared" si="17"/>
        <v>1.9386438719359682E-3</v>
      </c>
      <c r="W37" s="2"/>
      <c r="X37" s="7">
        <f t="shared" si="18"/>
        <v>-134.96863750000006</v>
      </c>
      <c r="Y37" s="2"/>
      <c r="Z37" s="6">
        <f t="shared" si="19"/>
        <v>-0.27861982808206887</v>
      </c>
    </row>
    <row r="38" spans="1:26" s="24" customFormat="1" hidden="1" outlineLevel="2" x14ac:dyDescent="0.25">
      <c r="A38" s="29"/>
      <c r="B38" s="11" t="str">
        <f>CONCATENATE("          ", "6115", " - ", "P.E.R.S.")</f>
        <v xml:space="preserve">          6115 - P.E.R.S.</v>
      </c>
      <c r="C38" s="11"/>
      <c r="D38" s="7">
        <v>5779.58</v>
      </c>
      <c r="E38" s="2"/>
      <c r="F38" s="6">
        <f t="shared" si="12"/>
        <v>3.2204347758010531E-2</v>
      </c>
      <c r="G38" s="2"/>
      <c r="H38" s="7">
        <v>8488.0396596153878</v>
      </c>
      <c r="I38" s="2"/>
      <c r="J38" s="6">
        <f t="shared" si="13"/>
        <v>3.3969143210066582E-2</v>
      </c>
      <c r="K38" s="2"/>
      <c r="L38" s="7">
        <f t="shared" si="14"/>
        <v>-2708.4596596153879</v>
      </c>
      <c r="M38" s="2"/>
      <c r="N38" s="6">
        <f t="shared" si="15"/>
        <v>-0.31909130591151291</v>
      </c>
      <c r="O38" s="11"/>
      <c r="P38" s="7">
        <v>5779.58</v>
      </c>
      <c r="Q38" s="2"/>
      <c r="R38" s="6">
        <f t="shared" si="16"/>
        <v>3.2204347758010531E-2</v>
      </c>
      <c r="S38" s="2"/>
      <c r="T38" s="7">
        <v>8488.0396596153878</v>
      </c>
      <c r="U38" s="2"/>
      <c r="V38" s="6">
        <f t="shared" si="17"/>
        <v>3.3969143210066582E-2</v>
      </c>
      <c r="W38" s="2"/>
      <c r="X38" s="7">
        <f t="shared" si="18"/>
        <v>-2708.4596596153879</v>
      </c>
      <c r="Y38" s="2"/>
      <c r="Z38" s="6">
        <f t="shared" si="19"/>
        <v>-0.31909130591151291</v>
      </c>
    </row>
    <row r="39" spans="1:26" s="24" customFormat="1" hidden="1" outlineLevel="2" x14ac:dyDescent="0.25">
      <c r="A39" s="29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"6117", " - ", "RETIREMENT STAFF HOURLY")</f>
        <v xml:space="preserve">          6117 - RETIREMENT STAFF HOURLY</v>
      </c>
      <c r="C40" s="11"/>
      <c r="D40" s="7">
        <v>56</v>
      </c>
      <c r="E40" s="2"/>
      <c r="F40" s="6">
        <f t="shared" si="12"/>
        <v>3.1203711592340443E-4</v>
      </c>
      <c r="G40" s="2"/>
      <c r="H40" s="7"/>
      <c r="I40" s="2"/>
      <c r="J40" s="6">
        <f t="shared" si="13"/>
        <v>0</v>
      </c>
      <c r="K40" s="2"/>
      <c r="L40" s="7">
        <f t="shared" si="14"/>
        <v>56</v>
      </c>
      <c r="M40" s="2"/>
      <c r="N40" s="6">
        <f t="shared" si="15"/>
        <v>0</v>
      </c>
      <c r="O40" s="11"/>
      <c r="P40" s="7">
        <v>56</v>
      </c>
      <c r="Q40" s="2"/>
      <c r="R40" s="6">
        <f t="shared" si="16"/>
        <v>3.1203711592340443E-4</v>
      </c>
      <c r="S40" s="2"/>
      <c r="T40" s="7"/>
      <c r="U40" s="2"/>
      <c r="V40" s="6">
        <f t="shared" si="17"/>
        <v>0</v>
      </c>
      <c r="W40" s="2"/>
      <c r="X40" s="7">
        <f t="shared" si="18"/>
        <v>56</v>
      </c>
      <c r="Y40" s="2"/>
      <c r="Z40" s="6">
        <f t="shared" si="19"/>
        <v>0</v>
      </c>
    </row>
    <row r="41" spans="1:26" s="24" customFormat="1" hidden="1" outlineLevel="2" x14ac:dyDescent="0.25">
      <c r="A41" s="29"/>
      <c r="B41" s="11" t="str">
        <f>CONCATENATE("          ", "6118", " - ", "VACATION")</f>
        <v xml:space="preserve">          6118 - VACATION</v>
      </c>
      <c r="C41" s="11"/>
      <c r="D41" s="7">
        <v>8517.7000000000007</v>
      </c>
      <c r="E41" s="2"/>
      <c r="F41" s="6">
        <f t="shared" si="12"/>
        <v>4.7461402541085398E-2</v>
      </c>
      <c r="G41" s="2"/>
      <c r="H41" s="7">
        <v>6386.9050096153815</v>
      </c>
      <c r="I41" s="2"/>
      <c r="J41" s="6">
        <f t="shared" si="13"/>
        <v>2.5560400238580815E-2</v>
      </c>
      <c r="K41" s="2"/>
      <c r="L41" s="7">
        <f t="shared" si="14"/>
        <v>2130.7949903846193</v>
      </c>
      <c r="M41" s="2"/>
      <c r="N41" s="6">
        <f t="shared" si="15"/>
        <v>0.33361933317886239</v>
      </c>
      <c r="O41" s="11"/>
      <c r="P41" s="7">
        <v>8517.7000000000007</v>
      </c>
      <c r="Q41" s="2"/>
      <c r="R41" s="6">
        <f t="shared" si="16"/>
        <v>4.7461402541085398E-2</v>
      </c>
      <c r="S41" s="2"/>
      <c r="T41" s="7">
        <v>6386.9050096153815</v>
      </c>
      <c r="U41" s="2"/>
      <c r="V41" s="6">
        <f t="shared" si="17"/>
        <v>2.5560400238580815E-2</v>
      </c>
      <c r="W41" s="2"/>
      <c r="X41" s="7">
        <f t="shared" si="18"/>
        <v>2130.7949903846193</v>
      </c>
      <c r="Y41" s="2"/>
      <c r="Z41" s="6">
        <f t="shared" si="19"/>
        <v>0.33361933317886239</v>
      </c>
    </row>
    <row r="42" spans="1:26" s="24" customFormat="1" hidden="1" outlineLevel="2" x14ac:dyDescent="0.25">
      <c r="A42" s="29"/>
      <c r="B42" s="11" t="str">
        <f>CONCATENATE("          ", "6119", " - ", "SICK LEAVE")</f>
        <v xml:space="preserve">          6119 - SICK LEAVE</v>
      </c>
      <c r="C42" s="11"/>
      <c r="D42" s="7">
        <v>13390.88</v>
      </c>
      <c r="E42" s="2"/>
      <c r="F42" s="6">
        <f t="shared" si="12"/>
        <v>7.4615206694221392E-2</v>
      </c>
      <c r="G42" s="2"/>
      <c r="H42" s="7">
        <v>5885.1879134615347</v>
      </c>
      <c r="I42" s="2"/>
      <c r="J42" s="6">
        <f t="shared" si="13"/>
        <v>2.355252791780504E-2</v>
      </c>
      <c r="K42" s="2"/>
      <c r="L42" s="7">
        <f t="shared" si="14"/>
        <v>7505.6920865384645</v>
      </c>
      <c r="M42" s="2"/>
      <c r="N42" s="6">
        <f t="shared" si="15"/>
        <v>1.2753530043399728</v>
      </c>
      <c r="O42" s="11"/>
      <c r="P42" s="7">
        <v>13390.88</v>
      </c>
      <c r="Q42" s="2"/>
      <c r="R42" s="6">
        <f t="shared" si="16"/>
        <v>7.4615206694221392E-2</v>
      </c>
      <c r="S42" s="2"/>
      <c r="T42" s="7">
        <v>5885.1879134615347</v>
      </c>
      <c r="U42" s="2"/>
      <c r="V42" s="6">
        <f t="shared" si="17"/>
        <v>2.355252791780504E-2</v>
      </c>
      <c r="W42" s="2"/>
      <c r="X42" s="7">
        <f t="shared" si="18"/>
        <v>7505.6920865384645</v>
      </c>
      <c r="Y42" s="2"/>
      <c r="Z42" s="6">
        <f t="shared" si="19"/>
        <v>1.2753530043399728</v>
      </c>
    </row>
    <row r="43" spans="1:26" s="24" customFormat="1" hidden="1" outlineLevel="2" x14ac:dyDescent="0.25">
      <c r="A43" s="29"/>
      <c r="B43" s="11" t="str">
        <f>CONCATENATE("          ", "6156", " - ", "EMPLOYEE MEALS")</f>
        <v xml:space="preserve">          6156 - EMPLOYEE MEALS</v>
      </c>
      <c r="C43" s="11"/>
      <c r="D43" s="7">
        <v>2080.3200000000002</v>
      </c>
      <c r="E43" s="2"/>
      <c r="F43" s="6">
        <f t="shared" si="12"/>
        <v>1.1591733089246013E-2</v>
      </c>
      <c r="G43" s="2"/>
      <c r="H43" s="7">
        <v>1725</v>
      </c>
      <c r="I43" s="2"/>
      <c r="J43" s="6">
        <f t="shared" si="13"/>
        <v>6.9034517258629311E-3</v>
      </c>
      <c r="K43" s="2"/>
      <c r="L43" s="7">
        <f t="shared" si="14"/>
        <v>355.32000000000016</v>
      </c>
      <c r="M43" s="2"/>
      <c r="N43" s="6">
        <f t="shared" si="15"/>
        <v>0.20598260869565227</v>
      </c>
      <c r="O43" s="11"/>
      <c r="P43" s="7">
        <v>2080.3200000000002</v>
      </c>
      <c r="Q43" s="2"/>
      <c r="R43" s="6">
        <f t="shared" si="16"/>
        <v>1.1591733089246013E-2</v>
      </c>
      <c r="S43" s="2"/>
      <c r="T43" s="7">
        <v>1725</v>
      </c>
      <c r="U43" s="2"/>
      <c r="V43" s="6">
        <f t="shared" si="17"/>
        <v>6.9034517258629311E-3</v>
      </c>
      <c r="W43" s="2"/>
      <c r="X43" s="7">
        <f t="shared" si="18"/>
        <v>355.32000000000016</v>
      </c>
      <c r="Y43" s="2"/>
      <c r="Z43" s="6">
        <f t="shared" si="19"/>
        <v>0.20598260869565227</v>
      </c>
    </row>
    <row r="44" spans="1:26" s="27" customFormat="1" outlineLevel="1" collapsed="1" x14ac:dyDescent="0.25">
      <c r="A44" s="28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160355.29</v>
      </c>
      <c r="E44" s="1"/>
      <c r="F44" s="5">
        <f t="shared" ref="F44:F54" si="20">IF(D$12=0,0,D44/D$12)</f>
        <v>0.89351432526180607</v>
      </c>
      <c r="G44" s="1"/>
      <c r="H44" s="1">
        <f>SUM(OSRRefH22_1x_0)</f>
        <v>169268.30340384616</v>
      </c>
      <c r="I44" s="1"/>
      <c r="J44" s="5">
        <f t="shared" ref="J44:J54" si="21">IF(H$12=0,0,H44/H$12)</f>
        <v>0.67741191957517222</v>
      </c>
      <c r="K44" s="1"/>
      <c r="L44" s="1">
        <f t="shared" ref="L44:L54" si="22">+D44-H44</f>
        <v>-8913.0134038461547</v>
      </c>
      <c r="M44" s="1"/>
      <c r="N44" s="5">
        <f t="shared" ref="N44:N54" si="23">IF(H44=0,0,L44/H44)</f>
        <v>-5.2656127725113307E-2</v>
      </c>
      <c r="O44" s="14"/>
      <c r="P44" s="1">
        <f>SUM(OSRRefP22_1x_0)</f>
        <v>160355.29</v>
      </c>
      <c r="Q44" s="1"/>
      <c r="R44" s="5">
        <f t="shared" ref="R44:R54" si="24">IF(P$12=0,0,P44/P$12)</f>
        <v>0.89351432526180607</v>
      </c>
      <c r="S44" s="1"/>
      <c r="T44" s="1">
        <f>SUM(OSRRefT22_1x_0)</f>
        <v>169268.30340384616</v>
      </c>
      <c r="U44" s="1"/>
      <c r="V44" s="5">
        <f t="shared" ref="V44:V54" si="25">IF(T$12=0,0,T44/T$12)</f>
        <v>0.67741191957517222</v>
      </c>
      <c r="W44" s="1"/>
      <c r="X44" s="1">
        <f t="shared" ref="X44:X54" si="26">+P44-T44</f>
        <v>-8913.0134038461547</v>
      </c>
      <c r="Y44" s="1"/>
      <c r="Z44" s="5">
        <f t="shared" ref="Z44:Z54" si="27">IF(T44=0,0,X44/T44)</f>
        <v>-5.2656127725113307E-2</v>
      </c>
    </row>
    <row r="45" spans="1:26" s="24" customFormat="1" hidden="1" outlineLevel="2" x14ac:dyDescent="0.25">
      <c r="A45" s="29"/>
      <c r="B45" s="11" t="str">
        <f>CONCATENATE("          ", "6001", " - ", "ADMINISTRATIVE SALARIES")</f>
        <v xml:space="preserve">          6001 - ADMINISTRATIVE SALARIES</v>
      </c>
      <c r="C45" s="11"/>
      <c r="D45" s="7">
        <v>20426.670000000002</v>
      </c>
      <c r="E45" s="2"/>
      <c r="F45" s="6">
        <f t="shared" si="20"/>
        <v>0.11381927133427015</v>
      </c>
      <c r="G45" s="2"/>
      <c r="H45" s="7">
        <v>25266.276346153853</v>
      </c>
      <c r="I45" s="2"/>
      <c r="J45" s="6">
        <f t="shared" si="21"/>
        <v>0.10111566321622352</v>
      </c>
      <c r="K45" s="2"/>
      <c r="L45" s="7">
        <f t="shared" si="22"/>
        <v>-4839.6063461538506</v>
      </c>
      <c r="M45" s="2"/>
      <c r="N45" s="6">
        <f t="shared" si="23"/>
        <v>-0.19154410724596374</v>
      </c>
      <c r="O45" s="11"/>
      <c r="P45" s="7">
        <v>20426.670000000002</v>
      </c>
      <c r="Q45" s="2"/>
      <c r="R45" s="6">
        <f t="shared" si="24"/>
        <v>0.11381927133427015</v>
      </c>
      <c r="S45" s="2"/>
      <c r="T45" s="7">
        <v>25266.276346153853</v>
      </c>
      <c r="U45" s="2"/>
      <c r="V45" s="6">
        <f t="shared" si="25"/>
        <v>0.10111566321622352</v>
      </c>
      <c r="W45" s="2"/>
      <c r="X45" s="7">
        <f t="shared" si="26"/>
        <v>-4839.6063461538506</v>
      </c>
      <c r="Y45" s="2"/>
      <c r="Z45" s="6">
        <f t="shared" si="27"/>
        <v>-0.19154410724596374</v>
      </c>
    </row>
    <row r="46" spans="1:26" s="24" customFormat="1" hidden="1" outlineLevel="2" x14ac:dyDescent="0.25">
      <c r="A46" s="29"/>
      <c r="B46" s="11" t="str">
        <f>CONCATENATE("          ", "6002", " - ", "STAFF SALARIES")</f>
        <v xml:space="preserve">          6002 - STAFF SALARIES</v>
      </c>
      <c r="C46" s="11"/>
      <c r="D46" s="7">
        <v>58026.310000000005</v>
      </c>
      <c r="E46" s="2"/>
      <c r="F46" s="6">
        <f t="shared" si="20"/>
        <v>0.3233279003585251</v>
      </c>
      <c r="G46" s="2"/>
      <c r="H46" s="7">
        <v>64209.752057692305</v>
      </c>
      <c r="I46" s="2"/>
      <c r="J46" s="6">
        <f t="shared" si="21"/>
        <v>0.25696749197675761</v>
      </c>
      <c r="K46" s="2"/>
      <c r="L46" s="7">
        <f t="shared" si="22"/>
        <v>-6183.4420576923003</v>
      </c>
      <c r="M46" s="2"/>
      <c r="N46" s="6">
        <f t="shared" si="23"/>
        <v>-9.6300668660680905E-2</v>
      </c>
      <c r="O46" s="11"/>
      <c r="P46" s="7">
        <v>58026.310000000005</v>
      </c>
      <c r="Q46" s="2"/>
      <c r="R46" s="6">
        <f t="shared" si="24"/>
        <v>0.3233279003585251</v>
      </c>
      <c r="S46" s="2"/>
      <c r="T46" s="7">
        <v>64209.752057692305</v>
      </c>
      <c r="U46" s="2"/>
      <c r="V46" s="6">
        <f t="shared" si="25"/>
        <v>0.25696749197675761</v>
      </c>
      <c r="W46" s="2"/>
      <c r="X46" s="7">
        <f t="shared" si="26"/>
        <v>-6183.4420576923003</v>
      </c>
      <c r="Y46" s="2"/>
      <c r="Z46" s="6">
        <f t="shared" si="27"/>
        <v>-9.6300668660680905E-2</v>
      </c>
    </row>
    <row r="47" spans="1:26" s="24" customFormat="1" hidden="1" outlineLevel="2" x14ac:dyDescent="0.25">
      <c r="A47" s="29"/>
      <c r="B47" s="11" t="str">
        <f>CONCATENATE("          ", "6003", " - ", "STAFF HOURLY-9 MONTH")</f>
        <v xml:space="preserve">          6003 - STAFF HOURLY-9 MONTH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9"/>
      <c r="B48" s="11" t="str">
        <f>CONCATENATE("          ", "6004", " - ", "STAFF HOURLY")</f>
        <v xml:space="preserve">          6004 - STAFF HOURLY</v>
      </c>
      <c r="C48" s="11"/>
      <c r="D48" s="7">
        <v>15310.009999999998</v>
      </c>
      <c r="E48" s="2"/>
      <c r="F48" s="6">
        <f t="shared" si="20"/>
        <v>8.5308774377830007E-2</v>
      </c>
      <c r="G48" s="2"/>
      <c r="H48" s="7">
        <v>42215.100000000006</v>
      </c>
      <c r="I48" s="2"/>
      <c r="J48" s="6">
        <f t="shared" si="21"/>
        <v>0.16894487243621814</v>
      </c>
      <c r="K48" s="2"/>
      <c r="L48" s="7">
        <f t="shared" si="22"/>
        <v>-26905.090000000007</v>
      </c>
      <c r="M48" s="2"/>
      <c r="N48" s="6">
        <f t="shared" si="23"/>
        <v>-0.63733332385805086</v>
      </c>
      <c r="O48" s="11"/>
      <c r="P48" s="7">
        <v>15310.009999999998</v>
      </c>
      <c r="Q48" s="2"/>
      <c r="R48" s="6">
        <f t="shared" si="24"/>
        <v>8.5308774377830007E-2</v>
      </c>
      <c r="S48" s="2"/>
      <c r="T48" s="7">
        <v>42215.100000000006</v>
      </c>
      <c r="U48" s="2"/>
      <c r="V48" s="6">
        <f t="shared" si="25"/>
        <v>0.16894487243621814</v>
      </c>
      <c r="W48" s="2"/>
      <c r="X48" s="7">
        <f t="shared" si="26"/>
        <v>-26905.090000000007</v>
      </c>
      <c r="Y48" s="2"/>
      <c r="Z48" s="6">
        <f t="shared" si="27"/>
        <v>-0.63733332385805086</v>
      </c>
    </row>
    <row r="49" spans="1:26" s="24" customFormat="1" hidden="1" outlineLevel="2" x14ac:dyDescent="0.25">
      <c r="A49" s="29"/>
      <c r="B49" s="11" t="str">
        <f>CONCATENATE("          ", "6005", " - ", "TEMPORARY WAGES-HOURLY")</f>
        <v xml:space="preserve">          6005 - TEMPORARY WAGES-HOURLY</v>
      </c>
      <c r="C49" s="11"/>
      <c r="D49" s="7">
        <v>27322.84</v>
      </c>
      <c r="E49" s="2"/>
      <c r="F49" s="6">
        <f t="shared" si="20"/>
        <v>0.15224536057922558</v>
      </c>
      <c r="G49" s="2"/>
      <c r="H49" s="7">
        <v>19907.625</v>
      </c>
      <c r="I49" s="2"/>
      <c r="J49" s="6">
        <f t="shared" si="21"/>
        <v>7.9670335167583789E-2</v>
      </c>
      <c r="K49" s="2"/>
      <c r="L49" s="7">
        <f t="shared" si="22"/>
        <v>7415.2150000000001</v>
      </c>
      <c r="M49" s="2"/>
      <c r="N49" s="6">
        <f t="shared" si="23"/>
        <v>0.37248114729908766</v>
      </c>
      <c r="O49" s="11"/>
      <c r="P49" s="7">
        <v>27322.84</v>
      </c>
      <c r="Q49" s="2"/>
      <c r="R49" s="6">
        <f t="shared" si="24"/>
        <v>0.15224536057922558</v>
      </c>
      <c r="S49" s="2"/>
      <c r="T49" s="7">
        <v>19907.625</v>
      </c>
      <c r="U49" s="2"/>
      <c r="V49" s="6">
        <f t="shared" si="25"/>
        <v>7.9670335167583789E-2</v>
      </c>
      <c r="W49" s="2"/>
      <c r="X49" s="7">
        <f t="shared" si="26"/>
        <v>7415.2150000000001</v>
      </c>
      <c r="Y49" s="2"/>
      <c r="Z49" s="6">
        <f t="shared" si="27"/>
        <v>0.37248114729908766</v>
      </c>
    </row>
    <row r="50" spans="1:26" s="24" customFormat="1" hidden="1" outlineLevel="2" x14ac:dyDescent="0.25">
      <c r="A50" s="29"/>
      <c r="B50" s="11" t="str">
        <f>CONCATENATE("          ", "6006", " - ", "TEMPORARY PART TIME")</f>
        <v xml:space="preserve">          6006 - TEMPORARY PART TIME</v>
      </c>
      <c r="C50" s="11"/>
      <c r="D50" s="7">
        <v>2250.64</v>
      </c>
      <c r="E50" s="2"/>
      <c r="F50" s="6">
        <f t="shared" si="20"/>
        <v>1.2540771688961623E-2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2250.64</v>
      </c>
      <c r="M50" s="2"/>
      <c r="N50" s="6">
        <f t="shared" si="23"/>
        <v>0</v>
      </c>
      <c r="O50" s="11"/>
      <c r="P50" s="7">
        <v>2250.64</v>
      </c>
      <c r="Q50" s="2"/>
      <c r="R50" s="6">
        <f t="shared" si="24"/>
        <v>1.2540771688961623E-2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2250.64</v>
      </c>
      <c r="Y50" s="2"/>
      <c r="Z50" s="6">
        <f t="shared" si="27"/>
        <v>0</v>
      </c>
    </row>
    <row r="51" spans="1:26" s="24" customFormat="1" hidden="1" outlineLevel="2" x14ac:dyDescent="0.25">
      <c r="A51" s="29"/>
      <c r="B51" s="11" t="str">
        <f>CONCATENATE("          ", "6007", " - ", "STUDENT HOURLY")</f>
        <v xml:space="preserve">          6007 - STUDENT HOURLY</v>
      </c>
      <c r="C51" s="11"/>
      <c r="D51" s="7">
        <v>36285.4</v>
      </c>
      <c r="E51" s="2"/>
      <c r="F51" s="6">
        <f t="shared" si="20"/>
        <v>0.20218556368084106</v>
      </c>
      <c r="G51" s="2"/>
      <c r="H51" s="7">
        <v>12937.05</v>
      </c>
      <c r="I51" s="2"/>
      <c r="J51" s="6">
        <f t="shared" si="21"/>
        <v>5.1774087043521759E-2</v>
      </c>
      <c r="K51" s="2"/>
      <c r="L51" s="7">
        <f t="shared" si="22"/>
        <v>23348.350000000002</v>
      </c>
      <c r="M51" s="2"/>
      <c r="N51" s="6">
        <f t="shared" si="23"/>
        <v>1.8047661561175077</v>
      </c>
      <c r="O51" s="11"/>
      <c r="P51" s="7">
        <v>36285.4</v>
      </c>
      <c r="Q51" s="2"/>
      <c r="R51" s="6">
        <f t="shared" si="24"/>
        <v>0.20218556368084106</v>
      </c>
      <c r="S51" s="2"/>
      <c r="T51" s="7">
        <v>12937.05</v>
      </c>
      <c r="U51" s="2"/>
      <c r="V51" s="6">
        <f t="shared" si="25"/>
        <v>5.1774087043521759E-2</v>
      </c>
      <c r="W51" s="2"/>
      <c r="X51" s="7">
        <f t="shared" si="26"/>
        <v>23348.350000000002</v>
      </c>
      <c r="Y51" s="2"/>
      <c r="Z51" s="6">
        <f t="shared" si="27"/>
        <v>1.8047661561175077</v>
      </c>
    </row>
    <row r="52" spans="1:26" s="24" customFormat="1" hidden="1" outlineLevel="2" x14ac:dyDescent="0.25">
      <c r="A52" s="29"/>
      <c r="B52" s="11" t="str">
        <f>CONCATENATE("          ", "6008", " - ", "STUDENT HOURLY-FICA EXEMPT")</f>
        <v xml:space="preserve">          6008 - STUDENT HOURLY-FICA EXEMPT</v>
      </c>
      <c r="C52" s="11"/>
      <c r="D52" s="7">
        <v>733.42</v>
      </c>
      <c r="E52" s="2"/>
      <c r="F52" s="6">
        <f t="shared" si="20"/>
        <v>4.0866832421525582E-3</v>
      </c>
      <c r="G52" s="2"/>
      <c r="H52" s="7">
        <v>4732.5</v>
      </c>
      <c r="I52" s="2"/>
      <c r="J52" s="6">
        <f t="shared" si="21"/>
        <v>1.8939469734867435E-2</v>
      </c>
      <c r="K52" s="2"/>
      <c r="L52" s="7">
        <f t="shared" si="22"/>
        <v>-3999.08</v>
      </c>
      <c r="M52" s="2"/>
      <c r="N52" s="6">
        <f t="shared" si="23"/>
        <v>-0.84502482831484416</v>
      </c>
      <c r="O52" s="11"/>
      <c r="P52" s="7">
        <v>733.42</v>
      </c>
      <c r="Q52" s="2"/>
      <c r="R52" s="6">
        <f t="shared" si="24"/>
        <v>4.0866832421525582E-3</v>
      </c>
      <c r="S52" s="2"/>
      <c r="T52" s="7">
        <v>4732.5</v>
      </c>
      <c r="U52" s="2"/>
      <c r="V52" s="6">
        <f t="shared" si="25"/>
        <v>1.8939469734867435E-2</v>
      </c>
      <c r="W52" s="2"/>
      <c r="X52" s="7">
        <f t="shared" si="26"/>
        <v>-3999.08</v>
      </c>
      <c r="Y52" s="2"/>
      <c r="Z52" s="6">
        <f t="shared" si="27"/>
        <v>-0.84502482831484416</v>
      </c>
    </row>
    <row r="53" spans="1:26" s="24" customFormat="1" hidden="1" outlineLevel="2" x14ac:dyDescent="0.25">
      <c r="A53" s="29"/>
      <c r="B53" s="11" t="str">
        <f>CONCATENATE("          ", "6009", " - ", "TEMPORARY-SEASONAL")</f>
        <v xml:space="preserve">          6009 - TEMPORARY-SEASONAL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4" customFormat="1" hidden="1" outlineLevel="2" x14ac:dyDescent="0.25">
      <c r="A54" s="29"/>
      <c r="B54" s="11" t="str">
        <f>CONCATENATE("          ", "6010", " - ", "GRATUITY")</f>
        <v xml:space="preserve">          6010 - GRATUITY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7" customFormat="1" outlineLevel="1" collapsed="1" x14ac:dyDescent="0.25">
      <c r="A55" s="28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2648.83</v>
      </c>
      <c r="E55" s="1"/>
      <c r="F55" s="5">
        <f t="shared" ref="F55:F65" si="28">IF(D$12=0,0,D55/D$12)</f>
        <v>1.4759522745917703E-2</v>
      </c>
      <c r="G55" s="1"/>
      <c r="H55" s="1">
        <f>SUM(OSRRefH22_2x_0)</f>
        <v>2200</v>
      </c>
      <c r="I55" s="1"/>
      <c r="J55" s="5">
        <f t="shared" ref="J55:J65" si="29">IF(H$12=0,0,H55/H$12)</f>
        <v>8.8044022011005505E-3</v>
      </c>
      <c r="K55" s="1"/>
      <c r="L55" s="1">
        <f t="shared" ref="L55:L65" si="30">+D55-H55</f>
        <v>448.82999999999993</v>
      </c>
      <c r="M55" s="1"/>
      <c r="N55" s="5">
        <f t="shared" ref="N55:N65" si="31">IF(H55=0,0,L55/H55)</f>
        <v>0.20401363636363634</v>
      </c>
      <c r="O55" s="14"/>
      <c r="P55" s="1">
        <f>SUM(OSRRefP22_2x_0)</f>
        <v>2648.83</v>
      </c>
      <c r="Q55" s="1"/>
      <c r="R55" s="5">
        <f t="shared" ref="R55:R65" si="32">IF(P$12=0,0,P55/P$12)</f>
        <v>1.4759522745917703E-2</v>
      </c>
      <c r="S55" s="1"/>
      <c r="T55" s="1">
        <f>SUM(OSRRefT22_2x_0)</f>
        <v>2200</v>
      </c>
      <c r="U55" s="1"/>
      <c r="V55" s="5">
        <f t="shared" ref="V55:V65" si="33">IF(T$12=0,0,T55/T$12)</f>
        <v>8.8044022011005505E-3</v>
      </c>
      <c r="W55" s="1"/>
      <c r="X55" s="1">
        <f t="shared" ref="X55:X65" si="34">+P55-T55</f>
        <v>448.82999999999993</v>
      </c>
      <c r="Y55" s="1"/>
      <c r="Z55" s="5">
        <f t="shared" ref="Z55:Z65" si="35">IF(T55=0,0,X55/T55)</f>
        <v>0.20401363636363634</v>
      </c>
    </row>
    <row r="56" spans="1:26" s="24" customFormat="1" hidden="1" outlineLevel="2" x14ac:dyDescent="0.25">
      <c r="A56" s="29"/>
      <c r="B56" s="11" t="str">
        <f>CONCATENATE("          ", "6362", " - ", "ADVERTISING EXPENSE")</f>
        <v xml:space="preserve">          6362 - ADVERTISING EXPENSE</v>
      </c>
      <c r="C56" s="11"/>
      <c r="D56" s="7">
        <v>2648.83</v>
      </c>
      <c r="E56" s="2"/>
      <c r="F56" s="6">
        <f t="shared" si="28"/>
        <v>1.4759522745917703E-2</v>
      </c>
      <c r="G56" s="2"/>
      <c r="H56" s="7">
        <v>2200</v>
      </c>
      <c r="I56" s="2"/>
      <c r="J56" s="6">
        <f t="shared" si="29"/>
        <v>8.8044022011005505E-3</v>
      </c>
      <c r="K56" s="2"/>
      <c r="L56" s="7">
        <f t="shared" si="30"/>
        <v>448.82999999999993</v>
      </c>
      <c r="M56" s="2"/>
      <c r="N56" s="6">
        <f t="shared" si="31"/>
        <v>0.20401363636363634</v>
      </c>
      <c r="O56" s="11"/>
      <c r="P56" s="7">
        <v>2648.83</v>
      </c>
      <c r="Q56" s="2"/>
      <c r="R56" s="6">
        <f t="shared" si="32"/>
        <v>1.4759522745917703E-2</v>
      </c>
      <c r="S56" s="2"/>
      <c r="T56" s="7">
        <v>2200</v>
      </c>
      <c r="U56" s="2"/>
      <c r="V56" s="6">
        <f t="shared" si="33"/>
        <v>8.8044022011005505E-3</v>
      </c>
      <c r="W56" s="2"/>
      <c r="X56" s="7">
        <f t="shared" si="34"/>
        <v>448.82999999999993</v>
      </c>
      <c r="Y56" s="2"/>
      <c r="Z56" s="6">
        <f t="shared" si="35"/>
        <v>0.20401363636363634</v>
      </c>
    </row>
    <row r="57" spans="1:26" s="27" customFormat="1" outlineLevel="1" collapsed="1" x14ac:dyDescent="0.25">
      <c r="A57" s="28"/>
      <c r="B57" s="14" t="str">
        <f>CONCATENATE("     ","Bad Debts/Over/Short                              ")</f>
        <v xml:space="preserve">     Bad Debts/Over/Short                              </v>
      </c>
      <c r="C57" s="14"/>
      <c r="D57" s="1">
        <f>SUM(OSRRefD22_3x_0)</f>
        <v>-18.579999999999998</v>
      </c>
      <c r="E57" s="1"/>
      <c r="F57" s="5">
        <f t="shared" si="28"/>
        <v>-1.0352945739030096E-4</v>
      </c>
      <c r="G57" s="1"/>
      <c r="H57" s="1">
        <f>SUM(OSRRefH22_3x_0)</f>
        <v>109</v>
      </c>
      <c r="I57" s="1"/>
      <c r="J57" s="5">
        <f t="shared" si="29"/>
        <v>4.3621810905452728E-4</v>
      </c>
      <c r="K57" s="1"/>
      <c r="L57" s="1">
        <f t="shared" si="30"/>
        <v>-127.58</v>
      </c>
      <c r="M57" s="1"/>
      <c r="N57" s="5">
        <f t="shared" si="31"/>
        <v>-1.1704587155963302</v>
      </c>
      <c r="O57" s="14"/>
      <c r="P57" s="1">
        <f>SUM(OSRRefP22_3x_0)</f>
        <v>-18.579999999999998</v>
      </c>
      <c r="Q57" s="1"/>
      <c r="R57" s="5">
        <f t="shared" si="32"/>
        <v>-1.0352945739030096E-4</v>
      </c>
      <c r="S57" s="1"/>
      <c r="T57" s="1">
        <f>SUM(OSRRefT22_3x_0)</f>
        <v>109</v>
      </c>
      <c r="U57" s="1"/>
      <c r="V57" s="5">
        <f t="shared" si="33"/>
        <v>4.3621810905452728E-4</v>
      </c>
      <c r="W57" s="1"/>
      <c r="X57" s="1">
        <f t="shared" si="34"/>
        <v>-127.58</v>
      </c>
      <c r="Y57" s="1"/>
      <c r="Z57" s="5">
        <f t="shared" si="35"/>
        <v>-1.1704587155963302</v>
      </c>
    </row>
    <row r="58" spans="1:26" s="24" customFormat="1" hidden="1" outlineLevel="2" x14ac:dyDescent="0.25">
      <c r="A58" s="29"/>
      <c r="B58" s="11" t="str">
        <f>CONCATENATE("          ", "6272", " - ", "CASH (OVER/SHORT)")</f>
        <v xml:space="preserve">          6272 - CASH (OVER/SHORT)</v>
      </c>
      <c r="C58" s="11"/>
      <c r="D58" s="7">
        <v>-18.579999999999998</v>
      </c>
      <c r="E58" s="2"/>
      <c r="F58" s="6">
        <f t="shared" si="28"/>
        <v>-1.0352945739030096E-4</v>
      </c>
      <c r="G58" s="2"/>
      <c r="H58" s="7">
        <v>109</v>
      </c>
      <c r="I58" s="2"/>
      <c r="J58" s="6">
        <f t="shared" si="29"/>
        <v>4.3621810905452728E-4</v>
      </c>
      <c r="K58" s="2"/>
      <c r="L58" s="7">
        <f t="shared" si="30"/>
        <v>-127.58</v>
      </c>
      <c r="M58" s="2"/>
      <c r="N58" s="6">
        <f t="shared" si="31"/>
        <v>-1.1704587155963302</v>
      </c>
      <c r="O58" s="11"/>
      <c r="P58" s="7">
        <v>-18.579999999999998</v>
      </c>
      <c r="Q58" s="2"/>
      <c r="R58" s="6">
        <f t="shared" si="32"/>
        <v>-1.0352945739030096E-4</v>
      </c>
      <c r="S58" s="2"/>
      <c r="T58" s="7">
        <v>109</v>
      </c>
      <c r="U58" s="2"/>
      <c r="V58" s="6">
        <f t="shared" si="33"/>
        <v>4.3621810905452728E-4</v>
      </c>
      <c r="W58" s="2"/>
      <c r="X58" s="7">
        <f t="shared" si="34"/>
        <v>-127.58</v>
      </c>
      <c r="Y58" s="2"/>
      <c r="Z58" s="6">
        <f t="shared" si="35"/>
        <v>-1.1704587155963302</v>
      </c>
    </row>
    <row r="59" spans="1:26" s="27" customFormat="1" outlineLevel="1" collapsed="1" x14ac:dyDescent="0.25">
      <c r="A59" s="28"/>
      <c r="B59" s="14" t="str">
        <f>CONCATENATE("     ","Bank/card Fees                                    ")</f>
        <v xml:space="preserve">     Bank/card Fees                                    </v>
      </c>
      <c r="C59" s="14"/>
      <c r="D59" s="1">
        <f>SUM(OSRRefD22_4x_0)</f>
        <v>4169.26</v>
      </c>
      <c r="E59" s="1"/>
      <c r="F59" s="5">
        <f t="shared" si="28"/>
        <v>2.3231497605978809E-2</v>
      </c>
      <c r="G59" s="1"/>
      <c r="H59" s="1">
        <f>SUM(OSRRefH22_4x_0)</f>
        <v>4595</v>
      </c>
      <c r="I59" s="1"/>
      <c r="J59" s="5">
        <f t="shared" si="29"/>
        <v>1.8389194597298649E-2</v>
      </c>
      <c r="K59" s="1"/>
      <c r="L59" s="1">
        <f t="shared" si="30"/>
        <v>-425.73999999999978</v>
      </c>
      <c r="M59" s="1"/>
      <c r="N59" s="5">
        <f t="shared" si="31"/>
        <v>-9.2652883569096803E-2</v>
      </c>
      <c r="O59" s="14"/>
      <c r="P59" s="1">
        <f>SUM(OSRRefP22_4x_0)</f>
        <v>4169.26</v>
      </c>
      <c r="Q59" s="1"/>
      <c r="R59" s="5">
        <f t="shared" si="32"/>
        <v>2.3231497605978809E-2</v>
      </c>
      <c r="S59" s="1"/>
      <c r="T59" s="1">
        <f>SUM(OSRRefT22_4x_0)</f>
        <v>4595</v>
      </c>
      <c r="U59" s="1"/>
      <c r="V59" s="5">
        <f t="shared" si="33"/>
        <v>1.8389194597298649E-2</v>
      </c>
      <c r="W59" s="1"/>
      <c r="X59" s="1">
        <f t="shared" si="34"/>
        <v>-425.73999999999978</v>
      </c>
      <c r="Y59" s="1"/>
      <c r="Z59" s="5">
        <f t="shared" si="35"/>
        <v>-9.2652883569096803E-2</v>
      </c>
    </row>
    <row r="60" spans="1:26" s="24" customFormat="1" hidden="1" outlineLevel="2" x14ac:dyDescent="0.25">
      <c r="A60" s="29"/>
      <c r="B60" s="11" t="str">
        <f>CONCATENATE("          ", "6381", " - ", "BANK/CREDIT CARD FEES")</f>
        <v xml:space="preserve">          6381 - BANK/CREDIT CARD FEES</v>
      </c>
      <c r="C60" s="11"/>
      <c r="D60" s="7">
        <v>4169.26</v>
      </c>
      <c r="E60" s="2"/>
      <c r="F60" s="6">
        <f t="shared" si="28"/>
        <v>2.3231497605978809E-2</v>
      </c>
      <c r="G60" s="2"/>
      <c r="H60" s="7">
        <v>4595</v>
      </c>
      <c r="I60" s="2"/>
      <c r="J60" s="6">
        <f t="shared" si="29"/>
        <v>1.8389194597298649E-2</v>
      </c>
      <c r="K60" s="2"/>
      <c r="L60" s="7">
        <f t="shared" si="30"/>
        <v>-425.73999999999978</v>
      </c>
      <c r="M60" s="2"/>
      <c r="N60" s="6">
        <f t="shared" si="31"/>
        <v>-9.2652883569096803E-2</v>
      </c>
      <c r="O60" s="11"/>
      <c r="P60" s="7">
        <v>4169.26</v>
      </c>
      <c r="Q60" s="2"/>
      <c r="R60" s="6">
        <f t="shared" si="32"/>
        <v>2.3231497605978809E-2</v>
      </c>
      <c r="S60" s="2"/>
      <c r="T60" s="7">
        <v>4595</v>
      </c>
      <c r="U60" s="2"/>
      <c r="V60" s="6">
        <f t="shared" si="33"/>
        <v>1.8389194597298649E-2</v>
      </c>
      <c r="W60" s="2"/>
      <c r="X60" s="7">
        <f t="shared" si="34"/>
        <v>-425.73999999999978</v>
      </c>
      <c r="Y60" s="2"/>
      <c r="Z60" s="6">
        <f t="shared" si="35"/>
        <v>-9.2652883569096803E-2</v>
      </c>
    </row>
    <row r="61" spans="1:26" s="27" customFormat="1" outlineLevel="1" collapsed="1" x14ac:dyDescent="0.25">
      <c r="A61" s="28"/>
      <c r="B61" s="14" t="str">
        <f>CONCATENATE("     ","Depreciation                                      ")</f>
        <v xml:space="preserve">     Depreciation                                      </v>
      </c>
      <c r="C61" s="14"/>
      <c r="D61" s="1">
        <f>SUM(OSRRefD22_5x_0)</f>
        <v>39571.050000000003</v>
      </c>
      <c r="E61" s="1"/>
      <c r="F61" s="5">
        <f t="shared" si="28"/>
        <v>0.22049350564394346</v>
      </c>
      <c r="G61" s="1"/>
      <c r="H61" s="1">
        <f>SUM(OSRRefH22_5x_0)</f>
        <v>39187</v>
      </c>
      <c r="I61" s="1"/>
      <c r="J61" s="5">
        <f t="shared" si="29"/>
        <v>0.15682641320660329</v>
      </c>
      <c r="K61" s="1"/>
      <c r="L61" s="1">
        <f t="shared" si="30"/>
        <v>384.05000000000291</v>
      </c>
      <c r="M61" s="1"/>
      <c r="N61" s="5">
        <f t="shared" si="31"/>
        <v>9.8004440248042179E-3</v>
      </c>
      <c r="O61" s="14"/>
      <c r="P61" s="1">
        <f>SUM(OSRRefP22_5x_0)</f>
        <v>39571.050000000003</v>
      </c>
      <c r="Q61" s="1"/>
      <c r="R61" s="5">
        <f t="shared" si="32"/>
        <v>0.22049350564394346</v>
      </c>
      <c r="S61" s="1"/>
      <c r="T61" s="1">
        <f>SUM(OSRRefT22_5x_0)</f>
        <v>39187</v>
      </c>
      <c r="U61" s="1"/>
      <c r="V61" s="5">
        <f t="shared" si="33"/>
        <v>0.15682641320660329</v>
      </c>
      <c r="W61" s="1"/>
      <c r="X61" s="1">
        <f t="shared" si="34"/>
        <v>384.05000000000291</v>
      </c>
      <c r="Y61" s="1"/>
      <c r="Z61" s="5">
        <f t="shared" si="35"/>
        <v>9.8004440248042179E-3</v>
      </c>
    </row>
    <row r="62" spans="1:26" s="24" customFormat="1" hidden="1" outlineLevel="2" x14ac:dyDescent="0.25">
      <c r="A62" s="29"/>
      <c r="B62" s="11" t="str">
        <f>CONCATENATE("          ", "6321", " - ", "BUILDING DEPRECIATION")</f>
        <v xml:space="preserve">          6321 - BUILDING DEPRECIATION</v>
      </c>
      <c r="C62" s="11"/>
      <c r="D62" s="7">
        <v>24042.959999999999</v>
      </c>
      <c r="E62" s="2"/>
      <c r="F62" s="6">
        <f t="shared" si="28"/>
        <v>0.13396956958324599</v>
      </c>
      <c r="G62" s="2"/>
      <c r="H62" s="7">
        <v>23119</v>
      </c>
      <c r="I62" s="2"/>
      <c r="J62" s="6">
        <f t="shared" si="29"/>
        <v>9.2522261130565289E-2</v>
      </c>
      <c r="K62" s="2"/>
      <c r="L62" s="7">
        <f t="shared" si="30"/>
        <v>923.95999999999913</v>
      </c>
      <c r="M62" s="2"/>
      <c r="N62" s="6">
        <f t="shared" si="31"/>
        <v>3.9965396427181069E-2</v>
      </c>
      <c r="O62" s="11"/>
      <c r="P62" s="7">
        <v>24042.959999999999</v>
      </c>
      <c r="Q62" s="2"/>
      <c r="R62" s="6">
        <f t="shared" si="32"/>
        <v>0.13396956958324599</v>
      </c>
      <c r="S62" s="2"/>
      <c r="T62" s="7">
        <v>23119</v>
      </c>
      <c r="U62" s="2"/>
      <c r="V62" s="6">
        <f t="shared" si="33"/>
        <v>9.2522261130565289E-2</v>
      </c>
      <c r="W62" s="2"/>
      <c r="X62" s="7">
        <f t="shared" si="34"/>
        <v>923.95999999999913</v>
      </c>
      <c r="Y62" s="2"/>
      <c r="Z62" s="6">
        <f t="shared" si="35"/>
        <v>3.9965396427181069E-2</v>
      </c>
    </row>
    <row r="63" spans="1:26" s="24" customFormat="1" hidden="1" outlineLevel="2" x14ac:dyDescent="0.25">
      <c r="A63" s="29"/>
      <c r="B63" s="11" t="str">
        <f>CONCATENATE("          ", "6322", " - ", "EQUIPMENT DEPRECIATION EXPENSE")</f>
        <v xml:space="preserve">          6322 - EQUIPMENT DEPRECIATION EXPENSE</v>
      </c>
      <c r="C63" s="11"/>
      <c r="D63" s="7">
        <v>15103.84</v>
      </c>
      <c r="E63" s="2"/>
      <c r="F63" s="6">
        <f t="shared" si="28"/>
        <v>8.4159976303009879E-2</v>
      </c>
      <c r="G63" s="2"/>
      <c r="H63" s="7">
        <v>15301</v>
      </c>
      <c r="I63" s="2"/>
      <c r="J63" s="6">
        <f t="shared" si="29"/>
        <v>6.1234617308654329E-2</v>
      </c>
      <c r="K63" s="2"/>
      <c r="L63" s="7">
        <f t="shared" si="30"/>
        <v>-197.15999999999985</v>
      </c>
      <c r="M63" s="2"/>
      <c r="N63" s="6">
        <f t="shared" si="31"/>
        <v>-1.2885432324684651E-2</v>
      </c>
      <c r="O63" s="11"/>
      <c r="P63" s="7">
        <v>15103.84</v>
      </c>
      <c r="Q63" s="2"/>
      <c r="R63" s="6">
        <f t="shared" si="32"/>
        <v>8.4159976303009879E-2</v>
      </c>
      <c r="S63" s="2"/>
      <c r="T63" s="7">
        <v>15301</v>
      </c>
      <c r="U63" s="2"/>
      <c r="V63" s="6">
        <f t="shared" si="33"/>
        <v>6.1234617308654329E-2</v>
      </c>
      <c r="W63" s="2"/>
      <c r="X63" s="7">
        <f t="shared" si="34"/>
        <v>-197.15999999999985</v>
      </c>
      <c r="Y63" s="2"/>
      <c r="Z63" s="6">
        <f t="shared" si="35"/>
        <v>-1.2885432324684651E-2</v>
      </c>
    </row>
    <row r="64" spans="1:26" s="24" customFormat="1" hidden="1" outlineLevel="2" x14ac:dyDescent="0.25">
      <c r="A64" s="29"/>
      <c r="B64" s="11" t="str">
        <f>CONCATENATE("          ", "6324", " - ", "FURNITURE + FIXT DEPRECIATION")</f>
        <v xml:space="preserve">          6324 - FURNITURE + FIXT DEPRECIATION</v>
      </c>
      <c r="C64" s="11"/>
      <c r="D64" s="7"/>
      <c r="E64" s="2"/>
      <c r="F64" s="6">
        <f t="shared" si="28"/>
        <v>0</v>
      </c>
      <c r="G64" s="2"/>
      <c r="H64" s="7">
        <v>343</v>
      </c>
      <c r="I64" s="2"/>
      <c r="J64" s="6">
        <f t="shared" si="29"/>
        <v>1.3726863431715859E-3</v>
      </c>
      <c r="K64" s="2"/>
      <c r="L64" s="7">
        <f t="shared" si="30"/>
        <v>-343</v>
      </c>
      <c r="M64" s="2"/>
      <c r="N64" s="6">
        <f t="shared" si="31"/>
        <v>-1</v>
      </c>
      <c r="O64" s="11"/>
      <c r="P64" s="7"/>
      <c r="Q64" s="2"/>
      <c r="R64" s="6">
        <f t="shared" si="32"/>
        <v>0</v>
      </c>
      <c r="S64" s="2"/>
      <c r="T64" s="7">
        <v>343</v>
      </c>
      <c r="U64" s="2"/>
      <c r="V64" s="6">
        <f t="shared" si="33"/>
        <v>1.3726863431715859E-3</v>
      </c>
      <c r="W64" s="2"/>
      <c r="X64" s="7">
        <f t="shared" si="34"/>
        <v>-343</v>
      </c>
      <c r="Y64" s="2"/>
      <c r="Z64" s="6">
        <f t="shared" si="35"/>
        <v>-1</v>
      </c>
    </row>
    <row r="65" spans="1:26" s="24" customFormat="1" hidden="1" outlineLevel="2" x14ac:dyDescent="0.25">
      <c r="A65" s="29"/>
      <c r="B65" s="11" t="str">
        <f>CONCATENATE("          ", "6326", " - ", "VEHICLES DEPRECIATION EXPENSE")</f>
        <v xml:space="preserve">          6326 - VEHICLES DEPRECIATION EXPENSE</v>
      </c>
      <c r="C65" s="11"/>
      <c r="D65" s="7">
        <v>424.25</v>
      </c>
      <c r="E65" s="2"/>
      <c r="F65" s="6">
        <f t="shared" si="28"/>
        <v>2.3639597576875773E-3</v>
      </c>
      <c r="G65" s="2"/>
      <c r="H65" s="7">
        <v>424</v>
      </c>
      <c r="I65" s="2"/>
      <c r="J65" s="6">
        <f t="shared" si="29"/>
        <v>1.6968484242121061E-3</v>
      </c>
      <c r="K65" s="2"/>
      <c r="L65" s="7">
        <f t="shared" si="30"/>
        <v>0.25</v>
      </c>
      <c r="M65" s="2"/>
      <c r="N65" s="6">
        <f t="shared" si="31"/>
        <v>5.8962264150943394E-4</v>
      </c>
      <c r="O65" s="11"/>
      <c r="P65" s="7">
        <v>424.25</v>
      </c>
      <c r="Q65" s="2"/>
      <c r="R65" s="6">
        <f t="shared" si="32"/>
        <v>2.3639597576875773E-3</v>
      </c>
      <c r="S65" s="2"/>
      <c r="T65" s="7">
        <v>424</v>
      </c>
      <c r="U65" s="2"/>
      <c r="V65" s="6">
        <f t="shared" si="33"/>
        <v>1.6968484242121061E-3</v>
      </c>
      <c r="W65" s="2"/>
      <c r="X65" s="7">
        <f t="shared" si="34"/>
        <v>0.25</v>
      </c>
      <c r="Y65" s="2"/>
      <c r="Z65" s="6">
        <f t="shared" si="35"/>
        <v>5.8962264150943394E-4</v>
      </c>
    </row>
    <row r="66" spans="1:26" s="27" customFormat="1" outlineLevel="1" collapsed="1" x14ac:dyDescent="0.25">
      <c r="A66" s="28"/>
      <c r="B66" s="14" t="str">
        <f>CONCATENATE("     ","Employees' Appreciation                           ")</f>
        <v xml:space="preserve">     Employees' Appreciation                           </v>
      </c>
      <c r="C66" s="14"/>
      <c r="D66" s="1">
        <f>SUM(OSRRefD22_6x_0)</f>
        <v>109.76</v>
      </c>
      <c r="E66" s="1"/>
      <c r="F66" s="5">
        <f t="shared" ref="F66:F72" si="36">IF(D$12=0,0,D66/D$12)</f>
        <v>6.1159274720987275E-4</v>
      </c>
      <c r="G66" s="1"/>
      <c r="H66" s="1">
        <f>SUM(OSRRefH22_6x_0)</f>
        <v>365</v>
      </c>
      <c r="I66" s="1"/>
      <c r="J66" s="5">
        <f t="shared" ref="J66:J72" si="37">IF(H$12=0,0,H66/H$12)</f>
        <v>1.4607303651825913E-3</v>
      </c>
      <c r="K66" s="1"/>
      <c r="L66" s="1">
        <f t="shared" ref="L66:L72" si="38">+D66-H66</f>
        <v>-255.24</v>
      </c>
      <c r="M66" s="1"/>
      <c r="N66" s="5">
        <f t="shared" ref="N66:N72" si="39">IF(H66=0,0,L66/H66)</f>
        <v>-0.69928767123287672</v>
      </c>
      <c r="O66" s="14"/>
      <c r="P66" s="1">
        <f>SUM(OSRRefP22_6x_0)</f>
        <v>109.76</v>
      </c>
      <c r="Q66" s="1"/>
      <c r="R66" s="5">
        <f t="shared" ref="R66:R72" si="40">IF(P$12=0,0,P66/P$12)</f>
        <v>6.1159274720987275E-4</v>
      </c>
      <c r="S66" s="1"/>
      <c r="T66" s="1">
        <f>SUM(OSRRefT22_6x_0)</f>
        <v>365</v>
      </c>
      <c r="U66" s="1"/>
      <c r="V66" s="5">
        <f t="shared" ref="V66:V72" si="41">IF(T$12=0,0,T66/T$12)</f>
        <v>1.4607303651825913E-3</v>
      </c>
      <c r="W66" s="1"/>
      <c r="X66" s="1">
        <f t="shared" ref="X66:X72" si="42">+P66-T66</f>
        <v>-255.24</v>
      </c>
      <c r="Y66" s="1"/>
      <c r="Z66" s="5">
        <f t="shared" ref="Z66:Z72" si="43">IF(T66=0,0,X66/T66)</f>
        <v>-0.69928767123287672</v>
      </c>
    </row>
    <row r="67" spans="1:26" s="24" customFormat="1" hidden="1" outlineLevel="2" x14ac:dyDescent="0.25">
      <c r="A67" s="29"/>
      <c r="B67" s="11" t="str">
        <f>CONCATENATE("          ", "6277", " - ", "EMPLOYEE APPRECIATION")</f>
        <v xml:space="preserve">          6277 - EMPLOYEE APPRECIATION</v>
      </c>
      <c r="C67" s="11"/>
      <c r="D67" s="7">
        <v>109.76</v>
      </c>
      <c r="E67" s="2"/>
      <c r="F67" s="6">
        <f t="shared" si="36"/>
        <v>6.1159274720987275E-4</v>
      </c>
      <c r="G67" s="2"/>
      <c r="H67" s="7">
        <v>365</v>
      </c>
      <c r="I67" s="2"/>
      <c r="J67" s="6">
        <f t="shared" si="37"/>
        <v>1.4607303651825913E-3</v>
      </c>
      <c r="K67" s="2"/>
      <c r="L67" s="7">
        <f t="shared" si="38"/>
        <v>-255.24</v>
      </c>
      <c r="M67" s="2"/>
      <c r="N67" s="6">
        <f t="shared" si="39"/>
        <v>-0.69928767123287672</v>
      </c>
      <c r="O67" s="11"/>
      <c r="P67" s="7">
        <v>109.76</v>
      </c>
      <c r="Q67" s="2"/>
      <c r="R67" s="6">
        <f t="shared" si="40"/>
        <v>6.1159274720987275E-4</v>
      </c>
      <c r="S67" s="2"/>
      <c r="T67" s="7">
        <v>365</v>
      </c>
      <c r="U67" s="2"/>
      <c r="V67" s="6">
        <f t="shared" si="41"/>
        <v>1.4607303651825913E-3</v>
      </c>
      <c r="W67" s="2"/>
      <c r="X67" s="7">
        <f t="shared" si="42"/>
        <v>-255.24</v>
      </c>
      <c r="Y67" s="2"/>
      <c r="Z67" s="6">
        <f t="shared" si="43"/>
        <v>-0.69928767123287672</v>
      </c>
    </row>
    <row r="68" spans="1:26" s="27" customFormat="1" outlineLevel="1" collapsed="1" x14ac:dyDescent="0.25">
      <c r="A68" s="28"/>
      <c r="B68" s="14" t="str">
        <f>CONCATENATE("     ","Equipment Rental                                  ")</f>
        <v xml:space="preserve">     Equipment Rental                                  </v>
      </c>
      <c r="C68" s="14"/>
      <c r="D68" s="1">
        <f>SUM(OSRRefD22_7x_0)</f>
        <v>1538.01</v>
      </c>
      <c r="E68" s="1"/>
      <c r="F68" s="5">
        <f t="shared" si="36"/>
        <v>8.5699322260956289E-3</v>
      </c>
      <c r="G68" s="1"/>
      <c r="H68" s="1">
        <f>SUM(OSRRefH22_7x_0)</f>
        <v>1790</v>
      </c>
      <c r="I68" s="1"/>
      <c r="J68" s="5">
        <f t="shared" si="37"/>
        <v>7.1635817908954477E-3</v>
      </c>
      <c r="K68" s="1"/>
      <c r="L68" s="1">
        <f t="shared" si="38"/>
        <v>-251.99</v>
      </c>
      <c r="M68" s="1"/>
      <c r="N68" s="5">
        <f t="shared" si="39"/>
        <v>-0.14077653631284917</v>
      </c>
      <c r="O68" s="14"/>
      <c r="P68" s="1">
        <f>SUM(OSRRefP22_7x_0)</f>
        <v>1538.01</v>
      </c>
      <c r="Q68" s="1"/>
      <c r="R68" s="5">
        <f t="shared" si="40"/>
        <v>8.5699322260956289E-3</v>
      </c>
      <c r="S68" s="1"/>
      <c r="T68" s="1">
        <f>SUM(OSRRefT22_7x_0)</f>
        <v>1790</v>
      </c>
      <c r="U68" s="1"/>
      <c r="V68" s="5">
        <f t="shared" si="41"/>
        <v>7.1635817908954477E-3</v>
      </c>
      <c r="W68" s="1"/>
      <c r="X68" s="1">
        <f t="shared" si="42"/>
        <v>-251.99</v>
      </c>
      <c r="Y68" s="1"/>
      <c r="Z68" s="5">
        <f t="shared" si="43"/>
        <v>-0.14077653631284917</v>
      </c>
    </row>
    <row r="69" spans="1:26" s="24" customFormat="1" hidden="1" outlineLevel="2" x14ac:dyDescent="0.25">
      <c r="A69" s="29"/>
      <c r="B69" s="11" t="str">
        <f>CONCATENATE("          ", "6351", " - ", "EQUIPMENT RENTAL")</f>
        <v xml:space="preserve">          6351 - EQUIPMENT RENTAL</v>
      </c>
      <c r="C69" s="11"/>
      <c r="D69" s="7">
        <v>1538.01</v>
      </c>
      <c r="E69" s="2"/>
      <c r="F69" s="6">
        <f t="shared" si="36"/>
        <v>8.5699322260956289E-3</v>
      </c>
      <c r="G69" s="2"/>
      <c r="H69" s="7">
        <v>1790</v>
      </c>
      <c r="I69" s="2"/>
      <c r="J69" s="6">
        <f t="shared" si="37"/>
        <v>7.1635817908954477E-3</v>
      </c>
      <c r="K69" s="2"/>
      <c r="L69" s="7">
        <f t="shared" si="38"/>
        <v>-251.99</v>
      </c>
      <c r="M69" s="2"/>
      <c r="N69" s="6">
        <f t="shared" si="39"/>
        <v>-0.14077653631284917</v>
      </c>
      <c r="O69" s="11"/>
      <c r="P69" s="7">
        <v>1538.01</v>
      </c>
      <c r="Q69" s="2"/>
      <c r="R69" s="6">
        <f t="shared" si="40"/>
        <v>8.5699322260956289E-3</v>
      </c>
      <c r="S69" s="2"/>
      <c r="T69" s="7">
        <v>1790</v>
      </c>
      <c r="U69" s="2"/>
      <c r="V69" s="6">
        <f t="shared" si="41"/>
        <v>7.1635817908954477E-3</v>
      </c>
      <c r="W69" s="2"/>
      <c r="X69" s="7">
        <f t="shared" si="42"/>
        <v>-251.99</v>
      </c>
      <c r="Y69" s="2"/>
      <c r="Z69" s="6">
        <f t="shared" si="43"/>
        <v>-0.14077653631284917</v>
      </c>
    </row>
    <row r="70" spans="1:26" s="27" customFormat="1" outlineLevel="1" collapsed="1" x14ac:dyDescent="0.25">
      <c r="A70" s="28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SUM(OSRRefD22_8x_0)</f>
        <v>17613.05</v>
      </c>
      <c r="E70" s="1"/>
      <c r="F70" s="5">
        <f t="shared" si="36"/>
        <v>9.8141523653834259E-2</v>
      </c>
      <c r="G70" s="1"/>
      <c r="H70" s="1">
        <f>SUM(OSRRefH22_8x_0)</f>
        <v>10650</v>
      </c>
      <c r="I70" s="1"/>
      <c r="J70" s="5">
        <f t="shared" si="37"/>
        <v>4.2621310655327663E-2</v>
      </c>
      <c r="K70" s="1"/>
      <c r="L70" s="1">
        <f t="shared" si="38"/>
        <v>6963.0499999999993</v>
      </c>
      <c r="M70" s="1"/>
      <c r="N70" s="5">
        <f t="shared" si="39"/>
        <v>0.65380751173708918</v>
      </c>
      <c r="O70" s="14"/>
      <c r="P70" s="1">
        <f>SUM(OSRRefP22_8x_0)</f>
        <v>17613.05</v>
      </c>
      <c r="Q70" s="1"/>
      <c r="R70" s="5">
        <f t="shared" si="40"/>
        <v>9.8141523653834259E-2</v>
      </c>
      <c r="S70" s="1"/>
      <c r="T70" s="1">
        <f>SUM(OSRRefT22_8x_0)</f>
        <v>10650</v>
      </c>
      <c r="U70" s="1"/>
      <c r="V70" s="5">
        <f t="shared" si="41"/>
        <v>4.2621310655327663E-2</v>
      </c>
      <c r="W70" s="1"/>
      <c r="X70" s="1">
        <f t="shared" si="42"/>
        <v>6963.0499999999993</v>
      </c>
      <c r="Y70" s="1"/>
      <c r="Z70" s="5">
        <f t="shared" si="43"/>
        <v>0.65380751173708918</v>
      </c>
    </row>
    <row r="71" spans="1:26" s="24" customFormat="1" hidden="1" outlineLevel="2" x14ac:dyDescent="0.25">
      <c r="A71" s="29"/>
      <c r="B71" s="11" t="str">
        <f>CONCATENATE("          ", "6269", " - ", "ENTERTAINMENT")</f>
        <v xml:space="preserve">          6269 - ENTERTAINMENT</v>
      </c>
      <c r="C71" s="11"/>
      <c r="D71" s="7"/>
      <c r="E71" s="2"/>
      <c r="F71" s="6">
        <f t="shared" si="36"/>
        <v>0</v>
      </c>
      <c r="G71" s="2"/>
      <c r="H71" s="7">
        <v>1150</v>
      </c>
      <c r="I71" s="2"/>
      <c r="J71" s="6">
        <f t="shared" si="37"/>
        <v>4.602301150575288E-3</v>
      </c>
      <c r="K71" s="2"/>
      <c r="L71" s="7">
        <f t="shared" si="38"/>
        <v>-1150</v>
      </c>
      <c r="M71" s="2"/>
      <c r="N71" s="6">
        <f t="shared" si="39"/>
        <v>-1</v>
      </c>
      <c r="O71" s="11"/>
      <c r="P71" s="7"/>
      <c r="Q71" s="2"/>
      <c r="R71" s="6">
        <f t="shared" si="40"/>
        <v>0</v>
      </c>
      <c r="S71" s="2"/>
      <c r="T71" s="7">
        <v>1150</v>
      </c>
      <c r="U71" s="2"/>
      <c r="V71" s="6">
        <f t="shared" si="41"/>
        <v>4.602301150575288E-3</v>
      </c>
      <c r="W71" s="2"/>
      <c r="X71" s="7">
        <f t="shared" si="42"/>
        <v>-1150</v>
      </c>
      <c r="Y71" s="2"/>
      <c r="Z71" s="6">
        <f t="shared" si="43"/>
        <v>-1</v>
      </c>
    </row>
    <row r="72" spans="1:26" s="24" customFormat="1" hidden="1" outlineLevel="2" x14ac:dyDescent="0.25">
      <c r="A72" s="29"/>
      <c r="B72" s="11" t="str">
        <f>CONCATENATE("          ", "6279", " - ", "GENERAL EXPENSE")</f>
        <v xml:space="preserve">          6279 - GENERAL EXPENSE</v>
      </c>
      <c r="C72" s="11"/>
      <c r="D72" s="7">
        <v>17613.05</v>
      </c>
      <c r="E72" s="2"/>
      <c r="F72" s="6">
        <f t="shared" si="36"/>
        <v>9.8141523653834259E-2</v>
      </c>
      <c r="G72" s="2"/>
      <c r="H72" s="7">
        <v>9500</v>
      </c>
      <c r="I72" s="2"/>
      <c r="J72" s="6">
        <f t="shared" si="37"/>
        <v>3.8019009504752378E-2</v>
      </c>
      <c r="K72" s="2"/>
      <c r="L72" s="7">
        <f t="shared" si="38"/>
        <v>8113.0499999999993</v>
      </c>
      <c r="M72" s="2"/>
      <c r="N72" s="6">
        <f t="shared" si="39"/>
        <v>0.85400526315789471</v>
      </c>
      <c r="O72" s="11"/>
      <c r="P72" s="7">
        <v>17613.05</v>
      </c>
      <c r="Q72" s="2"/>
      <c r="R72" s="6">
        <f t="shared" si="40"/>
        <v>9.8141523653834259E-2</v>
      </c>
      <c r="S72" s="2"/>
      <c r="T72" s="7">
        <v>9500</v>
      </c>
      <c r="U72" s="2"/>
      <c r="V72" s="6">
        <f t="shared" si="41"/>
        <v>3.8019009504752378E-2</v>
      </c>
      <c r="W72" s="2"/>
      <c r="X72" s="7">
        <f t="shared" si="42"/>
        <v>8113.0499999999993</v>
      </c>
      <c r="Y72" s="2"/>
      <c r="Z72" s="6">
        <f t="shared" si="43"/>
        <v>0.85400526315789471</v>
      </c>
    </row>
    <row r="73" spans="1:26" s="27" customFormat="1" outlineLevel="1" collapsed="1" x14ac:dyDescent="0.25">
      <c r="A73" s="28"/>
      <c r="B73" s="14" t="str">
        <f>CONCATENATE("     ","Insurance                                         ")</f>
        <v xml:space="preserve">     Insurance                                         </v>
      </c>
      <c r="C73" s="14"/>
      <c r="D73" s="1">
        <f>SUM(OSRRefD22_9x_0)</f>
        <v>4240.13</v>
      </c>
      <c r="E73" s="1"/>
      <c r="F73" s="5">
        <f t="shared" ref="F73:F83" si="44">IF(D$12=0,0,D73/D$12)</f>
        <v>2.3626391720362589E-2</v>
      </c>
      <c r="G73" s="1"/>
      <c r="H73" s="1">
        <f>SUM(OSRRefH22_9x_0)</f>
        <v>4004</v>
      </c>
      <c r="I73" s="1"/>
      <c r="J73" s="5">
        <f t="shared" ref="J73:J83" si="45">IF(H$12=0,0,H73/H$12)</f>
        <v>1.6024012006003001E-2</v>
      </c>
      <c r="K73" s="1"/>
      <c r="L73" s="1">
        <f t="shared" ref="L73:L83" si="46">+D73-H73</f>
        <v>236.13000000000011</v>
      </c>
      <c r="M73" s="1"/>
      <c r="N73" s="5">
        <f t="shared" ref="N73:N83" si="47">IF(H73=0,0,L73/H73)</f>
        <v>5.8973526473526501E-2</v>
      </c>
      <c r="O73" s="14"/>
      <c r="P73" s="1">
        <f>SUM(OSRRefP22_9x_0)</f>
        <v>4240.13</v>
      </c>
      <c r="Q73" s="1"/>
      <c r="R73" s="5">
        <f t="shared" ref="R73:R83" si="48">IF(P$12=0,0,P73/P$12)</f>
        <v>2.3626391720362589E-2</v>
      </c>
      <c r="S73" s="1"/>
      <c r="T73" s="1">
        <f>SUM(OSRRefT22_9x_0)</f>
        <v>4004</v>
      </c>
      <c r="U73" s="1"/>
      <c r="V73" s="5">
        <f t="shared" ref="V73:V83" si="49">IF(T$12=0,0,T73/T$12)</f>
        <v>1.6024012006003001E-2</v>
      </c>
      <c r="W73" s="1"/>
      <c r="X73" s="1">
        <f t="shared" ref="X73:X83" si="50">+P73-T73</f>
        <v>236.13000000000011</v>
      </c>
      <c r="Y73" s="1"/>
      <c r="Z73" s="5">
        <f t="shared" ref="Z73:Z83" si="51">IF(T73=0,0,X73/T73)</f>
        <v>5.8973526473526501E-2</v>
      </c>
    </row>
    <row r="74" spans="1:26" s="24" customFormat="1" hidden="1" outlineLevel="2" x14ac:dyDescent="0.25">
      <c r="A74" s="29"/>
      <c r="B74" s="11" t="str">
        <f>CONCATENATE("          ", "6314", " - ", "LIABILITY INSURANCE")</f>
        <v xml:space="preserve">          6314 - LIABILITY INSURANCE</v>
      </c>
      <c r="C74" s="11"/>
      <c r="D74" s="7">
        <v>4240.13</v>
      </c>
      <c r="E74" s="2"/>
      <c r="F74" s="6">
        <f t="shared" si="44"/>
        <v>2.3626391720362589E-2</v>
      </c>
      <c r="G74" s="2"/>
      <c r="H74" s="7">
        <v>4004</v>
      </c>
      <c r="I74" s="2"/>
      <c r="J74" s="6">
        <f t="shared" si="45"/>
        <v>1.6024012006003001E-2</v>
      </c>
      <c r="K74" s="2"/>
      <c r="L74" s="7">
        <f t="shared" si="46"/>
        <v>236.13000000000011</v>
      </c>
      <c r="M74" s="2"/>
      <c r="N74" s="6">
        <f t="shared" si="47"/>
        <v>5.8973526473526501E-2</v>
      </c>
      <c r="O74" s="11"/>
      <c r="P74" s="7">
        <v>4240.13</v>
      </c>
      <c r="Q74" s="2"/>
      <c r="R74" s="6">
        <f t="shared" si="48"/>
        <v>2.3626391720362589E-2</v>
      </c>
      <c r="S74" s="2"/>
      <c r="T74" s="7">
        <v>4004</v>
      </c>
      <c r="U74" s="2"/>
      <c r="V74" s="6">
        <f t="shared" si="49"/>
        <v>1.6024012006003001E-2</v>
      </c>
      <c r="W74" s="2"/>
      <c r="X74" s="7">
        <f t="shared" si="50"/>
        <v>236.13000000000011</v>
      </c>
      <c r="Y74" s="2"/>
      <c r="Z74" s="6">
        <f t="shared" si="51"/>
        <v>5.8973526473526501E-2</v>
      </c>
    </row>
    <row r="75" spans="1:26" s="27" customFormat="1" outlineLevel="1" collapsed="1" x14ac:dyDescent="0.25">
      <c r="A75" s="28"/>
      <c r="B75" s="14" t="str">
        <f>CONCATENATE("     ","Interest                                          ")</f>
        <v xml:space="preserve">     Interest                                          </v>
      </c>
      <c r="C75" s="14"/>
      <c r="D75" s="1">
        <f>SUM(OSRRefD22_10x_0)</f>
        <v>7630</v>
      </c>
      <c r="E75" s="1"/>
      <c r="F75" s="5">
        <f t="shared" si="44"/>
        <v>4.2515057044563855E-2</v>
      </c>
      <c r="G75" s="1"/>
      <c r="H75" s="1">
        <f>SUM(OSRRefH22_10x_0)</f>
        <v>7754</v>
      </c>
      <c r="I75" s="1"/>
      <c r="J75" s="5">
        <f t="shared" si="45"/>
        <v>3.1031515757878939E-2</v>
      </c>
      <c r="K75" s="1"/>
      <c r="L75" s="1">
        <f t="shared" si="46"/>
        <v>-124</v>
      </c>
      <c r="M75" s="1"/>
      <c r="N75" s="5">
        <f t="shared" si="47"/>
        <v>-1.5991746195511993E-2</v>
      </c>
      <c r="O75" s="14"/>
      <c r="P75" s="1">
        <f>SUM(OSRRefP22_10x_0)</f>
        <v>7630</v>
      </c>
      <c r="Q75" s="1"/>
      <c r="R75" s="5">
        <f t="shared" si="48"/>
        <v>4.2515057044563855E-2</v>
      </c>
      <c r="S75" s="1"/>
      <c r="T75" s="1">
        <f>SUM(OSRRefT22_10x_0)</f>
        <v>7754</v>
      </c>
      <c r="U75" s="1"/>
      <c r="V75" s="5">
        <f t="shared" si="49"/>
        <v>3.1031515757878939E-2</v>
      </c>
      <c r="W75" s="1"/>
      <c r="X75" s="1">
        <f t="shared" si="50"/>
        <v>-124</v>
      </c>
      <c r="Y75" s="1"/>
      <c r="Z75" s="5">
        <f t="shared" si="51"/>
        <v>-1.5991746195511993E-2</v>
      </c>
    </row>
    <row r="76" spans="1:26" s="24" customFormat="1" hidden="1" outlineLevel="2" x14ac:dyDescent="0.25">
      <c r="A76" s="29"/>
      <c r="B76" s="11" t="str">
        <f>CONCATENATE("          ", "6401", " - ", "INTEREST EXPENSE")</f>
        <v xml:space="preserve">          6401 - INTEREST EXPENSE</v>
      </c>
      <c r="C76" s="11"/>
      <c r="D76" s="7">
        <v>7630</v>
      </c>
      <c r="E76" s="2"/>
      <c r="F76" s="6">
        <f t="shared" si="44"/>
        <v>4.2515057044563855E-2</v>
      </c>
      <c r="G76" s="2"/>
      <c r="H76" s="7">
        <v>7754</v>
      </c>
      <c r="I76" s="2"/>
      <c r="J76" s="6">
        <f t="shared" si="45"/>
        <v>3.1031515757878939E-2</v>
      </c>
      <c r="K76" s="2"/>
      <c r="L76" s="7">
        <f t="shared" si="46"/>
        <v>-124</v>
      </c>
      <c r="M76" s="2"/>
      <c r="N76" s="6">
        <f t="shared" si="47"/>
        <v>-1.5991746195511993E-2</v>
      </c>
      <c r="O76" s="11"/>
      <c r="P76" s="7">
        <v>7630</v>
      </c>
      <c r="Q76" s="2"/>
      <c r="R76" s="6">
        <f t="shared" si="48"/>
        <v>4.2515057044563855E-2</v>
      </c>
      <c r="S76" s="2"/>
      <c r="T76" s="7">
        <v>7754</v>
      </c>
      <c r="U76" s="2"/>
      <c r="V76" s="6">
        <f t="shared" si="49"/>
        <v>3.1031515757878939E-2</v>
      </c>
      <c r="W76" s="2"/>
      <c r="X76" s="7">
        <f t="shared" si="50"/>
        <v>-124</v>
      </c>
      <c r="Y76" s="2"/>
      <c r="Z76" s="6">
        <f t="shared" si="51"/>
        <v>-1.5991746195511993E-2</v>
      </c>
    </row>
    <row r="77" spans="1:26" s="27" customFormat="1" outlineLevel="1" collapsed="1" x14ac:dyDescent="0.25">
      <c r="A77" s="28"/>
      <c r="B77" s="14" t="str">
        <f>CONCATENATE("     ","Rent                                              ")</f>
        <v xml:space="preserve">     Rent                                              </v>
      </c>
      <c r="C77" s="14"/>
      <c r="D77" s="1">
        <f>SUM(OSRRefD22_11x_0)</f>
        <v>1850</v>
      </c>
      <c r="E77" s="1"/>
      <c r="F77" s="5">
        <f t="shared" si="44"/>
        <v>1.0308369008183898E-2</v>
      </c>
      <c r="G77" s="1"/>
      <c r="H77" s="1">
        <f>SUM(OSRRefH22_11x_0)</f>
        <v>1850</v>
      </c>
      <c r="I77" s="1"/>
      <c r="J77" s="5">
        <f t="shared" si="45"/>
        <v>7.4037018509254624E-3</v>
      </c>
      <c r="K77" s="1"/>
      <c r="L77" s="1">
        <f t="shared" si="46"/>
        <v>0</v>
      </c>
      <c r="M77" s="1"/>
      <c r="N77" s="5">
        <f t="shared" si="47"/>
        <v>0</v>
      </c>
      <c r="O77" s="14"/>
      <c r="P77" s="1">
        <f>SUM(OSRRefP22_11x_0)</f>
        <v>1850</v>
      </c>
      <c r="Q77" s="1"/>
      <c r="R77" s="5">
        <f t="shared" si="48"/>
        <v>1.0308369008183898E-2</v>
      </c>
      <c r="S77" s="1"/>
      <c r="T77" s="1">
        <f>SUM(OSRRefT22_11x_0)</f>
        <v>1850</v>
      </c>
      <c r="U77" s="1"/>
      <c r="V77" s="5">
        <f t="shared" si="49"/>
        <v>7.4037018509254624E-3</v>
      </c>
      <c r="W77" s="1"/>
      <c r="X77" s="1">
        <f t="shared" si="50"/>
        <v>0</v>
      </c>
      <c r="Y77" s="1"/>
      <c r="Z77" s="5">
        <f t="shared" si="51"/>
        <v>0</v>
      </c>
    </row>
    <row r="78" spans="1:26" s="24" customFormat="1" hidden="1" outlineLevel="2" x14ac:dyDescent="0.25">
      <c r="A78" s="29"/>
      <c r="B78" s="11" t="str">
        <f>CONCATENATE("          ", "6273", " - ", "RENT")</f>
        <v xml:space="preserve">          6273 - RENT</v>
      </c>
      <c r="C78" s="11"/>
      <c r="D78" s="7">
        <v>1850</v>
      </c>
      <c r="E78" s="2"/>
      <c r="F78" s="6">
        <f t="shared" si="44"/>
        <v>1.0308369008183898E-2</v>
      </c>
      <c r="G78" s="2"/>
      <c r="H78" s="7">
        <v>1850</v>
      </c>
      <c r="I78" s="2"/>
      <c r="J78" s="6">
        <f t="shared" si="45"/>
        <v>7.4037018509254624E-3</v>
      </c>
      <c r="K78" s="2"/>
      <c r="L78" s="7">
        <f t="shared" si="46"/>
        <v>0</v>
      </c>
      <c r="M78" s="2"/>
      <c r="N78" s="6">
        <f t="shared" si="47"/>
        <v>0</v>
      </c>
      <c r="O78" s="11"/>
      <c r="P78" s="7">
        <v>1850</v>
      </c>
      <c r="Q78" s="2"/>
      <c r="R78" s="6">
        <f t="shared" si="48"/>
        <v>1.0308369008183898E-2</v>
      </c>
      <c r="S78" s="2"/>
      <c r="T78" s="7">
        <v>1850</v>
      </c>
      <c r="U78" s="2"/>
      <c r="V78" s="6">
        <f t="shared" si="49"/>
        <v>7.4037018509254624E-3</v>
      </c>
      <c r="W78" s="2"/>
      <c r="X78" s="7">
        <f t="shared" si="50"/>
        <v>0</v>
      </c>
      <c r="Y78" s="2"/>
      <c r="Z78" s="6">
        <f t="shared" si="51"/>
        <v>0</v>
      </c>
    </row>
    <row r="79" spans="1:26" s="27" customFormat="1" outlineLevel="1" collapsed="1" x14ac:dyDescent="0.25">
      <c r="A79" s="28"/>
      <c r="B79" s="14" t="str">
        <f>CONCATENATE("     ","Repair and Maintenance                            ")</f>
        <v xml:space="preserve">     Repair and Maintenance                            </v>
      </c>
      <c r="C79" s="14"/>
      <c r="D79" s="1">
        <f>SUM(OSRRefD22_12x_0)</f>
        <v>25867.550000000003</v>
      </c>
      <c r="E79" s="1"/>
      <c r="F79" s="5">
        <f t="shared" si="44"/>
        <v>0.14413635175007966</v>
      </c>
      <c r="G79" s="1"/>
      <c r="H79" s="1">
        <f>SUM(OSRRefH22_12x_0)</f>
        <v>18175</v>
      </c>
      <c r="I79" s="1"/>
      <c r="J79" s="5">
        <f t="shared" si="45"/>
        <v>7.2736368184092043E-2</v>
      </c>
      <c r="K79" s="1"/>
      <c r="L79" s="1">
        <f t="shared" si="46"/>
        <v>7692.5500000000029</v>
      </c>
      <c r="M79" s="1"/>
      <c r="N79" s="5">
        <f t="shared" si="47"/>
        <v>0.42324896836313636</v>
      </c>
      <c r="O79" s="14"/>
      <c r="P79" s="1">
        <f>SUM(OSRRefP22_12x_0)</f>
        <v>25867.550000000003</v>
      </c>
      <c r="Q79" s="1"/>
      <c r="R79" s="5">
        <f t="shared" si="48"/>
        <v>0.14413635175007966</v>
      </c>
      <c r="S79" s="1"/>
      <c r="T79" s="1">
        <f>SUM(OSRRefT22_12x_0)</f>
        <v>18175</v>
      </c>
      <c r="U79" s="1"/>
      <c r="V79" s="5">
        <f t="shared" si="49"/>
        <v>7.2736368184092043E-2</v>
      </c>
      <c r="W79" s="1"/>
      <c r="X79" s="1">
        <f t="shared" si="50"/>
        <v>7692.5500000000029</v>
      </c>
      <c r="Y79" s="1"/>
      <c r="Z79" s="5">
        <f t="shared" si="51"/>
        <v>0.42324896836313636</v>
      </c>
    </row>
    <row r="80" spans="1:26" s="24" customFormat="1" hidden="1" outlineLevel="2" x14ac:dyDescent="0.25">
      <c r="A80" s="29"/>
      <c r="B80" s="11" t="str">
        <f>CONCATENATE("          ", "6371", " - ", "COMPUTER SOFTWARE MAINTENANCE")</f>
        <v xml:space="preserve">          6371 - COMPUTER SOFTWARE MAINTENANCE</v>
      </c>
      <c r="C80" s="11"/>
      <c r="D80" s="7"/>
      <c r="E80" s="2"/>
      <c r="F80" s="6">
        <f t="shared" si="44"/>
        <v>0</v>
      </c>
      <c r="G80" s="2"/>
      <c r="H80" s="7">
        <v>550</v>
      </c>
      <c r="I80" s="2"/>
      <c r="J80" s="6">
        <f t="shared" si="45"/>
        <v>2.2011005502751376E-3</v>
      </c>
      <c r="K80" s="2"/>
      <c r="L80" s="7">
        <f t="shared" si="46"/>
        <v>-550</v>
      </c>
      <c r="M80" s="2"/>
      <c r="N80" s="6">
        <f t="shared" si="47"/>
        <v>-1</v>
      </c>
      <c r="O80" s="11"/>
      <c r="P80" s="7"/>
      <c r="Q80" s="2"/>
      <c r="R80" s="6">
        <f t="shared" si="48"/>
        <v>0</v>
      </c>
      <c r="S80" s="2"/>
      <c r="T80" s="7">
        <v>550</v>
      </c>
      <c r="U80" s="2"/>
      <c r="V80" s="6">
        <f t="shared" si="49"/>
        <v>2.2011005502751376E-3</v>
      </c>
      <c r="W80" s="2"/>
      <c r="X80" s="7">
        <f t="shared" si="50"/>
        <v>-550</v>
      </c>
      <c r="Y80" s="2"/>
      <c r="Z80" s="6">
        <f t="shared" si="51"/>
        <v>-1</v>
      </c>
    </row>
    <row r="81" spans="1:26" s="24" customFormat="1" hidden="1" outlineLevel="2" x14ac:dyDescent="0.25">
      <c r="A81" s="29"/>
      <c r="B81" s="11" t="str">
        <f>CONCATENATE("          ", "6372", " - ", "COMPUTER HARDWARE MAINTENANCE")</f>
        <v xml:space="preserve">          6372 - COMPUTER HARDWARE MAINTENANCE</v>
      </c>
      <c r="C81" s="11"/>
      <c r="D81" s="7"/>
      <c r="E81" s="2"/>
      <c r="F81" s="6">
        <f t="shared" si="44"/>
        <v>0</v>
      </c>
      <c r="G81" s="2"/>
      <c r="H81" s="7">
        <v>200</v>
      </c>
      <c r="I81" s="2"/>
      <c r="J81" s="6">
        <f t="shared" si="45"/>
        <v>8.0040020010005008E-4</v>
      </c>
      <c r="K81" s="2"/>
      <c r="L81" s="7">
        <f t="shared" si="46"/>
        <v>-200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200</v>
      </c>
      <c r="U81" s="2"/>
      <c r="V81" s="6">
        <f t="shared" si="49"/>
        <v>8.0040020010005008E-4</v>
      </c>
      <c r="W81" s="2"/>
      <c r="X81" s="7">
        <f t="shared" si="50"/>
        <v>-200</v>
      </c>
      <c r="Y81" s="2"/>
      <c r="Z81" s="6">
        <f t="shared" si="51"/>
        <v>-1</v>
      </c>
    </row>
    <row r="82" spans="1:26" s="24" customFormat="1" hidden="1" outlineLevel="2" x14ac:dyDescent="0.25">
      <c r="A82" s="29"/>
      <c r="B82" s="11" t="str">
        <f>CONCATENATE("          ", "6373", " - ", "MAINTENANCE CONTRACTS")</f>
        <v xml:space="preserve">          6373 - MAINTENANCE CONTRACTS</v>
      </c>
      <c r="C82" s="11"/>
      <c r="D82" s="7">
        <v>6028.88</v>
      </c>
      <c r="E82" s="2"/>
      <c r="F82" s="6">
        <f t="shared" si="44"/>
        <v>3.359347013300526E-2</v>
      </c>
      <c r="G82" s="2"/>
      <c r="H82" s="7">
        <v>2200</v>
      </c>
      <c r="I82" s="2"/>
      <c r="J82" s="6">
        <f t="shared" si="45"/>
        <v>8.8044022011005505E-3</v>
      </c>
      <c r="K82" s="2"/>
      <c r="L82" s="7">
        <f t="shared" si="46"/>
        <v>3828.88</v>
      </c>
      <c r="M82" s="2"/>
      <c r="N82" s="6">
        <f t="shared" si="47"/>
        <v>1.7403999999999999</v>
      </c>
      <c r="O82" s="11"/>
      <c r="P82" s="7">
        <v>6028.88</v>
      </c>
      <c r="Q82" s="2"/>
      <c r="R82" s="6">
        <f t="shared" si="48"/>
        <v>3.359347013300526E-2</v>
      </c>
      <c r="S82" s="2"/>
      <c r="T82" s="7">
        <v>2200</v>
      </c>
      <c r="U82" s="2"/>
      <c r="V82" s="6">
        <f t="shared" si="49"/>
        <v>8.8044022011005505E-3</v>
      </c>
      <c r="W82" s="2"/>
      <c r="X82" s="7">
        <f t="shared" si="50"/>
        <v>3828.88</v>
      </c>
      <c r="Y82" s="2"/>
      <c r="Z82" s="6">
        <f t="shared" si="51"/>
        <v>1.7403999999999999</v>
      </c>
    </row>
    <row r="83" spans="1:26" s="24" customFormat="1" hidden="1" outlineLevel="2" x14ac:dyDescent="0.25">
      <c r="A83" s="29"/>
      <c r="B83" s="11" t="str">
        <f>CONCATENATE("          ", "6375", " - ", "OUTSIDE REPAIRS &amp; MAINTENANCE")</f>
        <v xml:space="preserve">          6375 - OUTSIDE REPAIRS &amp; MAINTENANCE</v>
      </c>
      <c r="C83" s="11"/>
      <c r="D83" s="7">
        <v>19838.670000000002</v>
      </c>
      <c r="E83" s="2"/>
      <c r="F83" s="6">
        <f t="shared" si="44"/>
        <v>0.1105428816170744</v>
      </c>
      <c r="G83" s="2"/>
      <c r="H83" s="7">
        <v>15225</v>
      </c>
      <c r="I83" s="2"/>
      <c r="J83" s="6">
        <f t="shared" si="45"/>
        <v>6.0930465232616311E-2</v>
      </c>
      <c r="K83" s="2"/>
      <c r="L83" s="7">
        <f t="shared" si="46"/>
        <v>4613.6700000000019</v>
      </c>
      <c r="M83" s="2"/>
      <c r="N83" s="6">
        <f t="shared" si="47"/>
        <v>0.30303251231527106</v>
      </c>
      <c r="O83" s="11"/>
      <c r="P83" s="7">
        <v>19838.670000000002</v>
      </c>
      <c r="Q83" s="2"/>
      <c r="R83" s="6">
        <f t="shared" si="48"/>
        <v>0.1105428816170744</v>
      </c>
      <c r="S83" s="2"/>
      <c r="T83" s="7">
        <v>15225</v>
      </c>
      <c r="U83" s="2"/>
      <c r="V83" s="6">
        <f t="shared" si="49"/>
        <v>6.0930465232616311E-2</v>
      </c>
      <c r="W83" s="2"/>
      <c r="X83" s="7">
        <f t="shared" si="50"/>
        <v>4613.6700000000019</v>
      </c>
      <c r="Y83" s="2"/>
      <c r="Z83" s="6">
        <f t="shared" si="51"/>
        <v>0.30303251231527106</v>
      </c>
    </row>
    <row r="84" spans="1:26" s="27" customFormat="1" outlineLevel="1" collapsed="1" x14ac:dyDescent="0.25">
      <c r="A84" s="28"/>
      <c r="B84" s="14" t="str">
        <f>CONCATENATE("     ","Royalty &amp; Commissions                             ")</f>
        <v xml:space="preserve">     Royalty &amp; Commissions                             </v>
      </c>
      <c r="C84" s="14"/>
      <c r="D84" s="1">
        <f>SUM(OSRRefD22_13x_0)</f>
        <v>16858.099999999999</v>
      </c>
      <c r="E84" s="1"/>
      <c r="F84" s="5">
        <f t="shared" ref="F84:F86" si="52">IF(D$12=0,0,D84/D$12)</f>
        <v>9.3934873284791859E-2</v>
      </c>
      <c r="G84" s="1"/>
      <c r="H84" s="1">
        <f>SUM(OSRRefH22_13x_0)</f>
        <v>9157</v>
      </c>
      <c r="I84" s="1"/>
      <c r="J84" s="5">
        <f t="shared" ref="J84:J86" si="53">IF(H$12=0,0,H84/H$12)</f>
        <v>3.6646323161580792E-2</v>
      </c>
      <c r="K84" s="1"/>
      <c r="L84" s="1">
        <f t="shared" ref="L84:L86" si="54">+D84-H84</f>
        <v>7701.0999999999985</v>
      </c>
      <c r="M84" s="1"/>
      <c r="N84" s="5">
        <f t="shared" ref="N84:N86" si="55">IF(H84=0,0,L84/H84)</f>
        <v>0.84100687998252688</v>
      </c>
      <c r="O84" s="14"/>
      <c r="P84" s="1">
        <f>SUM(OSRRefP22_13x_0)</f>
        <v>16858.099999999999</v>
      </c>
      <c r="Q84" s="1"/>
      <c r="R84" s="5">
        <f t="shared" ref="R84:R86" si="56">IF(P$12=0,0,P84/P$12)</f>
        <v>9.3934873284791859E-2</v>
      </c>
      <c r="S84" s="1"/>
      <c r="T84" s="1">
        <f>SUM(OSRRefT22_13x_0)</f>
        <v>9157</v>
      </c>
      <c r="U84" s="1"/>
      <c r="V84" s="5">
        <f t="shared" ref="V84:V86" si="57">IF(T$12=0,0,T84/T$12)</f>
        <v>3.6646323161580792E-2</v>
      </c>
      <c r="W84" s="1"/>
      <c r="X84" s="1">
        <f t="shared" ref="X84:X86" si="58">+P84-T84</f>
        <v>7701.0999999999985</v>
      </c>
      <c r="Y84" s="1"/>
      <c r="Z84" s="5">
        <f t="shared" ref="Z84:Z86" si="59">IF(T84=0,0,X84/T84)</f>
        <v>0.84100687998252688</v>
      </c>
    </row>
    <row r="85" spans="1:26" s="24" customFormat="1" hidden="1" outlineLevel="2" x14ac:dyDescent="0.25">
      <c r="A85" s="29"/>
      <c r="B85" s="11" t="str">
        <f>CONCATENATE("          ", "6254", " - ", "ROYALTY &amp; COMMISSIONS")</f>
        <v xml:space="preserve">          6254 - ROYALTY &amp; COMMISSIONS</v>
      </c>
      <c r="C85" s="11"/>
      <c r="D85" s="7">
        <v>13972.66</v>
      </c>
      <c r="E85" s="2"/>
      <c r="F85" s="6">
        <f t="shared" si="52"/>
        <v>7.7856938003184217E-2</v>
      </c>
      <c r="G85" s="2"/>
      <c r="H85" s="7">
        <v>4117</v>
      </c>
      <c r="I85" s="2"/>
      <c r="J85" s="6">
        <f t="shared" si="53"/>
        <v>1.647623811905953E-2</v>
      </c>
      <c r="K85" s="2"/>
      <c r="L85" s="7">
        <f t="shared" si="54"/>
        <v>9855.66</v>
      </c>
      <c r="M85" s="2"/>
      <c r="N85" s="6">
        <f t="shared" si="55"/>
        <v>2.3938936118532914</v>
      </c>
      <c r="O85" s="11"/>
      <c r="P85" s="7">
        <v>13972.66</v>
      </c>
      <c r="Q85" s="2"/>
      <c r="R85" s="6">
        <f t="shared" si="56"/>
        <v>7.7856938003184217E-2</v>
      </c>
      <c r="S85" s="2"/>
      <c r="T85" s="7">
        <v>4117</v>
      </c>
      <c r="U85" s="2"/>
      <c r="V85" s="6">
        <f t="shared" si="57"/>
        <v>1.647623811905953E-2</v>
      </c>
      <c r="W85" s="2"/>
      <c r="X85" s="7">
        <f t="shared" si="58"/>
        <v>9855.66</v>
      </c>
      <c r="Y85" s="2"/>
      <c r="Z85" s="6">
        <f t="shared" si="59"/>
        <v>2.3938936118532914</v>
      </c>
    </row>
    <row r="86" spans="1:26" s="24" customFormat="1" hidden="1" outlineLevel="2" x14ac:dyDescent="0.25">
      <c r="A86" s="29"/>
      <c r="B86" s="11" t="str">
        <f>CONCATENATE("          ", "6259", " - ", "ROYALTY &amp; COMMISSIONS")</f>
        <v xml:space="preserve">          6259 - ROYALTY &amp; COMMISSIONS</v>
      </c>
      <c r="C86" s="11"/>
      <c r="D86" s="7">
        <v>2885.44</v>
      </c>
      <c r="E86" s="2"/>
      <c r="F86" s="6">
        <f t="shared" si="52"/>
        <v>1.6077935281607645E-2</v>
      </c>
      <c r="G86" s="2"/>
      <c r="H86" s="7">
        <v>5040</v>
      </c>
      <c r="I86" s="2"/>
      <c r="J86" s="6">
        <f t="shared" si="53"/>
        <v>2.0170085042521262E-2</v>
      </c>
      <c r="K86" s="2"/>
      <c r="L86" s="7">
        <f t="shared" si="54"/>
        <v>-2154.56</v>
      </c>
      <c r="M86" s="2"/>
      <c r="N86" s="6">
        <f t="shared" si="55"/>
        <v>-0.42749206349206348</v>
      </c>
      <c r="O86" s="11"/>
      <c r="P86" s="7">
        <v>2885.44</v>
      </c>
      <c r="Q86" s="2"/>
      <c r="R86" s="6">
        <f t="shared" si="56"/>
        <v>1.6077935281607645E-2</v>
      </c>
      <c r="S86" s="2"/>
      <c r="T86" s="7">
        <v>5040</v>
      </c>
      <c r="U86" s="2"/>
      <c r="V86" s="6">
        <f t="shared" si="57"/>
        <v>2.0170085042521262E-2</v>
      </c>
      <c r="W86" s="2"/>
      <c r="X86" s="7">
        <f t="shared" si="58"/>
        <v>-2154.56</v>
      </c>
      <c r="Y86" s="2"/>
      <c r="Z86" s="6">
        <f t="shared" si="59"/>
        <v>-0.42749206349206348</v>
      </c>
    </row>
    <row r="87" spans="1:26" s="27" customFormat="1" outlineLevel="1" collapsed="1" x14ac:dyDescent="0.25">
      <c r="A87" s="28"/>
      <c r="B87" s="14" t="str">
        <f>CONCATENATE("     ","Services                                          ")</f>
        <v xml:space="preserve">     Services                                          </v>
      </c>
      <c r="C87" s="14"/>
      <c r="D87" s="1">
        <f>SUM(OSRRefD22_14x_0)</f>
        <v>21675.299999999996</v>
      </c>
      <c r="E87" s="1"/>
      <c r="F87" s="5">
        <f t="shared" ref="F87:F92" si="60">IF(D$12=0,0,D87/D$12)</f>
        <v>0.12077675176383156</v>
      </c>
      <c r="G87" s="1"/>
      <c r="H87" s="1">
        <f>SUM(OSRRefH22_14x_0)</f>
        <v>22239</v>
      </c>
      <c r="I87" s="1"/>
      <c r="J87" s="5">
        <f t="shared" ref="J87:J92" si="61">IF(H$12=0,0,H87/H$12)</f>
        <v>8.9000500250125056E-2</v>
      </c>
      <c r="K87" s="1"/>
      <c r="L87" s="1">
        <f t="shared" ref="L87:L92" si="62">+D87-H87</f>
        <v>-563.70000000000437</v>
      </c>
      <c r="M87" s="1"/>
      <c r="N87" s="5">
        <f t="shared" ref="N87:N92" si="63">IF(H87=0,0,L87/H87)</f>
        <v>-2.5347362741130641E-2</v>
      </c>
      <c r="O87" s="14"/>
      <c r="P87" s="1">
        <f>SUM(OSRRefP22_14x_0)</f>
        <v>21675.299999999996</v>
      </c>
      <c r="Q87" s="1"/>
      <c r="R87" s="5">
        <f t="shared" ref="R87:R92" si="64">IF(P$12=0,0,P87/P$12)</f>
        <v>0.12077675176383156</v>
      </c>
      <c r="S87" s="1"/>
      <c r="T87" s="1">
        <f>SUM(OSRRefT22_14x_0)</f>
        <v>22239</v>
      </c>
      <c r="U87" s="1"/>
      <c r="V87" s="5">
        <f t="shared" ref="V87:V92" si="65">IF(T$12=0,0,T87/T$12)</f>
        <v>8.9000500250125056E-2</v>
      </c>
      <c r="W87" s="1"/>
      <c r="X87" s="1">
        <f t="shared" ref="X87:X92" si="66">+P87-T87</f>
        <v>-563.70000000000437</v>
      </c>
      <c r="Y87" s="1"/>
      <c r="Z87" s="5">
        <f t="shared" ref="Z87:Z92" si="67">IF(T87=0,0,X87/T87)</f>
        <v>-2.5347362741130641E-2</v>
      </c>
    </row>
    <row r="88" spans="1:26" s="24" customFormat="1" hidden="1" outlineLevel="2" x14ac:dyDescent="0.25">
      <c r="A88" s="29"/>
      <c r="B88" s="11" t="str">
        <f>CONCATENATE("          ", "6282", " - ", "JANITORIAL/EXTERMINATOR EXPENS")</f>
        <v xml:space="preserve">          6282 - JANITORIAL/EXTERMINATOR EXPENS</v>
      </c>
      <c r="C88" s="11"/>
      <c r="D88" s="7">
        <v>1277.57</v>
      </c>
      <c r="E88" s="2"/>
      <c r="F88" s="6">
        <f t="shared" si="60"/>
        <v>7.1187367533975679E-3</v>
      </c>
      <c r="G88" s="2"/>
      <c r="H88" s="7">
        <v>1150</v>
      </c>
      <c r="I88" s="2"/>
      <c r="J88" s="6">
        <f t="shared" si="61"/>
        <v>4.602301150575288E-3</v>
      </c>
      <c r="K88" s="2"/>
      <c r="L88" s="7">
        <f t="shared" si="62"/>
        <v>127.56999999999994</v>
      </c>
      <c r="M88" s="2"/>
      <c r="N88" s="6">
        <f t="shared" si="63"/>
        <v>0.11093043478260864</v>
      </c>
      <c r="O88" s="11"/>
      <c r="P88" s="7">
        <v>1277.57</v>
      </c>
      <c r="Q88" s="2"/>
      <c r="R88" s="6">
        <f t="shared" si="64"/>
        <v>7.1187367533975679E-3</v>
      </c>
      <c r="S88" s="2"/>
      <c r="T88" s="7">
        <v>1150</v>
      </c>
      <c r="U88" s="2"/>
      <c r="V88" s="6">
        <f t="shared" si="65"/>
        <v>4.602301150575288E-3</v>
      </c>
      <c r="W88" s="2"/>
      <c r="X88" s="7">
        <f t="shared" si="66"/>
        <v>127.56999999999994</v>
      </c>
      <c r="Y88" s="2"/>
      <c r="Z88" s="6">
        <f t="shared" si="67"/>
        <v>0.11093043478260864</v>
      </c>
    </row>
    <row r="89" spans="1:26" s="24" customFormat="1" hidden="1" outlineLevel="2" x14ac:dyDescent="0.25">
      <c r="A89" s="29"/>
      <c r="B89" s="11" t="str">
        <f>CONCATENATE("          ", "6283", " - ", "PLANT SERVICE")</f>
        <v xml:space="preserve">          6283 - PLANT SERVICE</v>
      </c>
      <c r="C89" s="11"/>
      <c r="D89" s="7">
        <v>199.78</v>
      </c>
      <c r="E89" s="2"/>
      <c r="F89" s="6">
        <f t="shared" si="60"/>
        <v>1.1131924110567453E-3</v>
      </c>
      <c r="G89" s="2"/>
      <c r="H89" s="7">
        <v>150</v>
      </c>
      <c r="I89" s="2"/>
      <c r="J89" s="6">
        <f t="shared" si="61"/>
        <v>6.0030015007503748E-4</v>
      </c>
      <c r="K89" s="2"/>
      <c r="L89" s="7">
        <f t="shared" si="62"/>
        <v>49.78</v>
      </c>
      <c r="M89" s="2"/>
      <c r="N89" s="6">
        <f t="shared" si="63"/>
        <v>0.3318666666666667</v>
      </c>
      <c r="O89" s="11"/>
      <c r="P89" s="7">
        <v>199.78</v>
      </c>
      <c r="Q89" s="2"/>
      <c r="R89" s="6">
        <f t="shared" si="64"/>
        <v>1.1131924110567453E-3</v>
      </c>
      <c r="S89" s="2"/>
      <c r="T89" s="7">
        <v>150</v>
      </c>
      <c r="U89" s="2"/>
      <c r="V89" s="6">
        <f t="shared" si="65"/>
        <v>6.0030015007503748E-4</v>
      </c>
      <c r="W89" s="2"/>
      <c r="X89" s="7">
        <f t="shared" si="66"/>
        <v>49.78</v>
      </c>
      <c r="Y89" s="2"/>
      <c r="Z89" s="6">
        <f t="shared" si="67"/>
        <v>0.3318666666666667</v>
      </c>
    </row>
    <row r="90" spans="1:26" s="24" customFormat="1" hidden="1" outlineLevel="2" x14ac:dyDescent="0.25">
      <c r="A90" s="29"/>
      <c r="B90" s="11" t="str">
        <f>CONCATENATE("          ", "6284", " - ", "TRASH REMOVAL EXPENSE")</f>
        <v xml:space="preserve">          6284 - TRASH REMOVAL EXPENSE</v>
      </c>
      <c r="C90" s="11"/>
      <c r="D90" s="7">
        <v>4199</v>
      </c>
      <c r="E90" s="2"/>
      <c r="F90" s="6">
        <f t="shared" si="60"/>
        <v>2.3397211602899558E-2</v>
      </c>
      <c r="G90" s="2"/>
      <c r="H90" s="7">
        <v>3515</v>
      </c>
      <c r="I90" s="2"/>
      <c r="J90" s="6">
        <f t="shared" si="61"/>
        <v>1.4067033516758379E-2</v>
      </c>
      <c r="K90" s="2"/>
      <c r="L90" s="7">
        <f t="shared" si="62"/>
        <v>684</v>
      </c>
      <c r="M90" s="2"/>
      <c r="N90" s="6">
        <f t="shared" si="63"/>
        <v>0.19459459459459461</v>
      </c>
      <c r="O90" s="11"/>
      <c r="P90" s="7">
        <v>4199</v>
      </c>
      <c r="Q90" s="2"/>
      <c r="R90" s="6">
        <f t="shared" si="64"/>
        <v>2.3397211602899558E-2</v>
      </c>
      <c r="S90" s="2"/>
      <c r="T90" s="7">
        <v>3515</v>
      </c>
      <c r="U90" s="2"/>
      <c r="V90" s="6">
        <f t="shared" si="65"/>
        <v>1.4067033516758379E-2</v>
      </c>
      <c r="W90" s="2"/>
      <c r="X90" s="7">
        <f t="shared" si="66"/>
        <v>684</v>
      </c>
      <c r="Y90" s="2"/>
      <c r="Z90" s="6">
        <f t="shared" si="67"/>
        <v>0.19459459459459461</v>
      </c>
    </row>
    <row r="91" spans="1:26" s="24" customFormat="1" hidden="1" outlineLevel="2" x14ac:dyDescent="0.25">
      <c r="A91" s="29"/>
      <c r="B91" s="11" t="str">
        <f>CONCATENATE("          ", "6285", " - ", "JANITORIAL SERVICES")</f>
        <v xml:space="preserve">          6285 - JANITORIAL SERVICES</v>
      </c>
      <c r="C91" s="11"/>
      <c r="D91" s="7">
        <v>12894.46</v>
      </c>
      <c r="E91" s="2"/>
      <c r="F91" s="6">
        <f t="shared" si="60"/>
        <v>7.1849109103387529E-2</v>
      </c>
      <c r="G91" s="2"/>
      <c r="H91" s="7">
        <v>13256</v>
      </c>
      <c r="I91" s="2"/>
      <c r="J91" s="6">
        <f t="shared" si="61"/>
        <v>5.3050525262631314E-2</v>
      </c>
      <c r="K91" s="2"/>
      <c r="L91" s="7">
        <f t="shared" si="62"/>
        <v>-361.54000000000087</v>
      </c>
      <c r="M91" s="2"/>
      <c r="N91" s="6">
        <f t="shared" si="63"/>
        <v>-2.727368738684376E-2</v>
      </c>
      <c r="O91" s="11"/>
      <c r="P91" s="7">
        <v>12894.46</v>
      </c>
      <c r="Q91" s="2"/>
      <c r="R91" s="6">
        <f t="shared" si="64"/>
        <v>7.1849109103387529E-2</v>
      </c>
      <c r="S91" s="2"/>
      <c r="T91" s="7">
        <v>13256</v>
      </c>
      <c r="U91" s="2"/>
      <c r="V91" s="6">
        <f t="shared" si="65"/>
        <v>5.3050525262631314E-2</v>
      </c>
      <c r="W91" s="2"/>
      <c r="X91" s="7">
        <f t="shared" si="66"/>
        <v>-361.54000000000087</v>
      </c>
      <c r="Y91" s="2"/>
      <c r="Z91" s="6">
        <f t="shared" si="67"/>
        <v>-2.727368738684376E-2</v>
      </c>
    </row>
    <row r="92" spans="1:26" s="24" customFormat="1" hidden="1" outlineLevel="2" x14ac:dyDescent="0.25">
      <c r="A92" s="29"/>
      <c r="B92" s="11" t="str">
        <f>CONCATENATE("          ", "6286", " - ", "LAUNDRY EXPENSE")</f>
        <v xml:space="preserve">          6286 - LAUNDRY EXPENSE</v>
      </c>
      <c r="C92" s="11"/>
      <c r="D92" s="7">
        <v>3104.49</v>
      </c>
      <c r="E92" s="2"/>
      <c r="F92" s="6">
        <f t="shared" si="60"/>
        <v>1.7298501893090176E-2</v>
      </c>
      <c r="G92" s="2"/>
      <c r="H92" s="7">
        <v>4168</v>
      </c>
      <c r="I92" s="2"/>
      <c r="J92" s="6">
        <f t="shared" si="61"/>
        <v>1.6680340170085042E-2</v>
      </c>
      <c r="K92" s="2"/>
      <c r="L92" s="7">
        <f t="shared" si="62"/>
        <v>-1063.5100000000002</v>
      </c>
      <c r="M92" s="2"/>
      <c r="N92" s="6">
        <f t="shared" si="63"/>
        <v>-0.25516074856046073</v>
      </c>
      <c r="O92" s="11"/>
      <c r="P92" s="7">
        <v>3104.49</v>
      </c>
      <c r="Q92" s="2"/>
      <c r="R92" s="6">
        <f t="shared" si="64"/>
        <v>1.7298501893090176E-2</v>
      </c>
      <c r="S92" s="2"/>
      <c r="T92" s="7">
        <v>4168</v>
      </c>
      <c r="U92" s="2"/>
      <c r="V92" s="6">
        <f t="shared" si="65"/>
        <v>1.6680340170085042E-2</v>
      </c>
      <c r="W92" s="2"/>
      <c r="X92" s="7">
        <f t="shared" si="66"/>
        <v>-1063.5100000000002</v>
      </c>
      <c r="Y92" s="2"/>
      <c r="Z92" s="6">
        <f t="shared" si="67"/>
        <v>-0.25516074856046073</v>
      </c>
    </row>
    <row r="93" spans="1:26" s="27" customFormat="1" outlineLevel="1" collapsed="1" x14ac:dyDescent="0.25">
      <c r="A93" s="28"/>
      <c r="B93" s="14" t="str">
        <f>CONCATENATE("     ","Subscriptions &amp; Dues                              ")</f>
        <v xml:space="preserve">     Subscriptions &amp; Dues                              </v>
      </c>
      <c r="C93" s="14"/>
      <c r="D93" s="1">
        <f>SUM(OSRRefD22_15x_0)</f>
        <v>393.42</v>
      </c>
      <c r="E93" s="1"/>
      <c r="F93" s="5">
        <f t="shared" ref="F93:F105" si="68">IF(D$12=0,0,D93/D$12)</f>
        <v>2.1921721811890317E-3</v>
      </c>
      <c r="G93" s="1"/>
      <c r="H93" s="1">
        <f>SUM(OSRRefH22_15x_0)</f>
        <v>394</v>
      </c>
      <c r="I93" s="1"/>
      <c r="J93" s="5">
        <f t="shared" ref="J93:J105" si="69">IF(H$12=0,0,H93/H$12)</f>
        <v>1.5767883941970985E-3</v>
      </c>
      <c r="K93" s="1"/>
      <c r="L93" s="1">
        <f t="shared" ref="L93:L105" si="70">+D93-H93</f>
        <v>-0.57999999999998408</v>
      </c>
      <c r="M93" s="1"/>
      <c r="N93" s="5">
        <f t="shared" ref="N93:N105" si="71">IF(H93=0,0,L93/H93)</f>
        <v>-1.4720812182740712E-3</v>
      </c>
      <c r="O93" s="14"/>
      <c r="P93" s="1">
        <f>SUM(OSRRefP22_15x_0)</f>
        <v>393.42</v>
      </c>
      <c r="Q93" s="1"/>
      <c r="R93" s="5">
        <f t="shared" ref="R93:R105" si="72">IF(P$12=0,0,P93/P$12)</f>
        <v>2.1921721811890317E-3</v>
      </c>
      <c r="S93" s="1"/>
      <c r="T93" s="1">
        <f>SUM(OSRRefT22_15x_0)</f>
        <v>394</v>
      </c>
      <c r="U93" s="1"/>
      <c r="V93" s="5">
        <f t="shared" ref="V93:V105" si="73">IF(T$12=0,0,T93/T$12)</f>
        <v>1.5767883941970985E-3</v>
      </c>
      <c r="W93" s="1"/>
      <c r="X93" s="1">
        <f t="shared" ref="X93:X105" si="74">+P93-T93</f>
        <v>-0.57999999999998408</v>
      </c>
      <c r="Y93" s="1"/>
      <c r="Z93" s="5">
        <f t="shared" ref="Z93:Z105" si="75">IF(T93=0,0,X93/T93)</f>
        <v>-1.4720812182740712E-3</v>
      </c>
    </row>
    <row r="94" spans="1:26" s="24" customFormat="1" hidden="1" outlineLevel="2" x14ac:dyDescent="0.25">
      <c r="A94" s="29"/>
      <c r="B94" s="11" t="str">
        <f>CONCATENATE("          ", "6275", " - ", "SUBSCRIPTIONS")</f>
        <v xml:space="preserve">          6275 - SUBSCRIPTIONS</v>
      </c>
      <c r="C94" s="11"/>
      <c r="D94" s="7">
        <v>393.42</v>
      </c>
      <c r="E94" s="2"/>
      <c r="F94" s="6">
        <f t="shared" si="68"/>
        <v>2.1921721811890317E-3</v>
      </c>
      <c r="G94" s="2"/>
      <c r="H94" s="7">
        <v>394</v>
      </c>
      <c r="I94" s="2"/>
      <c r="J94" s="6">
        <f t="shared" si="69"/>
        <v>1.5767883941970985E-3</v>
      </c>
      <c r="K94" s="2"/>
      <c r="L94" s="7">
        <f t="shared" si="70"/>
        <v>-0.57999999999998408</v>
      </c>
      <c r="M94" s="2"/>
      <c r="N94" s="6">
        <f t="shared" si="71"/>
        <v>-1.4720812182740712E-3</v>
      </c>
      <c r="O94" s="11"/>
      <c r="P94" s="7">
        <v>393.42</v>
      </c>
      <c r="Q94" s="2"/>
      <c r="R94" s="6">
        <f t="shared" si="72"/>
        <v>2.1921721811890317E-3</v>
      </c>
      <c r="S94" s="2"/>
      <c r="T94" s="7">
        <v>394</v>
      </c>
      <c r="U94" s="2"/>
      <c r="V94" s="6">
        <f t="shared" si="73"/>
        <v>1.5767883941970985E-3</v>
      </c>
      <c r="W94" s="2"/>
      <c r="X94" s="7">
        <f t="shared" si="74"/>
        <v>-0.57999999999998408</v>
      </c>
      <c r="Y94" s="2"/>
      <c r="Z94" s="6">
        <f t="shared" si="75"/>
        <v>-1.4720812182740712E-3</v>
      </c>
    </row>
    <row r="95" spans="1:26" s="27" customFormat="1" outlineLevel="1" collapsed="1" x14ac:dyDescent="0.25">
      <c r="A95" s="28"/>
      <c r="B95" s="14" t="str">
        <f>CONCATENATE("     ","Supplies                                          ")</f>
        <v xml:space="preserve">     Supplies                                          </v>
      </c>
      <c r="C95" s="14"/>
      <c r="D95" s="1">
        <f>SUM(OSRRefD22_16x_0)</f>
        <v>16804.8</v>
      </c>
      <c r="E95" s="1"/>
      <c r="F95" s="5">
        <f t="shared" si="68"/>
        <v>9.3637880815529054E-2</v>
      </c>
      <c r="G95" s="1"/>
      <c r="H95" s="1">
        <f>SUM(OSRRefH22_16x_0)</f>
        <v>26404.9</v>
      </c>
      <c r="I95" s="1"/>
      <c r="J95" s="5">
        <f t="shared" si="69"/>
        <v>0.10567243621810907</v>
      </c>
      <c r="K95" s="1"/>
      <c r="L95" s="1">
        <f t="shared" si="70"/>
        <v>-9600.1000000000022</v>
      </c>
      <c r="M95" s="1"/>
      <c r="N95" s="5">
        <f t="shared" si="71"/>
        <v>-0.36357267022408724</v>
      </c>
      <c r="O95" s="14"/>
      <c r="P95" s="1">
        <f>SUM(OSRRefP22_16x_0)</f>
        <v>16804.8</v>
      </c>
      <c r="Q95" s="1"/>
      <c r="R95" s="5">
        <f t="shared" si="72"/>
        <v>9.3637880815529054E-2</v>
      </c>
      <c r="S95" s="1"/>
      <c r="T95" s="1">
        <f>SUM(OSRRefT22_16x_0)</f>
        <v>26404.9</v>
      </c>
      <c r="U95" s="1"/>
      <c r="V95" s="5">
        <f t="shared" si="73"/>
        <v>0.10567243621810907</v>
      </c>
      <c r="W95" s="1"/>
      <c r="X95" s="1">
        <f t="shared" si="74"/>
        <v>-9600.1000000000022</v>
      </c>
      <c r="Y95" s="1"/>
      <c r="Z95" s="5">
        <f t="shared" si="75"/>
        <v>-0.36357267022408724</v>
      </c>
    </row>
    <row r="96" spans="1:26" s="24" customFormat="1" hidden="1" outlineLevel="2" x14ac:dyDescent="0.25">
      <c r="A96" s="29"/>
      <c r="B96" s="11" t="str">
        <f>CONCATENATE("          ", "6234", " - ", "EXPENDABLE SUPPLIES &amp; EQUIPMEN")</f>
        <v xml:space="preserve">          6234 - EXPENDABLE SUPPLIES &amp; EQUIPMEN</v>
      </c>
      <c r="C96" s="11"/>
      <c r="D96" s="7"/>
      <c r="E96" s="2"/>
      <c r="F96" s="6">
        <f t="shared" si="68"/>
        <v>0</v>
      </c>
      <c r="G96" s="2"/>
      <c r="H96" s="7">
        <v>700</v>
      </c>
      <c r="I96" s="2"/>
      <c r="J96" s="6">
        <f t="shared" si="69"/>
        <v>2.8014007003501749E-3</v>
      </c>
      <c r="K96" s="2"/>
      <c r="L96" s="7">
        <f t="shared" si="70"/>
        <v>-700</v>
      </c>
      <c r="M96" s="2"/>
      <c r="N96" s="6">
        <f t="shared" si="71"/>
        <v>-1</v>
      </c>
      <c r="O96" s="11"/>
      <c r="P96" s="7"/>
      <c r="Q96" s="2"/>
      <c r="R96" s="6">
        <f t="shared" si="72"/>
        <v>0</v>
      </c>
      <c r="S96" s="2"/>
      <c r="T96" s="7">
        <v>700</v>
      </c>
      <c r="U96" s="2"/>
      <c r="V96" s="6">
        <f t="shared" si="73"/>
        <v>2.8014007003501749E-3</v>
      </c>
      <c r="W96" s="2"/>
      <c r="X96" s="7">
        <f t="shared" si="74"/>
        <v>-700</v>
      </c>
      <c r="Y96" s="2"/>
      <c r="Z96" s="6">
        <f t="shared" si="75"/>
        <v>-1</v>
      </c>
    </row>
    <row r="97" spans="1:26" s="24" customFormat="1" hidden="1" outlineLevel="2" x14ac:dyDescent="0.25">
      <c r="A97" s="29"/>
      <c r="B97" s="11" t="str">
        <f>CONCATENATE("          ", "6237", " - ", "JANITORIAL SUPPLIES")</f>
        <v xml:space="preserve">          6237 - JANITORIAL SUPPLIES</v>
      </c>
      <c r="C97" s="11"/>
      <c r="D97" s="7">
        <v>3874.32</v>
      </c>
      <c r="E97" s="2"/>
      <c r="F97" s="6">
        <f t="shared" si="68"/>
        <v>2.1588064981506505E-2</v>
      </c>
      <c r="G97" s="2"/>
      <c r="H97" s="7">
        <v>5211</v>
      </c>
      <c r="I97" s="2"/>
      <c r="J97" s="6">
        <f t="shared" si="69"/>
        <v>2.0854427213606804E-2</v>
      </c>
      <c r="K97" s="2"/>
      <c r="L97" s="7">
        <f t="shared" si="70"/>
        <v>-1336.6799999999998</v>
      </c>
      <c r="M97" s="2"/>
      <c r="N97" s="6">
        <f t="shared" si="71"/>
        <v>-0.25651122625215889</v>
      </c>
      <c r="O97" s="11"/>
      <c r="P97" s="7">
        <v>3874.32</v>
      </c>
      <c r="Q97" s="2"/>
      <c r="R97" s="6">
        <f t="shared" si="72"/>
        <v>2.1588064981506505E-2</v>
      </c>
      <c r="S97" s="2"/>
      <c r="T97" s="7">
        <v>5211</v>
      </c>
      <c r="U97" s="2"/>
      <c r="V97" s="6">
        <f t="shared" si="73"/>
        <v>2.0854427213606804E-2</v>
      </c>
      <c r="W97" s="2"/>
      <c r="X97" s="7">
        <f t="shared" si="74"/>
        <v>-1336.6799999999998</v>
      </c>
      <c r="Y97" s="2"/>
      <c r="Z97" s="6">
        <f t="shared" si="75"/>
        <v>-0.25651122625215889</v>
      </c>
    </row>
    <row r="98" spans="1:26" s="24" customFormat="1" hidden="1" outlineLevel="2" x14ac:dyDescent="0.25">
      <c r="A98" s="29"/>
      <c r="B98" s="11" t="str">
        <f>CONCATENATE("          ", "6239", " - ", "KITCHEN SUPPLIES")</f>
        <v xml:space="preserve">          6239 - KITCHEN SUPPLIES</v>
      </c>
      <c r="C98" s="11"/>
      <c r="D98" s="7">
        <v>6419.53</v>
      </c>
      <c r="E98" s="2"/>
      <c r="F98" s="6">
        <f t="shared" si="68"/>
        <v>3.5770207621138791E-2</v>
      </c>
      <c r="G98" s="2"/>
      <c r="H98" s="7">
        <v>11066</v>
      </c>
      <c r="I98" s="2"/>
      <c r="J98" s="6">
        <f t="shared" si="69"/>
        <v>4.428614307153577E-2</v>
      </c>
      <c r="K98" s="2"/>
      <c r="L98" s="7">
        <f t="shared" si="70"/>
        <v>-4646.47</v>
      </c>
      <c r="M98" s="2"/>
      <c r="N98" s="6">
        <f t="shared" si="71"/>
        <v>-0.41988704138803545</v>
      </c>
      <c r="O98" s="11"/>
      <c r="P98" s="7">
        <v>6419.53</v>
      </c>
      <c r="Q98" s="2"/>
      <c r="R98" s="6">
        <f t="shared" si="72"/>
        <v>3.5770207621138791E-2</v>
      </c>
      <c r="S98" s="2"/>
      <c r="T98" s="7">
        <v>11066</v>
      </c>
      <c r="U98" s="2"/>
      <c r="V98" s="6">
        <f t="shared" si="73"/>
        <v>4.428614307153577E-2</v>
      </c>
      <c r="W98" s="2"/>
      <c r="X98" s="7">
        <f t="shared" si="74"/>
        <v>-4646.47</v>
      </c>
      <c r="Y98" s="2"/>
      <c r="Z98" s="6">
        <f t="shared" si="75"/>
        <v>-0.41988704138803545</v>
      </c>
    </row>
    <row r="99" spans="1:26" s="24" customFormat="1" hidden="1" outlineLevel="2" x14ac:dyDescent="0.25">
      <c r="A99" s="29"/>
      <c r="B99" s="11" t="str">
        <f>CONCATENATE("          ", "6241", " - ", "OFFICE EXPENSE")</f>
        <v xml:space="preserve">          6241 - OFFICE EXPENSE</v>
      </c>
      <c r="C99" s="11"/>
      <c r="D99" s="7">
        <v>2744.9</v>
      </c>
      <c r="E99" s="2"/>
      <c r="F99" s="6">
        <f t="shared" si="68"/>
        <v>1.5294833562467016E-2</v>
      </c>
      <c r="G99" s="2"/>
      <c r="H99" s="7">
        <v>1201.25</v>
      </c>
      <c r="I99" s="2"/>
      <c r="J99" s="6">
        <f t="shared" si="69"/>
        <v>4.8074037018509255E-3</v>
      </c>
      <c r="K99" s="2"/>
      <c r="L99" s="7">
        <f t="shared" si="70"/>
        <v>1543.65</v>
      </c>
      <c r="M99" s="2"/>
      <c r="N99" s="6">
        <f t="shared" si="71"/>
        <v>1.2850364203954214</v>
      </c>
      <c r="O99" s="11"/>
      <c r="P99" s="7">
        <v>2744.9</v>
      </c>
      <c r="Q99" s="2"/>
      <c r="R99" s="6">
        <f t="shared" si="72"/>
        <v>1.5294833562467016E-2</v>
      </c>
      <c r="S99" s="2"/>
      <c r="T99" s="7">
        <v>1201.25</v>
      </c>
      <c r="U99" s="2"/>
      <c r="V99" s="6">
        <f t="shared" si="73"/>
        <v>4.8074037018509255E-3</v>
      </c>
      <c r="W99" s="2"/>
      <c r="X99" s="7">
        <f t="shared" si="74"/>
        <v>1543.65</v>
      </c>
      <c r="Y99" s="2"/>
      <c r="Z99" s="6">
        <f t="shared" si="75"/>
        <v>1.2850364203954214</v>
      </c>
    </row>
    <row r="100" spans="1:26" s="24" customFormat="1" hidden="1" outlineLevel="2" x14ac:dyDescent="0.25">
      <c r="A100" s="29"/>
      <c r="B100" s="11" t="str">
        <f>CONCATENATE("          ", "6243", " - ", "PAPER SUPPLIES")</f>
        <v xml:space="preserve">          6243 - PAPER SUPPLIES</v>
      </c>
      <c r="C100" s="11"/>
      <c r="D100" s="7">
        <v>2838.31</v>
      </c>
      <c r="E100" s="2"/>
      <c r="F100" s="6">
        <f t="shared" si="68"/>
        <v>1.5815322616009965E-2</v>
      </c>
      <c r="G100" s="2"/>
      <c r="H100" s="7">
        <v>2280</v>
      </c>
      <c r="I100" s="2"/>
      <c r="J100" s="6">
        <f t="shared" si="69"/>
        <v>9.1245622811405701E-3</v>
      </c>
      <c r="K100" s="2"/>
      <c r="L100" s="7">
        <f t="shared" si="70"/>
        <v>558.30999999999995</v>
      </c>
      <c r="M100" s="2"/>
      <c r="N100" s="6">
        <f t="shared" si="71"/>
        <v>0.24487280701754383</v>
      </c>
      <c r="O100" s="11"/>
      <c r="P100" s="7">
        <v>2838.31</v>
      </c>
      <c r="Q100" s="2"/>
      <c r="R100" s="6">
        <f t="shared" si="72"/>
        <v>1.5815322616009965E-2</v>
      </c>
      <c r="S100" s="2"/>
      <c r="T100" s="7">
        <v>2280</v>
      </c>
      <c r="U100" s="2"/>
      <c r="V100" s="6">
        <f t="shared" si="73"/>
        <v>9.1245622811405701E-3</v>
      </c>
      <c r="W100" s="2"/>
      <c r="X100" s="7">
        <f t="shared" si="74"/>
        <v>558.30999999999995</v>
      </c>
      <c r="Y100" s="2"/>
      <c r="Z100" s="6">
        <f t="shared" si="75"/>
        <v>0.24487280701754383</v>
      </c>
    </row>
    <row r="101" spans="1:26" s="24" customFormat="1" hidden="1" outlineLevel="2" x14ac:dyDescent="0.25">
      <c r="A101" s="29"/>
      <c r="B101" s="11" t="str">
        <f>CONCATENATE("          ", "6244", " - ", "SAFETY SUPPLY EXPENSE")</f>
        <v xml:space="preserve">          6244 - SAFETY SUPPLY EXPENSE</v>
      </c>
      <c r="C101" s="11"/>
      <c r="D101" s="7"/>
      <c r="E101" s="2"/>
      <c r="F101" s="6">
        <f t="shared" si="68"/>
        <v>0</v>
      </c>
      <c r="G101" s="2"/>
      <c r="H101" s="7">
        <v>110</v>
      </c>
      <c r="I101" s="2"/>
      <c r="J101" s="6">
        <f t="shared" si="69"/>
        <v>4.4022011005502749E-4</v>
      </c>
      <c r="K101" s="2"/>
      <c r="L101" s="7">
        <f t="shared" si="70"/>
        <v>-110</v>
      </c>
      <c r="M101" s="2"/>
      <c r="N101" s="6">
        <f t="shared" si="71"/>
        <v>-1</v>
      </c>
      <c r="O101" s="11"/>
      <c r="P101" s="7"/>
      <c r="Q101" s="2"/>
      <c r="R101" s="6">
        <f t="shared" si="72"/>
        <v>0</v>
      </c>
      <c r="S101" s="2"/>
      <c r="T101" s="7">
        <v>110</v>
      </c>
      <c r="U101" s="2"/>
      <c r="V101" s="6">
        <f t="shared" si="73"/>
        <v>4.4022011005502749E-4</v>
      </c>
      <c r="W101" s="2"/>
      <c r="X101" s="7">
        <f t="shared" si="74"/>
        <v>-110</v>
      </c>
      <c r="Y101" s="2"/>
      <c r="Z101" s="6">
        <f t="shared" si="75"/>
        <v>-1</v>
      </c>
    </row>
    <row r="102" spans="1:26" s="24" customFormat="1" hidden="1" outlineLevel="2" x14ac:dyDescent="0.25">
      <c r="A102" s="29"/>
      <c r="B102" s="11" t="str">
        <f>CONCATENATE("          ", "6245", " - ", "PRINTING")</f>
        <v xml:space="preserve">          6245 - PRINTING</v>
      </c>
      <c r="C102" s="11"/>
      <c r="D102" s="7">
        <v>137.76</v>
      </c>
      <c r="E102" s="2"/>
      <c r="F102" s="6">
        <f t="shared" si="68"/>
        <v>7.6761130517157493E-4</v>
      </c>
      <c r="G102" s="2"/>
      <c r="H102" s="7">
        <v>50</v>
      </c>
      <c r="I102" s="2"/>
      <c r="J102" s="6">
        <f t="shared" si="69"/>
        <v>2.0010005002501252E-4</v>
      </c>
      <c r="K102" s="2"/>
      <c r="L102" s="7">
        <f t="shared" si="70"/>
        <v>87.759999999999991</v>
      </c>
      <c r="M102" s="2"/>
      <c r="N102" s="6">
        <f t="shared" si="71"/>
        <v>1.7551999999999999</v>
      </c>
      <c r="O102" s="11"/>
      <c r="P102" s="7">
        <v>137.76</v>
      </c>
      <c r="Q102" s="2"/>
      <c r="R102" s="6">
        <f t="shared" si="72"/>
        <v>7.6761130517157493E-4</v>
      </c>
      <c r="S102" s="2"/>
      <c r="T102" s="7">
        <v>50</v>
      </c>
      <c r="U102" s="2"/>
      <c r="V102" s="6">
        <f t="shared" si="73"/>
        <v>2.0010005002501252E-4</v>
      </c>
      <c r="W102" s="2"/>
      <c r="X102" s="7">
        <f t="shared" si="74"/>
        <v>87.759999999999991</v>
      </c>
      <c r="Y102" s="2"/>
      <c r="Z102" s="6">
        <f t="shared" si="75"/>
        <v>1.7551999999999999</v>
      </c>
    </row>
    <row r="103" spans="1:26" s="24" customFormat="1" hidden="1" outlineLevel="2" x14ac:dyDescent="0.25">
      <c r="A103" s="29"/>
      <c r="B103" s="11" t="str">
        <f>CONCATENATE("          ", "6246", " - ", "REPLACEMENTS")</f>
        <v xml:space="preserve">          6246 - REPLACEMENTS</v>
      </c>
      <c r="C103" s="11"/>
      <c r="D103" s="7"/>
      <c r="E103" s="2"/>
      <c r="F103" s="6">
        <f t="shared" si="68"/>
        <v>0</v>
      </c>
      <c r="G103" s="2"/>
      <c r="H103" s="7">
        <v>2400</v>
      </c>
      <c r="I103" s="2"/>
      <c r="J103" s="6">
        <f t="shared" si="69"/>
        <v>9.6048024012005996E-3</v>
      </c>
      <c r="K103" s="2"/>
      <c r="L103" s="7">
        <f t="shared" si="70"/>
        <v>-2400</v>
      </c>
      <c r="M103" s="2"/>
      <c r="N103" s="6">
        <f t="shared" si="71"/>
        <v>-1</v>
      </c>
      <c r="O103" s="11"/>
      <c r="P103" s="7"/>
      <c r="Q103" s="2"/>
      <c r="R103" s="6">
        <f t="shared" si="72"/>
        <v>0</v>
      </c>
      <c r="S103" s="2"/>
      <c r="T103" s="7">
        <v>2400</v>
      </c>
      <c r="U103" s="2"/>
      <c r="V103" s="6">
        <f t="shared" si="73"/>
        <v>9.6048024012005996E-3</v>
      </c>
      <c r="W103" s="2"/>
      <c r="X103" s="7">
        <f t="shared" si="74"/>
        <v>-2400</v>
      </c>
      <c r="Y103" s="2"/>
      <c r="Z103" s="6">
        <f t="shared" si="75"/>
        <v>-1</v>
      </c>
    </row>
    <row r="104" spans="1:26" s="24" customFormat="1" hidden="1" outlineLevel="2" x14ac:dyDescent="0.25">
      <c r="A104" s="29"/>
      <c r="B104" s="11" t="str">
        <f>CONCATENATE("          ", "6247", " - ", "STORE SUPPLIES")</f>
        <v xml:space="preserve">          6247 - STORE SUPPLIES</v>
      </c>
      <c r="C104" s="11"/>
      <c r="D104" s="7">
        <v>210.54</v>
      </c>
      <c r="E104" s="2"/>
      <c r="F104" s="6">
        <f t="shared" si="68"/>
        <v>1.1731481140448852E-3</v>
      </c>
      <c r="G104" s="2"/>
      <c r="H104" s="7">
        <v>286.64999999999998</v>
      </c>
      <c r="I104" s="2"/>
      <c r="J104" s="6">
        <f t="shared" si="69"/>
        <v>1.1471735867933967E-3</v>
      </c>
      <c r="K104" s="2"/>
      <c r="L104" s="7">
        <f t="shared" si="70"/>
        <v>-76.109999999999985</v>
      </c>
      <c r="M104" s="2"/>
      <c r="N104" s="6">
        <f t="shared" si="71"/>
        <v>-0.26551543694400837</v>
      </c>
      <c r="O104" s="11"/>
      <c r="P104" s="7">
        <v>210.54</v>
      </c>
      <c r="Q104" s="2"/>
      <c r="R104" s="6">
        <f t="shared" si="72"/>
        <v>1.1731481140448852E-3</v>
      </c>
      <c r="S104" s="2"/>
      <c r="T104" s="7">
        <v>286.64999999999998</v>
      </c>
      <c r="U104" s="2"/>
      <c r="V104" s="6">
        <f t="shared" si="73"/>
        <v>1.1471735867933967E-3</v>
      </c>
      <c r="W104" s="2"/>
      <c r="X104" s="7">
        <f t="shared" si="74"/>
        <v>-76.109999999999985</v>
      </c>
      <c r="Y104" s="2"/>
      <c r="Z104" s="6">
        <f t="shared" si="75"/>
        <v>-0.26551543694400837</v>
      </c>
    </row>
    <row r="105" spans="1:26" s="24" customFormat="1" hidden="1" outlineLevel="2" x14ac:dyDescent="0.25">
      <c r="A105" s="29"/>
      <c r="B105" s="11" t="str">
        <f>CONCATENATE("          ", "6248", " - ", "UNIFORMS")</f>
        <v xml:space="preserve">          6248 - UNIFORMS</v>
      </c>
      <c r="C105" s="11"/>
      <c r="D105" s="7">
        <v>579.44000000000005</v>
      </c>
      <c r="E105" s="2"/>
      <c r="F105" s="6">
        <f t="shared" si="68"/>
        <v>3.2286926151903123E-3</v>
      </c>
      <c r="G105" s="2"/>
      <c r="H105" s="7">
        <v>3100</v>
      </c>
      <c r="I105" s="2"/>
      <c r="J105" s="6">
        <f t="shared" si="69"/>
        <v>1.2406203101550776E-2</v>
      </c>
      <c r="K105" s="2"/>
      <c r="L105" s="7">
        <f t="shared" si="70"/>
        <v>-2520.56</v>
      </c>
      <c r="M105" s="2"/>
      <c r="N105" s="6">
        <f t="shared" si="71"/>
        <v>-0.81308387096774193</v>
      </c>
      <c r="O105" s="11"/>
      <c r="P105" s="7">
        <v>579.44000000000005</v>
      </c>
      <c r="Q105" s="2"/>
      <c r="R105" s="6">
        <f t="shared" si="72"/>
        <v>3.2286926151903123E-3</v>
      </c>
      <c r="S105" s="2"/>
      <c r="T105" s="7">
        <v>3100</v>
      </c>
      <c r="U105" s="2"/>
      <c r="V105" s="6">
        <f t="shared" si="73"/>
        <v>1.2406203101550776E-2</v>
      </c>
      <c r="W105" s="2"/>
      <c r="X105" s="7">
        <f t="shared" si="74"/>
        <v>-2520.56</v>
      </c>
      <c r="Y105" s="2"/>
      <c r="Z105" s="6">
        <f t="shared" si="75"/>
        <v>-0.81308387096774193</v>
      </c>
    </row>
    <row r="106" spans="1:26" s="27" customFormat="1" outlineLevel="1" collapsed="1" x14ac:dyDescent="0.25">
      <c r="A106" s="28"/>
      <c r="B106" s="14" t="str">
        <f>CONCATENATE("     ","Telephone/Data Lines                              ")</f>
        <v xml:space="preserve">     Telephone/Data Lines                              </v>
      </c>
      <c r="C106" s="14"/>
      <c r="D106" s="1">
        <f>SUM(OSRRefD22_17x_0)</f>
        <v>948.34</v>
      </c>
      <c r="E106" s="1"/>
      <c r="F106" s="5">
        <f t="shared" ref="F106:F108" si="76">IF(D$12=0,0,D106/D$12)</f>
        <v>5.2842371163357386E-3</v>
      </c>
      <c r="G106" s="1"/>
      <c r="H106" s="1">
        <f>SUM(OSRRefH22_17x_0)</f>
        <v>1623</v>
      </c>
      <c r="I106" s="1"/>
      <c r="J106" s="5">
        <f t="shared" ref="J106:J108" si="77">IF(H$12=0,0,H106/H$12)</f>
        <v>6.4952476238119058E-3</v>
      </c>
      <c r="K106" s="1"/>
      <c r="L106" s="1">
        <f t="shared" ref="L106:L108" si="78">+D106-H106</f>
        <v>-674.66</v>
      </c>
      <c r="M106" s="1"/>
      <c r="N106" s="5">
        <f t="shared" ref="N106:N108" si="79">IF(H106=0,0,L106/H106)</f>
        <v>-0.41568699938385706</v>
      </c>
      <c r="O106" s="14"/>
      <c r="P106" s="1">
        <f>SUM(OSRRefP22_17x_0)</f>
        <v>948.34</v>
      </c>
      <c r="Q106" s="1"/>
      <c r="R106" s="5">
        <f t="shared" ref="R106:R108" si="80">IF(P$12=0,0,P106/P$12)</f>
        <v>5.2842371163357386E-3</v>
      </c>
      <c r="S106" s="1"/>
      <c r="T106" s="1">
        <f>SUM(OSRRefT22_17x_0)</f>
        <v>1623</v>
      </c>
      <c r="U106" s="1"/>
      <c r="V106" s="5">
        <f t="shared" ref="V106:V108" si="81">IF(T$12=0,0,T106/T$12)</f>
        <v>6.4952476238119058E-3</v>
      </c>
      <c r="W106" s="1"/>
      <c r="X106" s="1">
        <f t="shared" ref="X106:X108" si="82">+P106-T106</f>
        <v>-674.66</v>
      </c>
      <c r="Y106" s="1"/>
      <c r="Z106" s="5">
        <f t="shared" ref="Z106:Z108" si="83">IF(T106=0,0,X106/T106)</f>
        <v>-0.41568699938385706</v>
      </c>
    </row>
    <row r="107" spans="1:26" s="24" customFormat="1" hidden="1" outlineLevel="2" x14ac:dyDescent="0.25">
      <c r="A107" s="29"/>
      <c r="B107" s="11" t="str">
        <f>CONCATENATE("          ", "6303", " - ", "DATA PHONE LINES")</f>
        <v xml:space="preserve">          6303 - DATA PHONE LINES</v>
      </c>
      <c r="C107" s="11"/>
      <c r="D107" s="7"/>
      <c r="E107" s="2"/>
      <c r="F107" s="6">
        <f t="shared" si="76"/>
        <v>0</v>
      </c>
      <c r="G107" s="2"/>
      <c r="H107" s="7">
        <v>398</v>
      </c>
      <c r="I107" s="2"/>
      <c r="J107" s="6">
        <f t="shared" si="77"/>
        <v>1.5927963981990996E-3</v>
      </c>
      <c r="K107" s="2"/>
      <c r="L107" s="7">
        <f t="shared" si="78"/>
        <v>-398</v>
      </c>
      <c r="M107" s="2"/>
      <c r="N107" s="6">
        <f t="shared" si="79"/>
        <v>-1</v>
      </c>
      <c r="O107" s="11"/>
      <c r="P107" s="7"/>
      <c r="Q107" s="2"/>
      <c r="R107" s="6">
        <f t="shared" si="80"/>
        <v>0</v>
      </c>
      <c r="S107" s="2"/>
      <c r="T107" s="7">
        <v>398</v>
      </c>
      <c r="U107" s="2"/>
      <c r="V107" s="6">
        <f t="shared" si="81"/>
        <v>1.5927963981990996E-3</v>
      </c>
      <c r="W107" s="2"/>
      <c r="X107" s="7">
        <f t="shared" si="82"/>
        <v>-398</v>
      </c>
      <c r="Y107" s="2"/>
      <c r="Z107" s="6">
        <f t="shared" si="83"/>
        <v>-1</v>
      </c>
    </row>
    <row r="108" spans="1:26" s="24" customFormat="1" hidden="1" outlineLevel="2" x14ac:dyDescent="0.25">
      <c r="A108" s="29"/>
      <c r="B108" s="11" t="str">
        <f>CONCATENATE("          ", "6309", " - ", "TELEPHONE")</f>
        <v xml:space="preserve">          6309 - TELEPHONE</v>
      </c>
      <c r="C108" s="11"/>
      <c r="D108" s="7">
        <v>948.34</v>
      </c>
      <c r="E108" s="2"/>
      <c r="F108" s="6">
        <f t="shared" si="76"/>
        <v>5.2842371163357386E-3</v>
      </c>
      <c r="G108" s="2"/>
      <c r="H108" s="7">
        <v>1225</v>
      </c>
      <c r="I108" s="2"/>
      <c r="J108" s="6">
        <f t="shared" si="77"/>
        <v>4.9024512256128066E-3</v>
      </c>
      <c r="K108" s="2"/>
      <c r="L108" s="7">
        <f t="shared" si="78"/>
        <v>-276.65999999999997</v>
      </c>
      <c r="M108" s="2"/>
      <c r="N108" s="6">
        <f t="shared" si="79"/>
        <v>-0.22584489795918364</v>
      </c>
      <c r="O108" s="11"/>
      <c r="P108" s="7">
        <v>948.34</v>
      </c>
      <c r="Q108" s="2"/>
      <c r="R108" s="6">
        <f t="shared" si="80"/>
        <v>5.2842371163357386E-3</v>
      </c>
      <c r="S108" s="2"/>
      <c r="T108" s="7">
        <v>1225</v>
      </c>
      <c r="U108" s="2"/>
      <c r="V108" s="6">
        <f t="shared" si="81"/>
        <v>4.9024512256128066E-3</v>
      </c>
      <c r="W108" s="2"/>
      <c r="X108" s="7">
        <f t="shared" si="82"/>
        <v>-276.65999999999997</v>
      </c>
      <c r="Y108" s="2"/>
      <c r="Z108" s="6">
        <f t="shared" si="83"/>
        <v>-0.22584489795918364</v>
      </c>
    </row>
    <row r="109" spans="1:26" s="27" customFormat="1" outlineLevel="1" collapsed="1" x14ac:dyDescent="0.25">
      <c r="A109" s="28"/>
      <c r="B109" s="14" t="str">
        <f>CONCATENATE("     ","Training                                          ")</f>
        <v xml:space="preserve">     Training                                          </v>
      </c>
      <c r="C109" s="14"/>
      <c r="D109" s="1">
        <f>SUM(OSRRefD22_18x_0)</f>
        <v>868.85</v>
      </c>
      <c r="E109" s="1"/>
      <c r="F109" s="5">
        <f t="shared" ref="F109:F114" si="84">IF(D$12=0,0,D109/D$12)</f>
        <v>4.8413115744651777E-3</v>
      </c>
      <c r="G109" s="1"/>
      <c r="H109" s="1">
        <f>SUM(OSRRefH22_18x_0)</f>
        <v>540</v>
      </c>
      <c r="I109" s="1"/>
      <c r="J109" s="5">
        <f t="shared" ref="J109:J114" si="85">IF(H$12=0,0,H109/H$12)</f>
        <v>2.1610805402701352E-3</v>
      </c>
      <c r="K109" s="1"/>
      <c r="L109" s="1">
        <f t="shared" ref="L109:L114" si="86">+D109-H109</f>
        <v>328.85</v>
      </c>
      <c r="M109" s="1"/>
      <c r="N109" s="5">
        <f t="shared" ref="N109:N114" si="87">IF(H109=0,0,L109/H109)</f>
        <v>0.60898148148148157</v>
      </c>
      <c r="O109" s="14"/>
      <c r="P109" s="1">
        <f>SUM(OSRRefP22_18x_0)</f>
        <v>868.85</v>
      </c>
      <c r="Q109" s="1"/>
      <c r="R109" s="5">
        <f t="shared" ref="R109:R114" si="88">IF(P$12=0,0,P109/P$12)</f>
        <v>4.8413115744651777E-3</v>
      </c>
      <c r="S109" s="1"/>
      <c r="T109" s="1">
        <f>SUM(OSRRefT22_18x_0)</f>
        <v>540</v>
      </c>
      <c r="U109" s="1"/>
      <c r="V109" s="5">
        <f t="shared" ref="V109:V114" si="89">IF(T$12=0,0,T109/T$12)</f>
        <v>2.1610805402701352E-3</v>
      </c>
      <c r="W109" s="1"/>
      <c r="X109" s="1">
        <f t="shared" ref="X109:X114" si="90">+P109-T109</f>
        <v>328.85</v>
      </c>
      <c r="Y109" s="1"/>
      <c r="Z109" s="5">
        <f t="shared" ref="Z109:Z114" si="91">IF(T109=0,0,X109/T109)</f>
        <v>0.60898148148148157</v>
      </c>
    </row>
    <row r="110" spans="1:26" s="24" customFormat="1" hidden="1" outlineLevel="2" x14ac:dyDescent="0.25">
      <c r="A110" s="29"/>
      <c r="B110" s="11" t="str">
        <f>CONCATENATE("          ", "6376", " - ", "TRAINING")</f>
        <v xml:space="preserve">          6376 - TRAINING</v>
      </c>
      <c r="C110" s="11"/>
      <c r="D110" s="7">
        <v>868.85</v>
      </c>
      <c r="E110" s="2"/>
      <c r="F110" s="6">
        <f t="shared" si="84"/>
        <v>4.8413115744651777E-3</v>
      </c>
      <c r="G110" s="2"/>
      <c r="H110" s="7">
        <v>540</v>
      </c>
      <c r="I110" s="2"/>
      <c r="J110" s="6">
        <f t="shared" si="85"/>
        <v>2.1610805402701352E-3</v>
      </c>
      <c r="K110" s="2"/>
      <c r="L110" s="7">
        <f t="shared" si="86"/>
        <v>328.85</v>
      </c>
      <c r="M110" s="2"/>
      <c r="N110" s="6">
        <f t="shared" si="87"/>
        <v>0.60898148148148157</v>
      </c>
      <c r="O110" s="11"/>
      <c r="P110" s="7">
        <v>868.85</v>
      </c>
      <c r="Q110" s="2"/>
      <c r="R110" s="6">
        <f t="shared" si="88"/>
        <v>4.8413115744651777E-3</v>
      </c>
      <c r="S110" s="2"/>
      <c r="T110" s="7">
        <v>540</v>
      </c>
      <c r="U110" s="2"/>
      <c r="V110" s="6">
        <f t="shared" si="89"/>
        <v>2.1610805402701352E-3</v>
      </c>
      <c r="W110" s="2"/>
      <c r="X110" s="7">
        <f t="shared" si="90"/>
        <v>328.85</v>
      </c>
      <c r="Y110" s="2"/>
      <c r="Z110" s="6">
        <f t="shared" si="91"/>
        <v>0.60898148148148157</v>
      </c>
    </row>
    <row r="111" spans="1:26" s="27" customFormat="1" outlineLevel="1" collapsed="1" x14ac:dyDescent="0.25">
      <c r="A111" s="28"/>
      <c r="B111" s="14" t="str">
        <f>CONCATENATE("     ","Travel                                            ")</f>
        <v xml:space="preserve">     Travel                                            </v>
      </c>
      <c r="C111" s="14"/>
      <c r="D111" s="1">
        <f>SUM(OSRRefD22_19x_0)</f>
        <v>764.32</v>
      </c>
      <c r="E111" s="1"/>
      <c r="F111" s="5">
        <f t="shared" si="84"/>
        <v>4.2588608650460085E-3</v>
      </c>
      <c r="G111" s="1"/>
      <c r="H111" s="1">
        <f>SUM(OSRRefH22_19x_0)</f>
        <v>5200</v>
      </c>
      <c r="I111" s="1"/>
      <c r="J111" s="5">
        <f t="shared" si="85"/>
        <v>2.0810405202601301E-2</v>
      </c>
      <c r="K111" s="1"/>
      <c r="L111" s="1">
        <f t="shared" si="86"/>
        <v>-4435.68</v>
      </c>
      <c r="M111" s="1"/>
      <c r="N111" s="5">
        <f t="shared" si="87"/>
        <v>-0.85301538461538462</v>
      </c>
      <c r="O111" s="14"/>
      <c r="P111" s="1">
        <f>SUM(OSRRefP22_19x_0)</f>
        <v>764.32</v>
      </c>
      <c r="Q111" s="1"/>
      <c r="R111" s="5">
        <f t="shared" si="88"/>
        <v>4.2588608650460085E-3</v>
      </c>
      <c r="S111" s="1"/>
      <c r="T111" s="1">
        <f>SUM(OSRRefT22_19x_0)</f>
        <v>5200</v>
      </c>
      <c r="U111" s="1"/>
      <c r="V111" s="5">
        <f t="shared" si="89"/>
        <v>2.0810405202601301E-2</v>
      </c>
      <c r="W111" s="1"/>
      <c r="X111" s="1">
        <f t="shared" si="90"/>
        <v>-4435.68</v>
      </c>
      <c r="Y111" s="1"/>
      <c r="Z111" s="5">
        <f t="shared" si="91"/>
        <v>-0.85301538461538462</v>
      </c>
    </row>
    <row r="112" spans="1:26" s="24" customFormat="1" hidden="1" outlineLevel="2" x14ac:dyDescent="0.25">
      <c r="A112" s="29"/>
      <c r="B112" s="11" t="str">
        <f>CONCATENATE("          ", "6292", " - ", "TRAVEL/CONFERENCE")</f>
        <v xml:space="preserve">          6292 - TRAVEL/CONFERENCE</v>
      </c>
      <c r="C112" s="11"/>
      <c r="D112" s="7">
        <v>505.23</v>
      </c>
      <c r="E112" s="2"/>
      <c r="F112" s="6">
        <f t="shared" si="84"/>
        <v>2.8151877156782435E-3</v>
      </c>
      <c r="G112" s="2"/>
      <c r="H112" s="7">
        <v>5200</v>
      </c>
      <c r="I112" s="2"/>
      <c r="J112" s="6">
        <f t="shared" si="85"/>
        <v>2.0810405202601301E-2</v>
      </c>
      <c r="K112" s="2"/>
      <c r="L112" s="7">
        <f t="shared" si="86"/>
        <v>-4694.7700000000004</v>
      </c>
      <c r="M112" s="2"/>
      <c r="N112" s="6">
        <f t="shared" si="87"/>
        <v>-0.90284038461538474</v>
      </c>
      <c r="O112" s="11"/>
      <c r="P112" s="7">
        <v>505.23</v>
      </c>
      <c r="Q112" s="2"/>
      <c r="R112" s="6">
        <f t="shared" si="88"/>
        <v>2.8151877156782435E-3</v>
      </c>
      <c r="S112" s="2"/>
      <c r="T112" s="7">
        <v>5200</v>
      </c>
      <c r="U112" s="2"/>
      <c r="V112" s="6">
        <f t="shared" si="89"/>
        <v>2.0810405202601301E-2</v>
      </c>
      <c r="W112" s="2"/>
      <c r="X112" s="7">
        <f t="shared" si="90"/>
        <v>-4694.7700000000004</v>
      </c>
      <c r="Y112" s="2"/>
      <c r="Z112" s="6">
        <f t="shared" si="91"/>
        <v>-0.90284038461538474</v>
      </c>
    </row>
    <row r="113" spans="1:26" s="24" customFormat="1" hidden="1" outlineLevel="2" x14ac:dyDescent="0.25">
      <c r="A113" s="29"/>
      <c r="B113" s="11" t="str">
        <f>CONCATENATE("          ", "6294", " - ", "TRAVEL OPERATIONAL")</f>
        <v xml:space="preserve">          6294 - TRAVEL OPERATIONAL</v>
      </c>
      <c r="C113" s="11"/>
      <c r="D113" s="7">
        <v>45.49</v>
      </c>
      <c r="E113" s="2"/>
      <c r="F113" s="6">
        <f t="shared" si="84"/>
        <v>2.5347443577420839E-4</v>
      </c>
      <c r="G113" s="2"/>
      <c r="H113" s="7"/>
      <c r="I113" s="2"/>
      <c r="J113" s="6">
        <f t="shared" si="85"/>
        <v>0</v>
      </c>
      <c r="K113" s="2"/>
      <c r="L113" s="7">
        <f t="shared" si="86"/>
        <v>45.49</v>
      </c>
      <c r="M113" s="2"/>
      <c r="N113" s="6">
        <f t="shared" si="87"/>
        <v>0</v>
      </c>
      <c r="O113" s="11"/>
      <c r="P113" s="7">
        <v>45.49</v>
      </c>
      <c r="Q113" s="2"/>
      <c r="R113" s="6">
        <f t="shared" si="88"/>
        <v>2.5347443577420839E-4</v>
      </c>
      <c r="S113" s="2"/>
      <c r="T113" s="7"/>
      <c r="U113" s="2"/>
      <c r="V113" s="6">
        <f t="shared" si="89"/>
        <v>0</v>
      </c>
      <c r="W113" s="2"/>
      <c r="X113" s="7">
        <f t="shared" si="90"/>
        <v>45.49</v>
      </c>
      <c r="Y113" s="2"/>
      <c r="Z113" s="6">
        <f t="shared" si="91"/>
        <v>0</v>
      </c>
    </row>
    <row r="114" spans="1:26" s="24" customFormat="1" hidden="1" outlineLevel="2" x14ac:dyDescent="0.25">
      <c r="A114" s="29"/>
      <c r="B114" s="11" t="str">
        <f>CONCATENATE("          ", "6298", " - ", "VEHICLE MILEAGE")</f>
        <v xml:space="preserve">          6298 - VEHICLE MILEAGE</v>
      </c>
      <c r="C114" s="11"/>
      <c r="D114" s="7">
        <v>213.6</v>
      </c>
      <c r="E114" s="2"/>
      <c r="F114" s="6">
        <f t="shared" si="84"/>
        <v>1.190198713593557E-3</v>
      </c>
      <c r="G114" s="2"/>
      <c r="H114" s="7">
        <v>0</v>
      </c>
      <c r="I114" s="2"/>
      <c r="J114" s="6">
        <f t="shared" si="85"/>
        <v>0</v>
      </c>
      <c r="K114" s="2"/>
      <c r="L114" s="7">
        <f t="shared" si="86"/>
        <v>213.6</v>
      </c>
      <c r="M114" s="2"/>
      <c r="N114" s="6">
        <f t="shared" si="87"/>
        <v>0</v>
      </c>
      <c r="O114" s="11"/>
      <c r="P114" s="7">
        <v>213.6</v>
      </c>
      <c r="Q114" s="2"/>
      <c r="R114" s="6">
        <f t="shared" si="88"/>
        <v>1.190198713593557E-3</v>
      </c>
      <c r="S114" s="2"/>
      <c r="T114" s="7">
        <v>0</v>
      </c>
      <c r="U114" s="2"/>
      <c r="V114" s="6">
        <f t="shared" si="89"/>
        <v>0</v>
      </c>
      <c r="W114" s="2"/>
      <c r="X114" s="7">
        <f t="shared" si="90"/>
        <v>213.6</v>
      </c>
      <c r="Y114" s="2"/>
      <c r="Z114" s="6">
        <f t="shared" si="91"/>
        <v>0</v>
      </c>
    </row>
    <row r="115" spans="1:26" s="27" customFormat="1" outlineLevel="1" collapsed="1" x14ac:dyDescent="0.25">
      <c r="A115" s="28"/>
      <c r="B115" s="14" t="str">
        <f>CONCATENATE("     ","Utilities                                         ")</f>
        <v xml:space="preserve">     Utilities                                         </v>
      </c>
      <c r="C115" s="14"/>
      <c r="D115" s="1">
        <f>SUM(OSRRefD22_20x_0)</f>
        <v>13691</v>
      </c>
      <c r="E115" s="1"/>
      <c r="F115" s="5">
        <f t="shared" ref="F115:F116" si="92">IF(D$12=0,0,D115/D$12)</f>
        <v>7.6287502751916605E-2</v>
      </c>
      <c r="G115" s="1"/>
      <c r="H115" s="1">
        <f>SUM(OSRRefH22_20x_0)</f>
        <v>17450</v>
      </c>
      <c r="I115" s="1"/>
      <c r="J115" s="5">
        <f t="shared" ref="J115:J116" si="93">IF(H$12=0,0,H115/H$12)</f>
        <v>6.983491745872937E-2</v>
      </c>
      <c r="K115" s="1"/>
      <c r="L115" s="1">
        <f t="shared" ref="L115:L116" si="94">+D115-H115</f>
        <v>-3759</v>
      </c>
      <c r="M115" s="1"/>
      <c r="N115" s="5">
        <f t="shared" ref="N115:N116" si="95">IF(H115=0,0,L115/H115)</f>
        <v>-0.21541547277936962</v>
      </c>
      <c r="O115" s="14"/>
      <c r="P115" s="1">
        <f>SUM(OSRRefP22_20x_0)</f>
        <v>13691</v>
      </c>
      <c r="Q115" s="1"/>
      <c r="R115" s="5">
        <f t="shared" ref="R115:R116" si="96">IF(P$12=0,0,P115/P$12)</f>
        <v>7.6287502751916605E-2</v>
      </c>
      <c r="S115" s="1"/>
      <c r="T115" s="1">
        <f>SUM(OSRRefT22_20x_0)</f>
        <v>17450</v>
      </c>
      <c r="U115" s="1"/>
      <c r="V115" s="5">
        <f t="shared" ref="V115:V116" si="97">IF(T$12=0,0,T115/T$12)</f>
        <v>6.983491745872937E-2</v>
      </c>
      <c r="W115" s="1"/>
      <c r="X115" s="1">
        <f t="shared" ref="X115:X116" si="98">+P115-T115</f>
        <v>-3759</v>
      </c>
      <c r="Y115" s="1"/>
      <c r="Z115" s="5">
        <f t="shared" ref="Z115:Z116" si="99">IF(T115=0,0,X115/T115)</f>
        <v>-0.21541547277936962</v>
      </c>
    </row>
    <row r="116" spans="1:26" s="24" customFormat="1" hidden="1" outlineLevel="2" x14ac:dyDescent="0.25">
      <c r="A116" s="29"/>
      <c r="B116" s="11" t="str">
        <f>CONCATENATE("          ", "6274", " - ", "UTILITIES")</f>
        <v xml:space="preserve">          6274 - UTILITIES</v>
      </c>
      <c r="C116" s="11"/>
      <c r="D116" s="7">
        <v>13691</v>
      </c>
      <c r="E116" s="2"/>
      <c r="F116" s="6">
        <f t="shared" si="92"/>
        <v>7.6287502751916605E-2</v>
      </c>
      <c r="G116" s="2"/>
      <c r="H116" s="7">
        <v>17450</v>
      </c>
      <c r="I116" s="2"/>
      <c r="J116" s="6">
        <f t="shared" si="93"/>
        <v>6.983491745872937E-2</v>
      </c>
      <c r="K116" s="2"/>
      <c r="L116" s="7">
        <f t="shared" si="94"/>
        <v>-3759</v>
      </c>
      <c r="M116" s="2"/>
      <c r="N116" s="6">
        <f t="shared" si="95"/>
        <v>-0.21541547277936962</v>
      </c>
      <c r="O116" s="11"/>
      <c r="P116" s="7">
        <v>13691</v>
      </c>
      <c r="Q116" s="2"/>
      <c r="R116" s="6">
        <f t="shared" si="96"/>
        <v>7.6287502751916605E-2</v>
      </c>
      <c r="S116" s="2"/>
      <c r="T116" s="7">
        <v>17450</v>
      </c>
      <c r="U116" s="2"/>
      <c r="V116" s="6">
        <f t="shared" si="97"/>
        <v>6.983491745872937E-2</v>
      </c>
      <c r="W116" s="2"/>
      <c r="X116" s="7">
        <f t="shared" si="98"/>
        <v>-3759</v>
      </c>
      <c r="Y116" s="2"/>
      <c r="Z116" s="6">
        <f t="shared" si="99"/>
        <v>-0.21541547277936962</v>
      </c>
    </row>
    <row r="117" spans="1:26" s="57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5" t="s">
        <v>0</v>
      </c>
      <c r="C118" s="10"/>
      <c r="D118" s="4">
        <f>SUM(OSRRefD25x_0)</f>
        <v>50933.41</v>
      </c>
      <c r="E118" s="4"/>
      <c r="F118" s="12">
        <f t="shared" ref="F118:F122" si="100">IF(D$12=0,0,D118/D$12)</f>
        <v>0.28380561358114803</v>
      </c>
      <c r="G118" s="4"/>
      <c r="H118" s="4">
        <f>SUM(OSRRefH25x_0)</f>
        <v>29503</v>
      </c>
      <c r="I118" s="4"/>
      <c r="J118" s="12">
        <f t="shared" ref="J118:J122" si="101">IF(H$12=0,0,H118/H$12)</f>
        <v>0.11807103551775888</v>
      </c>
      <c r="K118" s="4"/>
      <c r="L118" s="4">
        <f t="shared" ref="L118:L122" si="102">+D118-H118</f>
        <v>21430.410000000003</v>
      </c>
      <c r="M118" s="4"/>
      <c r="N118" s="12">
        <f t="shared" ref="N118:N122" si="103">IF(H118=0,0,L118/H118)</f>
        <v>0.72638070704674118</v>
      </c>
      <c r="O118" s="10"/>
      <c r="P118" s="4">
        <f>SUM(OSRRefP25x_0)</f>
        <v>50933.41</v>
      </c>
      <c r="Q118" s="4"/>
      <c r="R118" s="12">
        <f t="shared" ref="R118:R122" si="104">IF(P$12=0,0,P118/P$12)</f>
        <v>0.28380561358114803</v>
      </c>
      <c r="S118" s="4"/>
      <c r="T118" s="4">
        <f>SUM(OSRRefT25x_0)</f>
        <v>29503</v>
      </c>
      <c r="U118" s="4"/>
      <c r="V118" s="12">
        <f t="shared" ref="V118:V122" si="105">IF(T$12=0,0,T118/T$12)</f>
        <v>0.11807103551775888</v>
      </c>
      <c r="W118" s="4"/>
      <c r="X118" s="4">
        <f t="shared" ref="X118:X122" si="106">+P118-T118</f>
        <v>21430.410000000003</v>
      </c>
      <c r="Y118" s="4"/>
      <c r="Z118" s="12">
        <f t="shared" ref="Z118:Z122" si="107">IF(T118=0,0,X118/T118)</f>
        <v>0.72638070704674118</v>
      </c>
    </row>
    <row r="119" spans="1:26" s="24" customFormat="1" hidden="1" outlineLevel="1" x14ac:dyDescent="0.25">
      <c r="A119" s="51"/>
      <c r="B119" s="11" t="str">
        <f>CONCATENATE("          ", "9150", " - ", "MISC. INCOME")</f>
        <v xml:space="preserve">          9150 - MISC. INCOME</v>
      </c>
      <c r="C119" s="11"/>
      <c r="D119" s="2">
        <f>--41260.26</f>
        <v>41260.26</v>
      </c>
      <c r="E119" s="2"/>
      <c r="F119" s="22">
        <f t="shared" si="100"/>
        <v>0.22990593808303228</v>
      </c>
      <c r="G119" s="2"/>
      <c r="H119" s="2">
        <v>17422</v>
      </c>
      <c r="I119" s="2"/>
      <c r="J119" s="22">
        <f t="shared" si="101"/>
        <v>6.9722861430715363E-2</v>
      </c>
      <c r="K119" s="2"/>
      <c r="L119" s="2">
        <f t="shared" si="102"/>
        <v>23838.260000000002</v>
      </c>
      <c r="M119" s="2"/>
      <c r="N119" s="22">
        <f t="shared" si="103"/>
        <v>1.3682849271036621</v>
      </c>
      <c r="O119" s="11"/>
      <c r="P119" s="2">
        <f>--41260.26</f>
        <v>41260.26</v>
      </c>
      <c r="Q119" s="2"/>
      <c r="R119" s="22">
        <f t="shared" si="104"/>
        <v>0.22990593808303228</v>
      </c>
      <c r="S119" s="2"/>
      <c r="T119" s="2">
        <v>17422</v>
      </c>
      <c r="U119" s="2"/>
      <c r="V119" s="22">
        <f t="shared" si="105"/>
        <v>6.9722861430715363E-2</v>
      </c>
      <c r="W119" s="2"/>
      <c r="X119" s="2">
        <f t="shared" si="106"/>
        <v>23838.260000000002</v>
      </c>
      <c r="Y119" s="2"/>
      <c r="Z119" s="22">
        <f t="shared" si="107"/>
        <v>1.3682849271036621</v>
      </c>
    </row>
    <row r="120" spans="1:26" s="24" customFormat="1" hidden="1" outlineLevel="1" x14ac:dyDescent="0.25">
      <c r="A120" s="51"/>
      <c r="B120" s="11" t="str">
        <f>CONCATENATE("          ", "9151", " - ", "MISC. INCOME")</f>
        <v xml:space="preserve">          9151 - MISC. INCOME</v>
      </c>
      <c r="C120" s="11"/>
      <c r="D120" s="2">
        <f>0</f>
        <v>0</v>
      </c>
      <c r="E120" s="2"/>
      <c r="F120" s="22">
        <f t="shared" si="100"/>
        <v>0</v>
      </c>
      <c r="G120" s="2"/>
      <c r="H120" s="2">
        <v>12081</v>
      </c>
      <c r="I120" s="2"/>
      <c r="J120" s="22">
        <f t="shared" si="101"/>
        <v>4.8348174087043519E-2</v>
      </c>
      <c r="K120" s="2"/>
      <c r="L120" s="2">
        <f t="shared" si="102"/>
        <v>-12081</v>
      </c>
      <c r="M120" s="2"/>
      <c r="N120" s="22">
        <f t="shared" si="103"/>
        <v>-1</v>
      </c>
      <c r="O120" s="11"/>
      <c r="P120" s="2">
        <f>0</f>
        <v>0</v>
      </c>
      <c r="Q120" s="2"/>
      <c r="R120" s="22">
        <f t="shared" si="104"/>
        <v>0</v>
      </c>
      <c r="S120" s="2"/>
      <c r="T120" s="2">
        <v>12081</v>
      </c>
      <c r="U120" s="2"/>
      <c r="V120" s="22">
        <f t="shared" si="105"/>
        <v>4.8348174087043519E-2</v>
      </c>
      <c r="W120" s="2"/>
      <c r="X120" s="2">
        <f t="shared" si="106"/>
        <v>-12081</v>
      </c>
      <c r="Y120" s="2"/>
      <c r="Z120" s="22">
        <f t="shared" si="107"/>
        <v>-1</v>
      </c>
    </row>
    <row r="121" spans="1:26" s="24" customFormat="1" hidden="1" outlineLevel="1" x14ac:dyDescent="0.25">
      <c r="A121" s="51"/>
      <c r="B121" s="11" t="str">
        <f>CONCATENATE("          ", "9160", " - ", "MISC. INCOME")</f>
        <v xml:space="preserve">          9160 - MISC. INCOME</v>
      </c>
      <c r="C121" s="11"/>
      <c r="D121" s="2">
        <f>--5992.1</f>
        <v>5992.1</v>
      </c>
      <c r="E121" s="2"/>
      <c r="F121" s="22">
        <f t="shared" si="100"/>
        <v>3.3388528612939852E-2</v>
      </c>
      <c r="G121" s="2"/>
      <c r="H121" s="2"/>
      <c r="I121" s="2"/>
      <c r="J121" s="22">
        <f t="shared" si="101"/>
        <v>0</v>
      </c>
      <c r="K121" s="2"/>
      <c r="L121" s="2">
        <f t="shared" si="102"/>
        <v>5992.1</v>
      </c>
      <c r="M121" s="2"/>
      <c r="N121" s="22">
        <f t="shared" si="103"/>
        <v>0</v>
      </c>
      <c r="O121" s="11"/>
      <c r="P121" s="2">
        <f>--5992.1</f>
        <v>5992.1</v>
      </c>
      <c r="Q121" s="2"/>
      <c r="R121" s="22">
        <f t="shared" si="104"/>
        <v>3.3388528612939852E-2</v>
      </c>
      <c r="S121" s="2"/>
      <c r="T121" s="2"/>
      <c r="U121" s="2"/>
      <c r="V121" s="22">
        <f t="shared" si="105"/>
        <v>0</v>
      </c>
      <c r="W121" s="2"/>
      <c r="X121" s="2">
        <f t="shared" si="106"/>
        <v>5992.1</v>
      </c>
      <c r="Y121" s="2"/>
      <c r="Z121" s="22">
        <f t="shared" si="107"/>
        <v>0</v>
      </c>
    </row>
    <row r="122" spans="1:26" s="24" customFormat="1" hidden="1" outlineLevel="1" x14ac:dyDescent="0.25">
      <c r="A122" s="51"/>
      <c r="B122" s="11" t="str">
        <f>CONCATENATE("          ", "9165", " - ", "OTHER INCOME")</f>
        <v xml:space="preserve">          9165 - OTHER INCOME</v>
      </c>
      <c r="C122" s="11"/>
      <c r="D122" s="2">
        <f>--3681.05</f>
        <v>3681.05</v>
      </c>
      <c r="E122" s="2"/>
      <c r="F122" s="22">
        <f t="shared" si="100"/>
        <v>2.0511146885175857E-2</v>
      </c>
      <c r="G122" s="2"/>
      <c r="H122" s="2"/>
      <c r="I122" s="2"/>
      <c r="J122" s="22">
        <f t="shared" si="101"/>
        <v>0</v>
      </c>
      <c r="K122" s="2"/>
      <c r="L122" s="2">
        <f t="shared" si="102"/>
        <v>3681.05</v>
      </c>
      <c r="M122" s="2"/>
      <c r="N122" s="22">
        <f t="shared" si="103"/>
        <v>0</v>
      </c>
      <c r="O122" s="11"/>
      <c r="P122" s="2">
        <f>--3681.05</f>
        <v>3681.05</v>
      </c>
      <c r="Q122" s="2"/>
      <c r="R122" s="22">
        <f t="shared" si="104"/>
        <v>2.0511146885175857E-2</v>
      </c>
      <c r="S122" s="2"/>
      <c r="T122" s="2"/>
      <c r="U122" s="2"/>
      <c r="V122" s="22">
        <f t="shared" si="105"/>
        <v>0</v>
      </c>
      <c r="W122" s="2"/>
      <c r="X122" s="2">
        <f t="shared" si="106"/>
        <v>3681.05</v>
      </c>
      <c r="Y122" s="2"/>
      <c r="Z122" s="22">
        <f t="shared" si="107"/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6" t="s">
        <v>3</v>
      </c>
      <c r="C124" s="26"/>
      <c r="D124" s="21">
        <f>+D30-D32+D118</f>
        <v>-242981.94999999998</v>
      </c>
      <c r="E124" s="13"/>
      <c r="F124" s="19">
        <f>IF(D$12=0,0,D124/D$12)</f>
        <v>-1.3539176232043724</v>
      </c>
      <c r="G124" s="13"/>
      <c r="H124" s="21">
        <f>+H30-H32+H118</f>
        <v>-205543.33850418276</v>
      </c>
      <c r="I124" s="13"/>
      <c r="J124" s="19">
        <f>IF(H$12=0,0,H124/H$12)</f>
        <v>-0.82258464633990103</v>
      </c>
      <c r="K124" s="15"/>
      <c r="L124" s="21">
        <f>+D124-H124</f>
        <v>-37438.611495817226</v>
      </c>
      <c r="M124" s="15"/>
      <c r="N124" s="19">
        <f>IF(H124=0,0,L124/H124)</f>
        <v>0.18214461129352222</v>
      </c>
      <c r="O124" s="25"/>
      <c r="P124" s="21">
        <f>+P30-P32+P118</f>
        <v>-242981.94999999998</v>
      </c>
      <c r="Q124" s="13"/>
      <c r="R124" s="19">
        <f>IF(P$12=0,0,P124/P$12)</f>
        <v>-1.3539176232043724</v>
      </c>
      <c r="S124" s="13"/>
      <c r="T124" s="21">
        <f>+T30-T32+T118</f>
        <v>-205543.33850418276</v>
      </c>
      <c r="U124" s="13"/>
      <c r="V124" s="19">
        <f>IF(T$12=0,0,T124/T$12)</f>
        <v>-0.82258464633990103</v>
      </c>
      <c r="W124" s="15"/>
      <c r="X124" s="21">
        <f>+P124-T124</f>
        <v>-37438.611495817226</v>
      </c>
      <c r="Y124" s="15"/>
      <c r="Z124" s="19">
        <f>IF(T124=0,0,X124/T124)</f>
        <v>0.18214461129352222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2"/>
      <c r="B126" s="10" t="s">
        <v>14</v>
      </c>
      <c r="C126" s="10"/>
      <c r="D126" s="4">
        <v>37316.230000000003</v>
      </c>
      <c r="E126" s="4"/>
      <c r="F126" s="12">
        <f>IF(D$12=0,0,D126/D$12)</f>
        <v>0.20792944261311472</v>
      </c>
      <c r="G126" s="4"/>
      <c r="H126" s="4">
        <v>60896.999999999993</v>
      </c>
      <c r="I126" s="4"/>
      <c r="J126" s="12">
        <f>IF(H$12=0,0,H126/H$12)</f>
        <v>0.24370985492746369</v>
      </c>
      <c r="K126" s="4"/>
      <c r="L126" s="4">
        <f>+D126-H126</f>
        <v>-23580.76999999999</v>
      </c>
      <c r="M126" s="4"/>
      <c r="N126" s="12">
        <f>IF(H126=0,0,L126/H126)</f>
        <v>-0.3872238369706224</v>
      </c>
      <c r="O126" s="10"/>
      <c r="P126" s="4">
        <v>37316.230000000003</v>
      </c>
      <c r="Q126" s="4"/>
      <c r="R126" s="12">
        <f>IF(P$12=0,0,P126/P$12)</f>
        <v>0.20792944261311472</v>
      </c>
      <c r="S126" s="4"/>
      <c r="T126" s="4">
        <v>60896.999999999993</v>
      </c>
      <c r="U126" s="4"/>
      <c r="V126" s="12">
        <f>IF(T$12=0,0,T126/T$12)</f>
        <v>0.24370985492746369</v>
      </c>
      <c r="W126" s="4"/>
      <c r="X126" s="4">
        <f>+P126-T126</f>
        <v>-23580.76999999999</v>
      </c>
      <c r="Y126" s="4"/>
      <c r="Z126" s="12">
        <f>IF(T126=0,0,X126/T126)</f>
        <v>-0.3872238369706224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6" t="s">
        <v>4</v>
      </c>
      <c r="C128" s="26"/>
      <c r="D128" s="32">
        <f>+D124-D126</f>
        <v>-280298.18</v>
      </c>
      <c r="E128" s="13"/>
      <c r="F128" s="31">
        <f>IF(D$12=0,0,D128/D$12)</f>
        <v>-1.5618470658174872</v>
      </c>
      <c r="G128" s="13"/>
      <c r="H128" s="32">
        <f>+H124-H126</f>
        <v>-266440.33850418276</v>
      </c>
      <c r="I128" s="13"/>
      <c r="J128" s="31">
        <f>IF(H$12=0,0,H128/H$12)</f>
        <v>-1.0662945012673648</v>
      </c>
      <c r="K128" s="15"/>
      <c r="L128" s="32">
        <f>D128-H128</f>
        <v>-13857.841495817236</v>
      </c>
      <c r="M128" s="15"/>
      <c r="N128" s="31">
        <f>IF(H128=0,0,L128/H128)</f>
        <v>5.201104897860534E-2</v>
      </c>
      <c r="O128" s="25"/>
      <c r="P128" s="32">
        <f>+P124-P126</f>
        <v>-280298.18</v>
      </c>
      <c r="Q128" s="13"/>
      <c r="R128" s="31">
        <f>IF(P$12=0,0,P128/P$12)</f>
        <v>-1.5618470658174872</v>
      </c>
      <c r="S128" s="13"/>
      <c r="T128" s="32">
        <f>+T124-T126</f>
        <v>-266440.33850418276</v>
      </c>
      <c r="U128" s="13"/>
      <c r="V128" s="31">
        <f>IF(T$12=0,0,T128/T$12)</f>
        <v>-1.0662945012673648</v>
      </c>
      <c r="W128" s="15"/>
      <c r="X128" s="32">
        <f>P128-T128</f>
        <v>-13857.841495817236</v>
      </c>
      <c r="Y128" s="15"/>
      <c r="Z128" s="31">
        <f>IF(T128=0,0,X128/T128)</f>
        <v>5.201104897860534E-2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6" t="s">
        <v>5</v>
      </c>
      <c r="C131" s="26"/>
      <c r="D131" s="33">
        <f>SUM(D128:D130)</f>
        <v>-280298.18</v>
      </c>
      <c r="E131" s="13"/>
      <c r="F131" s="34">
        <f>IF(D$12=0,0,D131/D$12)</f>
        <v>-1.5618470658174872</v>
      </c>
      <c r="G131" s="13"/>
      <c r="H131" s="33">
        <f>SUM(H128:H130)</f>
        <v>-266440.33850418276</v>
      </c>
      <c r="I131" s="13"/>
      <c r="J131" s="34">
        <f>IF(H$12=0,0,H131/H$12)</f>
        <v>-1.0662945012673648</v>
      </c>
      <c r="K131" s="15"/>
      <c r="L131" s="33">
        <f>+D131-H131</f>
        <v>-13857.841495817236</v>
      </c>
      <c r="M131" s="15"/>
      <c r="N131" s="34">
        <f>IF(H131=0,0,L131/H131)</f>
        <v>5.201104897860534E-2</v>
      </c>
      <c r="O131" s="25"/>
      <c r="P131" s="33">
        <f>SUM(P128:P130)</f>
        <v>-280298.18</v>
      </c>
      <c r="Q131" s="13"/>
      <c r="R131" s="34">
        <f>IF(P$12=0,0,P131/P$12)</f>
        <v>-1.5618470658174872</v>
      </c>
      <c r="S131" s="13"/>
      <c r="T131" s="33">
        <f>SUM(T128:T130)</f>
        <v>-266440.33850418276</v>
      </c>
      <c r="U131" s="13"/>
      <c r="V131" s="34">
        <f>IF(T$12=0,0,T131/T$12)</f>
        <v>-1.0662945012673648</v>
      </c>
      <c r="W131" s="15"/>
      <c r="X131" s="33">
        <f>+P131-T131</f>
        <v>-13857.841495817236</v>
      </c>
      <c r="Y131" s="15"/>
      <c r="Z131" s="34">
        <f>IF(T131=0,0,X131/T131)</f>
        <v>5.201104897860534E-2</v>
      </c>
    </row>
    <row r="132" spans="1:26" ht="15.75" thickTop="1" x14ac:dyDescent="0.25">
      <c r="A132" s="9"/>
      <c r="C132" s="9"/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61">
        <v>43726.678323726854</v>
      </c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56" t="s">
        <v>314</v>
      </c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53"/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","405", " - ", "Library Starbucks")</f>
        <v>Department 405 - Library Starbucks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18106.690000000002</v>
      </c>
      <c r="E12" s="4"/>
      <c r="F12" s="12"/>
      <c r="G12" s="4"/>
      <c r="H12" s="4">
        <f>SUM(OSRRefH13x_0)</f>
        <v>25000</v>
      </c>
      <c r="I12" s="4"/>
      <c r="J12" s="12"/>
      <c r="K12" s="4"/>
      <c r="L12" s="4">
        <f t="shared" ref="L12:L15" si="0">+D12-H12</f>
        <v>-6893.3099999999977</v>
      </c>
      <c r="M12" s="4"/>
      <c r="N12" s="12">
        <f t="shared" ref="N12:N15" si="1">IF(H12=0,0,L12/H12)</f>
        <v>-0.27573239999999993</v>
      </c>
      <c r="O12" s="10"/>
      <c r="P12" s="4">
        <f>SUM(OSRRefP13x_0)</f>
        <v>18106.690000000002</v>
      </c>
      <c r="Q12" s="4"/>
      <c r="R12" s="12"/>
      <c r="S12" s="4"/>
      <c r="T12" s="4">
        <f>SUM(OSRRefT13x_0)</f>
        <v>25000</v>
      </c>
      <c r="U12" s="4"/>
      <c r="V12" s="12"/>
      <c r="W12" s="4"/>
      <c r="X12" s="4">
        <f t="shared" ref="X12:X15" si="2">+P12-T12</f>
        <v>-6893.3099999999977</v>
      </c>
      <c r="Y12" s="4"/>
      <c r="Z12" s="12">
        <f t="shared" ref="Z12:Z15" si="3">IF(T12=0,0,X12/T12)</f>
        <v>-0.27573239999999993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25000</v>
      </c>
      <c r="I13" s="2"/>
      <c r="J13" s="22"/>
      <c r="K13" s="2"/>
      <c r="L13" s="2">
        <f t="shared" si="0"/>
        <v>-25000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25000</v>
      </c>
      <c r="U13" s="2"/>
      <c r="V13" s="22"/>
      <c r="W13" s="2"/>
      <c r="X13" s="2">
        <f t="shared" si="2"/>
        <v>-25000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--5601.85</f>
        <v>5601.85</v>
      </c>
      <c r="E14" s="2"/>
      <c r="F14" s="22"/>
      <c r="G14" s="2"/>
      <c r="H14" s="2"/>
      <c r="I14" s="2"/>
      <c r="J14" s="22"/>
      <c r="K14" s="2"/>
      <c r="L14" s="2">
        <f t="shared" si="0"/>
        <v>5601.85</v>
      </c>
      <c r="M14" s="2"/>
      <c r="N14" s="22">
        <f t="shared" si="1"/>
        <v>0</v>
      </c>
      <c r="O14" s="11"/>
      <c r="P14" s="2">
        <f>--5601.85</f>
        <v>5601.85</v>
      </c>
      <c r="Q14" s="2"/>
      <c r="R14" s="22"/>
      <c r="S14" s="2"/>
      <c r="T14" s="2"/>
      <c r="U14" s="2"/>
      <c r="V14" s="22"/>
      <c r="W14" s="2"/>
      <c r="X14" s="2">
        <f t="shared" si="2"/>
        <v>5601.85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--12504.84</f>
        <v>12504.84</v>
      </c>
      <c r="E15" s="2"/>
      <c r="F15" s="22"/>
      <c r="G15" s="2"/>
      <c r="H15" s="2"/>
      <c r="I15" s="2"/>
      <c r="J15" s="22"/>
      <c r="K15" s="2"/>
      <c r="L15" s="2">
        <f t="shared" si="0"/>
        <v>12504.84</v>
      </c>
      <c r="M15" s="2"/>
      <c r="N15" s="22">
        <f t="shared" si="1"/>
        <v>0</v>
      </c>
      <c r="O15" s="11"/>
      <c r="P15" s="2">
        <f>--12504.84</f>
        <v>12504.84</v>
      </c>
      <c r="Q15" s="2"/>
      <c r="R15" s="22"/>
      <c r="S15" s="2"/>
      <c r="T15" s="2"/>
      <c r="U15" s="2"/>
      <c r="V15" s="22"/>
      <c r="W15" s="2"/>
      <c r="X15" s="2">
        <f t="shared" si="2"/>
        <v>12504.84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10235.35</v>
      </c>
      <c r="E17" s="4"/>
      <c r="F17" s="12">
        <f t="shared" ref="F17:F20" si="4">IF(D$12=0,0,D17/D$12)</f>
        <v>0.56528001528716731</v>
      </c>
      <c r="G17" s="4"/>
      <c r="H17" s="4">
        <f>SUM(OSRRefH16x_0)</f>
        <v>8000</v>
      </c>
      <c r="I17" s="4"/>
      <c r="J17" s="12">
        <f t="shared" ref="J17:J20" si="5">IF(H$12=0,0,H17/H$12)</f>
        <v>0.32</v>
      </c>
      <c r="K17" s="4"/>
      <c r="L17" s="4">
        <f t="shared" ref="L17:L20" si="6">+D17-H17</f>
        <v>2235.3500000000004</v>
      </c>
      <c r="M17" s="4"/>
      <c r="N17" s="12">
        <f t="shared" ref="N17:N20" si="7">IF(H17=0,0,L17/H17)</f>
        <v>0.27941875000000005</v>
      </c>
      <c r="O17" s="10"/>
      <c r="P17" s="4">
        <f>SUM(OSRRefP16x_0)</f>
        <v>10235.35</v>
      </c>
      <c r="Q17" s="4"/>
      <c r="R17" s="12">
        <f t="shared" ref="R17:R20" si="8">IF(P$12=0,0,P17/P$12)</f>
        <v>0.56528001528716731</v>
      </c>
      <c r="S17" s="4"/>
      <c r="T17" s="4">
        <f>SUM(OSRRefT16x_0)</f>
        <v>8000</v>
      </c>
      <c r="U17" s="4"/>
      <c r="V17" s="12">
        <f t="shared" ref="V17:V20" si="9">IF(T$12=0,0,T17/T$12)</f>
        <v>0.32</v>
      </c>
      <c r="W17" s="4"/>
      <c r="X17" s="4">
        <f t="shared" ref="X17:X20" si="10">+P17-T17</f>
        <v>2235.3500000000004</v>
      </c>
      <c r="Y17" s="4"/>
      <c r="Z17" s="12">
        <f t="shared" ref="Z17:Z20" si="11">IF(T17=0,0,X17/T17)</f>
        <v>0.27941875000000005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4"/>
        <v>0</v>
      </c>
      <c r="G18" s="2"/>
      <c r="H18" s="2">
        <v>8000</v>
      </c>
      <c r="I18" s="2"/>
      <c r="J18" s="22">
        <f t="shared" si="5"/>
        <v>0.32</v>
      </c>
      <c r="K18" s="2"/>
      <c r="L18" s="2">
        <f t="shared" si="6"/>
        <v>-8000</v>
      </c>
      <c r="M18" s="2"/>
      <c r="N18" s="22">
        <f t="shared" si="7"/>
        <v>-1</v>
      </c>
      <c r="O18" s="11"/>
      <c r="P18" s="2"/>
      <c r="Q18" s="2"/>
      <c r="R18" s="22">
        <f t="shared" si="8"/>
        <v>0</v>
      </c>
      <c r="S18" s="2"/>
      <c r="T18" s="2">
        <v>8000</v>
      </c>
      <c r="U18" s="2"/>
      <c r="V18" s="22">
        <f t="shared" si="9"/>
        <v>0.32</v>
      </c>
      <c r="W18" s="2"/>
      <c r="X18" s="2">
        <f t="shared" si="10"/>
        <v>-8000</v>
      </c>
      <c r="Y18" s="2"/>
      <c r="Z18" s="22">
        <f t="shared" si="11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8853.35</v>
      </c>
      <c r="E19" s="2"/>
      <c r="F19" s="22">
        <f t="shared" si="4"/>
        <v>0.48895463499954983</v>
      </c>
      <c r="G19" s="2"/>
      <c r="H19" s="2"/>
      <c r="I19" s="2"/>
      <c r="J19" s="22">
        <f t="shared" si="5"/>
        <v>0</v>
      </c>
      <c r="K19" s="2"/>
      <c r="L19" s="2">
        <f t="shared" si="6"/>
        <v>8853.35</v>
      </c>
      <c r="M19" s="2"/>
      <c r="N19" s="22">
        <f t="shared" si="7"/>
        <v>0</v>
      </c>
      <c r="O19" s="11"/>
      <c r="P19" s="2">
        <v>8853.35</v>
      </c>
      <c r="Q19" s="2"/>
      <c r="R19" s="22">
        <f t="shared" si="8"/>
        <v>0.48895463499954983</v>
      </c>
      <c r="S19" s="2"/>
      <c r="T19" s="2"/>
      <c r="U19" s="2"/>
      <c r="V19" s="22">
        <f t="shared" si="9"/>
        <v>0</v>
      </c>
      <c r="W19" s="2"/>
      <c r="X19" s="2">
        <f t="shared" si="10"/>
        <v>8853.35</v>
      </c>
      <c r="Y19" s="2"/>
      <c r="Z19" s="22">
        <f t="shared" si="11"/>
        <v>0</v>
      </c>
    </row>
    <row r="20" spans="1:26" s="24" customFormat="1" hidden="1" outlineLevel="1" x14ac:dyDescent="0.25">
      <c r="A20" s="51"/>
      <c r="B20" s="11" t="str">
        <f>CONCATENATE("          ", "5059", " - ", "PURCHASES @ COST-FOOD")</f>
        <v xml:space="preserve">          5059 - PURCHASES @ COST-FOOD</v>
      </c>
      <c r="C20" s="11"/>
      <c r="D20" s="2">
        <v>1382</v>
      </c>
      <c r="E20" s="2"/>
      <c r="F20" s="22">
        <f t="shared" si="4"/>
        <v>7.6325380287617442E-2</v>
      </c>
      <c r="G20" s="2"/>
      <c r="H20" s="2"/>
      <c r="I20" s="2"/>
      <c r="J20" s="22">
        <f t="shared" si="5"/>
        <v>0</v>
      </c>
      <c r="K20" s="2"/>
      <c r="L20" s="2">
        <f t="shared" si="6"/>
        <v>1382</v>
      </c>
      <c r="M20" s="2"/>
      <c r="N20" s="22">
        <f t="shared" si="7"/>
        <v>0</v>
      </c>
      <c r="O20" s="11"/>
      <c r="P20" s="2">
        <v>1382</v>
      </c>
      <c r="Q20" s="2"/>
      <c r="R20" s="22">
        <f t="shared" si="8"/>
        <v>7.6325380287617442E-2</v>
      </c>
      <c r="S20" s="2"/>
      <c r="T20" s="2"/>
      <c r="U20" s="2"/>
      <c r="V20" s="22">
        <f t="shared" si="9"/>
        <v>0</v>
      </c>
      <c r="W20" s="2"/>
      <c r="X20" s="2">
        <f t="shared" si="10"/>
        <v>1382</v>
      </c>
      <c r="Y20" s="2"/>
      <c r="Z20" s="22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6</v>
      </c>
      <c r="C22" s="26"/>
      <c r="D22" s="21">
        <f>D12-D17</f>
        <v>7871.340000000002</v>
      </c>
      <c r="E22" s="13"/>
      <c r="F22" s="19">
        <f>IF(D$12=0,0,D22/D$12)</f>
        <v>0.43471998471283269</v>
      </c>
      <c r="G22" s="13"/>
      <c r="H22" s="21">
        <f>H12-H17</f>
        <v>17000</v>
      </c>
      <c r="I22" s="13"/>
      <c r="J22" s="19">
        <f>IF(H$12=0,0,H22/H$12)</f>
        <v>0.68</v>
      </c>
      <c r="K22" s="15"/>
      <c r="L22" s="21">
        <f>+D22-H22</f>
        <v>-9128.659999999998</v>
      </c>
      <c r="M22" s="15"/>
      <c r="N22" s="19">
        <f>IF(H22=0,0,L22/H22)</f>
        <v>-0.5369799999999999</v>
      </c>
      <c r="O22" s="25"/>
      <c r="P22" s="21">
        <f>P12-P17</f>
        <v>7871.340000000002</v>
      </c>
      <c r="Q22" s="13"/>
      <c r="R22" s="19">
        <f>IF(P$12=0,0,P22/P$12)</f>
        <v>0.43471998471283269</v>
      </c>
      <c r="S22" s="13"/>
      <c r="T22" s="21">
        <f>T12-T17</f>
        <v>17000</v>
      </c>
      <c r="U22" s="13"/>
      <c r="V22" s="19">
        <f>IF(T$12=0,0,T22/T$12)</f>
        <v>0.68</v>
      </c>
      <c r="W22" s="15"/>
      <c r="X22" s="21">
        <f>+P22-T22</f>
        <v>-9128.659999999998</v>
      </c>
      <c r="Y22" s="15"/>
      <c r="Z22" s="19">
        <f>IF(T22=0,0,X22/T22)</f>
        <v>-0.5369799999999999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9</v>
      </c>
      <c r="C24" s="10"/>
      <c r="D24" s="20">
        <f>SUM(OSRRefD22x_0)</f>
        <v>40848.790000000008</v>
      </c>
      <c r="E24" s="20"/>
      <c r="F24" s="30">
        <f t="shared" ref="F24:F34" si="12">IF(D$12=0,0,D24/D$12)</f>
        <v>2.2560053770181079</v>
      </c>
      <c r="G24" s="20"/>
      <c r="H24" s="20">
        <f>SUM(OSRRefH22x_0)</f>
        <v>37577.920036999996</v>
      </c>
      <c r="I24" s="20"/>
      <c r="J24" s="30">
        <f t="shared" ref="J24:J34" si="13">IF(H$12=0,0,H24/H$12)</f>
        <v>1.5031168014799998</v>
      </c>
      <c r="K24" s="4"/>
      <c r="L24" s="20">
        <f t="shared" ref="L24:L34" si="14">+D24-H24</f>
        <v>3270.8699630000119</v>
      </c>
      <c r="M24" s="4"/>
      <c r="N24" s="30">
        <f t="shared" ref="N24:N34" si="15">IF(H24=0,0,L24/H24)</f>
        <v>8.7042336557729805E-2</v>
      </c>
      <c r="O24" s="10"/>
      <c r="P24" s="20">
        <f>SUM(OSRRefP22x_0)</f>
        <v>40848.790000000008</v>
      </c>
      <c r="Q24" s="20"/>
      <c r="R24" s="30">
        <f t="shared" ref="R24:R34" si="16">IF(P$12=0,0,P24/P$12)</f>
        <v>2.2560053770181079</v>
      </c>
      <c r="S24" s="20"/>
      <c r="T24" s="20">
        <f>SUM(OSRRefT22x_0)</f>
        <v>37577.920036999996</v>
      </c>
      <c r="U24" s="20"/>
      <c r="V24" s="30">
        <f t="shared" ref="V24:V34" si="17">IF(T$12=0,0,T24/T$12)</f>
        <v>1.5031168014799998</v>
      </c>
      <c r="W24" s="4"/>
      <c r="X24" s="20">
        <f t="shared" ref="X24:X34" si="18">+P24-T24</f>
        <v>3270.8699630000119</v>
      </c>
      <c r="Y24" s="4"/>
      <c r="Z24" s="30">
        <f t="shared" ref="Z24:Z34" si="19">IF(T24=0,0,X24/T24)</f>
        <v>8.7042336557729805E-2</v>
      </c>
    </row>
    <row r="25" spans="1:26" s="27" customFormat="1" outlineLevel="1" collapsed="1" x14ac:dyDescent="0.25">
      <c r="A25" s="28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4835.1100000000006</v>
      </c>
      <c r="E25" s="1"/>
      <c r="F25" s="5">
        <f t="shared" si="12"/>
        <v>0.2670344496978741</v>
      </c>
      <c r="G25" s="1"/>
      <c r="H25" s="1">
        <f>SUM(OSRRefH22_0x_0)</f>
        <v>4617.9817293076976</v>
      </c>
      <c r="I25" s="1"/>
      <c r="J25" s="5">
        <f t="shared" si="13"/>
        <v>0.18471926917230791</v>
      </c>
      <c r="K25" s="1"/>
      <c r="L25" s="1">
        <f t="shared" si="14"/>
        <v>217.12827069230298</v>
      </c>
      <c r="M25" s="1"/>
      <c r="N25" s="5">
        <f t="shared" si="15"/>
        <v>4.701800124377141E-2</v>
      </c>
      <c r="O25" s="14"/>
      <c r="P25" s="1">
        <f>SUM(OSRRefP22_0x_0)</f>
        <v>4835.1100000000006</v>
      </c>
      <c r="Q25" s="1"/>
      <c r="R25" s="5">
        <f t="shared" si="16"/>
        <v>0.2670344496978741</v>
      </c>
      <c r="S25" s="1"/>
      <c r="T25" s="1">
        <f>SUM(OSRRefT22_0x_0)</f>
        <v>4617.9817293076976</v>
      </c>
      <c r="U25" s="1"/>
      <c r="V25" s="5">
        <f t="shared" si="17"/>
        <v>0.18471926917230791</v>
      </c>
      <c r="W25" s="1"/>
      <c r="X25" s="1">
        <f t="shared" si="18"/>
        <v>217.12827069230298</v>
      </c>
      <c r="Y25" s="1"/>
      <c r="Z25" s="5">
        <f t="shared" si="19"/>
        <v>4.701800124377141E-2</v>
      </c>
    </row>
    <row r="26" spans="1:26" s="24" customFormat="1" hidden="1" outlineLevel="2" x14ac:dyDescent="0.25">
      <c r="A26" s="29"/>
      <c r="B26" s="11" t="str">
        <f>CONCATENATE("          ", "6111", " - ", "F.I.C.A.")</f>
        <v xml:space="preserve">          6111 - F.I.C.A.</v>
      </c>
      <c r="C26" s="11"/>
      <c r="D26" s="7">
        <v>1065.44</v>
      </c>
      <c r="E26" s="2"/>
      <c r="F26" s="6">
        <f t="shared" si="12"/>
        <v>5.8842339488885044E-2</v>
      </c>
      <c r="G26" s="2"/>
      <c r="H26" s="7">
        <v>992.89845392307689</v>
      </c>
      <c r="I26" s="2"/>
      <c r="J26" s="6">
        <f t="shared" si="13"/>
        <v>3.9715938156923078E-2</v>
      </c>
      <c r="K26" s="2"/>
      <c r="L26" s="7">
        <f t="shared" si="14"/>
        <v>72.541546076923169</v>
      </c>
      <c r="M26" s="2"/>
      <c r="N26" s="6">
        <f t="shared" si="15"/>
        <v>7.3060387787191788E-2</v>
      </c>
      <c r="O26" s="11"/>
      <c r="P26" s="7">
        <v>1065.44</v>
      </c>
      <c r="Q26" s="2"/>
      <c r="R26" s="6">
        <f t="shared" si="16"/>
        <v>5.8842339488885044E-2</v>
      </c>
      <c r="S26" s="2"/>
      <c r="T26" s="7">
        <v>992.89845392307689</v>
      </c>
      <c r="U26" s="2"/>
      <c r="V26" s="6">
        <f t="shared" si="17"/>
        <v>3.9715938156923078E-2</v>
      </c>
      <c r="W26" s="2"/>
      <c r="X26" s="7">
        <f t="shared" si="18"/>
        <v>72.541546076923169</v>
      </c>
      <c r="Y26" s="2"/>
      <c r="Z26" s="6">
        <f t="shared" si="19"/>
        <v>7.3060387787191788E-2</v>
      </c>
    </row>
    <row r="27" spans="1:26" s="24" customFormat="1" hidden="1" outlineLevel="2" x14ac:dyDescent="0.25">
      <c r="A27" s="29"/>
      <c r="B27" s="11" t="str">
        <f>CONCATENATE("          ", "6112", " - ", "COMPENSATION INSURANCE")</f>
        <v xml:space="preserve">          6112 - COMPENSATION INSURANCE</v>
      </c>
      <c r="C27" s="11"/>
      <c r="D27" s="7">
        <v>532.61</v>
      </c>
      <c r="E27" s="2"/>
      <c r="F27" s="6">
        <f t="shared" si="12"/>
        <v>2.9415094641814708E-2</v>
      </c>
      <c r="G27" s="2"/>
      <c r="H27" s="7">
        <v>503.39030461538499</v>
      </c>
      <c r="I27" s="2"/>
      <c r="J27" s="6">
        <f t="shared" si="13"/>
        <v>2.01356121846154E-2</v>
      </c>
      <c r="K27" s="2"/>
      <c r="L27" s="7">
        <f t="shared" si="14"/>
        <v>29.219695384615022</v>
      </c>
      <c r="M27" s="2"/>
      <c r="N27" s="6">
        <f t="shared" si="15"/>
        <v>5.8045804849063014E-2</v>
      </c>
      <c r="O27" s="11"/>
      <c r="P27" s="7">
        <v>532.61</v>
      </c>
      <c r="Q27" s="2"/>
      <c r="R27" s="6">
        <f t="shared" si="16"/>
        <v>2.9415094641814708E-2</v>
      </c>
      <c r="S27" s="2"/>
      <c r="T27" s="7">
        <v>503.39030461538499</v>
      </c>
      <c r="U27" s="2"/>
      <c r="V27" s="6">
        <f t="shared" si="17"/>
        <v>2.01356121846154E-2</v>
      </c>
      <c r="W27" s="2"/>
      <c r="X27" s="7">
        <f t="shared" si="18"/>
        <v>29.219695384615022</v>
      </c>
      <c r="Y27" s="2"/>
      <c r="Z27" s="6">
        <f t="shared" si="19"/>
        <v>5.8045804849063014E-2</v>
      </c>
    </row>
    <row r="28" spans="1:26" s="24" customFormat="1" hidden="1" outlineLevel="2" x14ac:dyDescent="0.25">
      <c r="A28" s="29"/>
      <c r="B28" s="11" t="str">
        <f>CONCATENATE("          ", "6113", " - ", "GROUP INSURANCE")</f>
        <v xml:space="preserve">          6113 - GROUP INSURANCE</v>
      </c>
      <c r="C28" s="11"/>
      <c r="D28" s="7">
        <v>1376.23</v>
      </c>
      <c r="E28" s="2"/>
      <c r="F28" s="6">
        <f t="shared" si="12"/>
        <v>7.6006713540685777E-2</v>
      </c>
      <c r="G28" s="2"/>
      <c r="H28" s="7">
        <v>1326</v>
      </c>
      <c r="I28" s="2"/>
      <c r="J28" s="6">
        <f t="shared" si="13"/>
        <v>5.3039999999999997E-2</v>
      </c>
      <c r="K28" s="2"/>
      <c r="L28" s="7">
        <f t="shared" si="14"/>
        <v>50.230000000000018</v>
      </c>
      <c r="M28" s="2"/>
      <c r="N28" s="6">
        <f t="shared" si="15"/>
        <v>3.788084464555054E-2</v>
      </c>
      <c r="O28" s="11"/>
      <c r="P28" s="7">
        <v>1376.23</v>
      </c>
      <c r="Q28" s="2"/>
      <c r="R28" s="6">
        <f t="shared" si="16"/>
        <v>7.6006713540685777E-2</v>
      </c>
      <c r="S28" s="2"/>
      <c r="T28" s="7">
        <v>1326</v>
      </c>
      <c r="U28" s="2"/>
      <c r="V28" s="6">
        <f t="shared" si="17"/>
        <v>5.3039999999999997E-2</v>
      </c>
      <c r="W28" s="2"/>
      <c r="X28" s="7">
        <f t="shared" si="18"/>
        <v>50.230000000000018</v>
      </c>
      <c r="Y28" s="2"/>
      <c r="Z28" s="6">
        <f t="shared" si="19"/>
        <v>3.788084464555054E-2</v>
      </c>
    </row>
    <row r="29" spans="1:26" s="24" customFormat="1" hidden="1" outlineLevel="2" x14ac:dyDescent="0.25">
      <c r="A29" s="29"/>
      <c r="B29" s="11" t="str">
        <f>CONCATENATE("          ", "6114", " - ", "STATE UNEMPLOYMENT INSURANCE")</f>
        <v xml:space="preserve">          6114 - STATE UNEMPLOYMENT INSURANCE</v>
      </c>
      <c r="C29" s="11"/>
      <c r="D29" s="7">
        <v>36.56</v>
      </c>
      <c r="E29" s="2"/>
      <c r="F29" s="6">
        <f t="shared" si="12"/>
        <v>2.0191432006622964E-3</v>
      </c>
      <c r="G29" s="2"/>
      <c r="H29" s="7">
        <v>33.732340000000001</v>
      </c>
      <c r="I29" s="2"/>
      <c r="J29" s="6">
        <f t="shared" si="13"/>
        <v>1.3492936000000001E-3</v>
      </c>
      <c r="K29" s="2"/>
      <c r="L29" s="7">
        <f t="shared" si="14"/>
        <v>2.8276600000000016</v>
      </c>
      <c r="M29" s="2"/>
      <c r="N29" s="6">
        <f t="shared" si="15"/>
        <v>8.3826381448781837E-2</v>
      </c>
      <c r="O29" s="11"/>
      <c r="P29" s="7">
        <v>36.56</v>
      </c>
      <c r="Q29" s="2"/>
      <c r="R29" s="6">
        <f t="shared" si="16"/>
        <v>2.0191432006622964E-3</v>
      </c>
      <c r="S29" s="2"/>
      <c r="T29" s="7">
        <v>33.732340000000001</v>
      </c>
      <c r="U29" s="2"/>
      <c r="V29" s="6">
        <f t="shared" si="17"/>
        <v>1.3492936000000001E-3</v>
      </c>
      <c r="W29" s="2"/>
      <c r="X29" s="7">
        <f t="shared" si="18"/>
        <v>2.8276600000000016</v>
      </c>
      <c r="Y29" s="2"/>
      <c r="Z29" s="6">
        <f t="shared" si="19"/>
        <v>8.3826381448781837E-2</v>
      </c>
    </row>
    <row r="30" spans="1:26" s="24" customFormat="1" hidden="1" outlineLevel="2" x14ac:dyDescent="0.25">
      <c r="A30" s="29"/>
      <c r="B30" s="11" t="str">
        <f>CONCATENATE("          ", "6115", " - ", "P.E.R.S.")</f>
        <v xml:space="preserve">          6115 - P.E.R.S.</v>
      </c>
      <c r="C30" s="11"/>
      <c r="D30" s="7">
        <v>696.67</v>
      </c>
      <c r="E30" s="2"/>
      <c r="F30" s="6">
        <f t="shared" si="12"/>
        <v>3.8475834070169634E-2</v>
      </c>
      <c r="G30" s="2"/>
      <c r="H30" s="7">
        <v>1017.72201538462</v>
      </c>
      <c r="I30" s="2"/>
      <c r="J30" s="6">
        <f t="shared" si="13"/>
        <v>4.0708880615384802E-2</v>
      </c>
      <c r="K30" s="2"/>
      <c r="L30" s="7">
        <f t="shared" si="14"/>
        <v>-321.05201538462006</v>
      </c>
      <c r="M30" s="2"/>
      <c r="N30" s="6">
        <f t="shared" si="15"/>
        <v>-0.31546140353786811</v>
      </c>
      <c r="O30" s="11"/>
      <c r="P30" s="7">
        <v>696.67</v>
      </c>
      <c r="Q30" s="2"/>
      <c r="R30" s="6">
        <f t="shared" si="16"/>
        <v>3.8475834070169634E-2</v>
      </c>
      <c r="S30" s="2"/>
      <c r="T30" s="7">
        <v>1017.72201538462</v>
      </c>
      <c r="U30" s="2"/>
      <c r="V30" s="6">
        <f t="shared" si="17"/>
        <v>4.0708880615384802E-2</v>
      </c>
      <c r="W30" s="2"/>
      <c r="X30" s="7">
        <f t="shared" si="18"/>
        <v>-321.05201538462006</v>
      </c>
      <c r="Y30" s="2"/>
      <c r="Z30" s="6">
        <f t="shared" si="19"/>
        <v>-0.31546140353786811</v>
      </c>
    </row>
    <row r="31" spans="1:26" s="24" customFormat="1" hidden="1" outlineLevel="2" x14ac:dyDescent="0.25">
      <c r="A31" s="29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384</v>
      </c>
      <c r="E32" s="2"/>
      <c r="F32" s="6">
        <f t="shared" si="12"/>
        <v>2.1207630991638998E-2</v>
      </c>
      <c r="G32" s="2"/>
      <c r="H32" s="7">
        <v>355.01930769230802</v>
      </c>
      <c r="I32" s="2"/>
      <c r="J32" s="6">
        <f t="shared" si="13"/>
        <v>1.420077230769232E-2</v>
      </c>
      <c r="K32" s="2"/>
      <c r="L32" s="7">
        <f t="shared" si="14"/>
        <v>28.980692307691982</v>
      </c>
      <c r="M32" s="2"/>
      <c r="N32" s="6">
        <f t="shared" si="15"/>
        <v>8.1631313226516913E-2</v>
      </c>
      <c r="O32" s="11"/>
      <c r="P32" s="7">
        <v>384</v>
      </c>
      <c r="Q32" s="2"/>
      <c r="R32" s="6">
        <f t="shared" si="16"/>
        <v>2.1207630991638998E-2</v>
      </c>
      <c r="S32" s="2"/>
      <c r="T32" s="7">
        <v>355.01930769230802</v>
      </c>
      <c r="U32" s="2"/>
      <c r="V32" s="6">
        <f t="shared" si="17"/>
        <v>1.420077230769232E-2</v>
      </c>
      <c r="W32" s="2"/>
      <c r="X32" s="7">
        <f t="shared" si="18"/>
        <v>28.980692307691982</v>
      </c>
      <c r="Y32" s="2"/>
      <c r="Z32" s="6">
        <f t="shared" si="19"/>
        <v>8.1631313226516913E-2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460.04</v>
      </c>
      <c r="E33" s="2"/>
      <c r="F33" s="6">
        <f t="shared" si="12"/>
        <v>2.540718375362918E-2</v>
      </c>
      <c r="G33" s="2"/>
      <c r="H33" s="7">
        <v>389.21930769230801</v>
      </c>
      <c r="I33" s="2"/>
      <c r="J33" s="6">
        <f t="shared" si="13"/>
        <v>1.5568772307692321E-2</v>
      </c>
      <c r="K33" s="2"/>
      <c r="L33" s="7">
        <f t="shared" si="14"/>
        <v>70.820692307692013</v>
      </c>
      <c r="M33" s="2"/>
      <c r="N33" s="6">
        <f t="shared" si="15"/>
        <v>0.1819557532425353</v>
      </c>
      <c r="O33" s="11"/>
      <c r="P33" s="7">
        <v>460.04</v>
      </c>
      <c r="Q33" s="2"/>
      <c r="R33" s="6">
        <f t="shared" si="16"/>
        <v>2.540718375362918E-2</v>
      </c>
      <c r="S33" s="2"/>
      <c r="T33" s="7">
        <v>389.21930769230801</v>
      </c>
      <c r="U33" s="2"/>
      <c r="V33" s="6">
        <f t="shared" si="17"/>
        <v>1.5568772307692321E-2</v>
      </c>
      <c r="W33" s="2"/>
      <c r="X33" s="7">
        <f t="shared" si="18"/>
        <v>70.820692307692013</v>
      </c>
      <c r="Y33" s="2"/>
      <c r="Z33" s="6">
        <f t="shared" si="19"/>
        <v>0.1819557532425353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283.56</v>
      </c>
      <c r="E34" s="2"/>
      <c r="F34" s="6">
        <f t="shared" si="12"/>
        <v>1.5660510010388425E-2</v>
      </c>
      <c r="G34" s="2"/>
      <c r="H34" s="7"/>
      <c r="I34" s="2"/>
      <c r="J34" s="6">
        <f t="shared" si="13"/>
        <v>0</v>
      </c>
      <c r="K34" s="2"/>
      <c r="L34" s="7">
        <f t="shared" si="14"/>
        <v>283.56</v>
      </c>
      <c r="M34" s="2"/>
      <c r="N34" s="6">
        <f t="shared" si="15"/>
        <v>0</v>
      </c>
      <c r="O34" s="11"/>
      <c r="P34" s="7">
        <v>283.56</v>
      </c>
      <c r="Q34" s="2"/>
      <c r="R34" s="6">
        <f t="shared" si="16"/>
        <v>1.5660510010388425E-2</v>
      </c>
      <c r="S34" s="2"/>
      <c r="T34" s="7"/>
      <c r="U34" s="2"/>
      <c r="V34" s="6">
        <f t="shared" si="17"/>
        <v>0</v>
      </c>
      <c r="W34" s="2"/>
      <c r="X34" s="7">
        <f t="shared" si="18"/>
        <v>283.56</v>
      </c>
      <c r="Y34" s="2"/>
      <c r="Z34" s="6">
        <f t="shared" si="19"/>
        <v>0</v>
      </c>
    </row>
    <row r="35" spans="1:26" s="27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17070.34</v>
      </c>
      <c r="E35" s="1"/>
      <c r="F35" s="5">
        <f t="shared" ref="F35:F45" si="20">IF(D$12=0,0,D35/D$12)</f>
        <v>0.94276424901514289</v>
      </c>
      <c r="G35" s="1"/>
      <c r="H35" s="1">
        <f>SUM(OSRRefH22_1x_0)</f>
        <v>12263.9383076923</v>
      </c>
      <c r="I35" s="1"/>
      <c r="J35" s="5">
        <f t="shared" ref="J35:J45" si="21">IF(H$12=0,0,H35/H$12)</f>
        <v>0.490557532307692</v>
      </c>
      <c r="K35" s="1"/>
      <c r="L35" s="1">
        <f t="shared" ref="L35:L45" si="22">+D35-H35</f>
        <v>4806.4016923076997</v>
      </c>
      <c r="M35" s="1"/>
      <c r="N35" s="5">
        <f t="shared" ref="N35:N45" si="23">IF(H35=0,0,L35/H35)</f>
        <v>0.39191339451642415</v>
      </c>
      <c r="O35" s="14"/>
      <c r="P35" s="1">
        <f>SUM(OSRRefP22_1x_0)</f>
        <v>17070.34</v>
      </c>
      <c r="Q35" s="1"/>
      <c r="R35" s="5">
        <f t="shared" ref="R35:R45" si="24">IF(P$12=0,0,P35/P$12)</f>
        <v>0.94276424901514289</v>
      </c>
      <c r="S35" s="1"/>
      <c r="T35" s="1">
        <f>SUM(OSRRefT22_1x_0)</f>
        <v>12263.9383076923</v>
      </c>
      <c r="U35" s="1"/>
      <c r="V35" s="5">
        <f t="shared" ref="V35:V45" si="25">IF(T$12=0,0,T35/T$12)</f>
        <v>0.490557532307692</v>
      </c>
      <c r="W35" s="1"/>
      <c r="X35" s="1">
        <f t="shared" ref="X35:X45" si="26">+P35-T35</f>
        <v>4806.4016923076997</v>
      </c>
      <c r="Y35" s="1"/>
      <c r="Z35" s="5">
        <f t="shared" ref="Z35:Z45" si="27">IF(T35=0,0,X35/T35)</f>
        <v>0.39191339451642415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12259.34</v>
      </c>
      <c r="E37" s="2"/>
      <c r="F37" s="6">
        <f t="shared" si="20"/>
        <v>0.67706135135687406</v>
      </c>
      <c r="G37" s="2"/>
      <c r="H37" s="7">
        <v>11123.9383076923</v>
      </c>
      <c r="I37" s="2"/>
      <c r="J37" s="6">
        <f t="shared" si="21"/>
        <v>0.44495753230769203</v>
      </c>
      <c r="K37" s="2"/>
      <c r="L37" s="7">
        <f t="shared" si="22"/>
        <v>1135.4016923076997</v>
      </c>
      <c r="M37" s="2"/>
      <c r="N37" s="6">
        <f t="shared" si="23"/>
        <v>0.10206831977147514</v>
      </c>
      <c r="O37" s="11"/>
      <c r="P37" s="7">
        <v>12259.34</v>
      </c>
      <c r="Q37" s="2"/>
      <c r="R37" s="6">
        <f t="shared" si="24"/>
        <v>0.67706135135687406</v>
      </c>
      <c r="S37" s="2"/>
      <c r="T37" s="7">
        <v>11123.9383076923</v>
      </c>
      <c r="U37" s="2"/>
      <c r="V37" s="6">
        <f t="shared" si="25"/>
        <v>0.44495753230769203</v>
      </c>
      <c r="W37" s="2"/>
      <c r="X37" s="7">
        <f t="shared" si="26"/>
        <v>1135.4016923076997</v>
      </c>
      <c r="Y37" s="2"/>
      <c r="Z37" s="6">
        <f t="shared" si="27"/>
        <v>0.10206831977147514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4811</v>
      </c>
      <c r="E42" s="2"/>
      <c r="F42" s="6">
        <f t="shared" si="20"/>
        <v>0.26570289765826882</v>
      </c>
      <c r="G42" s="2"/>
      <c r="H42" s="7">
        <v>1140</v>
      </c>
      <c r="I42" s="2"/>
      <c r="J42" s="6">
        <f t="shared" si="21"/>
        <v>4.5600000000000002E-2</v>
      </c>
      <c r="K42" s="2"/>
      <c r="L42" s="7">
        <f t="shared" si="22"/>
        <v>3671</v>
      </c>
      <c r="M42" s="2"/>
      <c r="N42" s="6">
        <f t="shared" si="23"/>
        <v>3.2201754385964914</v>
      </c>
      <c r="O42" s="11"/>
      <c r="P42" s="7">
        <v>4811</v>
      </c>
      <c r="Q42" s="2"/>
      <c r="R42" s="6">
        <f t="shared" si="24"/>
        <v>0.26570289765826882</v>
      </c>
      <c r="S42" s="2"/>
      <c r="T42" s="7">
        <v>1140</v>
      </c>
      <c r="U42" s="2"/>
      <c r="V42" s="6">
        <f t="shared" si="25"/>
        <v>4.5600000000000002E-2</v>
      </c>
      <c r="W42" s="2"/>
      <c r="X42" s="7">
        <f t="shared" si="26"/>
        <v>3671</v>
      </c>
      <c r="Y42" s="2"/>
      <c r="Z42" s="6">
        <f t="shared" si="27"/>
        <v>3.2201754385964914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63.52</v>
      </c>
      <c r="E46" s="1"/>
      <c r="F46" s="5">
        <f t="shared" ref="F46:F54" si="28">IF(D$12=0,0,D46/D$12)</f>
        <v>3.5080956265336181E-3</v>
      </c>
      <c r="G46" s="1"/>
      <c r="H46" s="1">
        <f>SUM(OSRRefH22_2x_0)</f>
        <v>150</v>
      </c>
      <c r="I46" s="1"/>
      <c r="J46" s="5">
        <f t="shared" ref="J46:J54" si="29">IF(H$12=0,0,H46/H$12)</f>
        <v>6.0000000000000001E-3</v>
      </c>
      <c r="K46" s="1"/>
      <c r="L46" s="1">
        <f t="shared" ref="L46:L54" si="30">+D46-H46</f>
        <v>-86.47999999999999</v>
      </c>
      <c r="M46" s="1"/>
      <c r="N46" s="5">
        <f t="shared" ref="N46:N54" si="31">IF(H46=0,0,L46/H46)</f>
        <v>-0.57653333333333323</v>
      </c>
      <c r="O46" s="14"/>
      <c r="P46" s="1">
        <f>SUM(OSRRefP22_2x_0)</f>
        <v>63.52</v>
      </c>
      <c r="Q46" s="1"/>
      <c r="R46" s="5">
        <f t="shared" ref="R46:R54" si="32">IF(P$12=0,0,P46/P$12)</f>
        <v>3.5080956265336181E-3</v>
      </c>
      <c r="S46" s="1"/>
      <c r="T46" s="1">
        <f>SUM(OSRRefT22_2x_0)</f>
        <v>150</v>
      </c>
      <c r="U46" s="1"/>
      <c r="V46" s="5">
        <f t="shared" ref="V46:V54" si="33">IF(T$12=0,0,T46/T$12)</f>
        <v>6.0000000000000001E-3</v>
      </c>
      <c r="W46" s="1"/>
      <c r="X46" s="1">
        <f t="shared" ref="X46:X54" si="34">+P46-T46</f>
        <v>-86.47999999999999</v>
      </c>
      <c r="Y46" s="1"/>
      <c r="Z46" s="5">
        <f t="shared" ref="Z46:Z54" si="35">IF(T46=0,0,X46/T46)</f>
        <v>-0.57653333333333323</v>
      </c>
    </row>
    <row r="47" spans="1:26" s="24" customFormat="1" hidden="1" outlineLevel="2" x14ac:dyDescent="0.25">
      <c r="A47" s="29"/>
      <c r="B47" s="11" t="str">
        <f>CONCATENATE("          ", "6362", " - ", "ADVERTISING EXPENSE")</f>
        <v xml:space="preserve">          6362 - ADVERTISING EXPENSE</v>
      </c>
      <c r="C47" s="11"/>
      <c r="D47" s="7">
        <v>63.52</v>
      </c>
      <c r="E47" s="2"/>
      <c r="F47" s="6">
        <f t="shared" si="28"/>
        <v>3.5080956265336181E-3</v>
      </c>
      <c r="G47" s="2"/>
      <c r="H47" s="7">
        <v>150</v>
      </c>
      <c r="I47" s="2"/>
      <c r="J47" s="6">
        <f t="shared" si="29"/>
        <v>6.0000000000000001E-3</v>
      </c>
      <c r="K47" s="2"/>
      <c r="L47" s="7">
        <f t="shared" si="30"/>
        <v>-86.47999999999999</v>
      </c>
      <c r="M47" s="2"/>
      <c r="N47" s="6">
        <f t="shared" si="31"/>
        <v>-0.57653333333333323</v>
      </c>
      <c r="O47" s="11"/>
      <c r="P47" s="7">
        <v>63.52</v>
      </c>
      <c r="Q47" s="2"/>
      <c r="R47" s="6">
        <f t="shared" si="32"/>
        <v>3.5080956265336181E-3</v>
      </c>
      <c r="S47" s="2"/>
      <c r="T47" s="7">
        <v>150</v>
      </c>
      <c r="U47" s="2"/>
      <c r="V47" s="6">
        <f t="shared" si="33"/>
        <v>6.0000000000000001E-3</v>
      </c>
      <c r="W47" s="2"/>
      <c r="X47" s="7">
        <f t="shared" si="34"/>
        <v>-86.47999999999999</v>
      </c>
      <c r="Y47" s="2"/>
      <c r="Z47" s="6">
        <f t="shared" si="35"/>
        <v>-0.57653333333333323</v>
      </c>
    </row>
    <row r="48" spans="1:26" s="27" customFormat="1" outlineLevel="1" collapsed="1" x14ac:dyDescent="0.25">
      <c r="A48" s="28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-7.55</v>
      </c>
      <c r="E48" s="1"/>
      <c r="F48" s="5">
        <f t="shared" si="28"/>
        <v>-4.1697295309081888E-4</v>
      </c>
      <c r="G48" s="1"/>
      <c r="H48" s="1">
        <f>SUM(OSRRefH22_3x_0)</f>
        <v>20</v>
      </c>
      <c r="I48" s="1"/>
      <c r="J48" s="5">
        <f t="shared" si="29"/>
        <v>8.0000000000000004E-4</v>
      </c>
      <c r="K48" s="1"/>
      <c r="L48" s="1">
        <f t="shared" si="30"/>
        <v>-27.55</v>
      </c>
      <c r="M48" s="1"/>
      <c r="N48" s="5">
        <f t="shared" si="31"/>
        <v>-1.3774999999999999</v>
      </c>
      <c r="O48" s="14"/>
      <c r="P48" s="1">
        <f>SUM(OSRRefP22_3x_0)</f>
        <v>-7.55</v>
      </c>
      <c r="Q48" s="1"/>
      <c r="R48" s="5">
        <f t="shared" si="32"/>
        <v>-4.1697295309081888E-4</v>
      </c>
      <c r="S48" s="1"/>
      <c r="T48" s="1">
        <f>SUM(OSRRefT22_3x_0)</f>
        <v>20</v>
      </c>
      <c r="U48" s="1"/>
      <c r="V48" s="5">
        <f t="shared" si="33"/>
        <v>8.0000000000000004E-4</v>
      </c>
      <c r="W48" s="1"/>
      <c r="X48" s="1">
        <f t="shared" si="34"/>
        <v>-27.55</v>
      </c>
      <c r="Y48" s="1"/>
      <c r="Z48" s="5">
        <f t="shared" si="35"/>
        <v>-1.3774999999999999</v>
      </c>
    </row>
    <row r="49" spans="1:26" s="24" customFormat="1" hidden="1" outlineLevel="2" x14ac:dyDescent="0.25">
      <c r="A49" s="29"/>
      <c r="B49" s="11" t="str">
        <f>CONCATENATE("          ", "6272", " - ", "CASH (OVER/SHORT)")</f>
        <v xml:space="preserve">          6272 - CASH (OVER/SHORT)</v>
      </c>
      <c r="C49" s="11"/>
      <c r="D49" s="7">
        <v>-7.55</v>
      </c>
      <c r="E49" s="2"/>
      <c r="F49" s="6">
        <f t="shared" si="28"/>
        <v>-4.1697295309081888E-4</v>
      </c>
      <c r="G49" s="2"/>
      <c r="H49" s="7">
        <v>20</v>
      </c>
      <c r="I49" s="2"/>
      <c r="J49" s="6">
        <f t="shared" si="29"/>
        <v>8.0000000000000004E-4</v>
      </c>
      <c r="K49" s="2"/>
      <c r="L49" s="7">
        <f t="shared" si="30"/>
        <v>-27.55</v>
      </c>
      <c r="M49" s="2"/>
      <c r="N49" s="6">
        <f t="shared" si="31"/>
        <v>-1.3774999999999999</v>
      </c>
      <c r="O49" s="11"/>
      <c r="P49" s="7">
        <v>-7.55</v>
      </c>
      <c r="Q49" s="2"/>
      <c r="R49" s="6">
        <f t="shared" si="32"/>
        <v>-4.1697295309081888E-4</v>
      </c>
      <c r="S49" s="2"/>
      <c r="T49" s="7">
        <v>20</v>
      </c>
      <c r="U49" s="2"/>
      <c r="V49" s="6">
        <f t="shared" si="33"/>
        <v>8.0000000000000004E-4</v>
      </c>
      <c r="W49" s="2"/>
      <c r="X49" s="7">
        <f t="shared" si="34"/>
        <v>-27.55</v>
      </c>
      <c r="Y49" s="2"/>
      <c r="Z49" s="6">
        <f t="shared" si="35"/>
        <v>-1.3774999999999999</v>
      </c>
    </row>
    <row r="50" spans="1:26" s="27" customFormat="1" outlineLevel="1" collapsed="1" x14ac:dyDescent="0.25">
      <c r="A50" s="28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493.65</v>
      </c>
      <c r="E50" s="1"/>
      <c r="F50" s="5">
        <f t="shared" si="28"/>
        <v>2.7263403747454666E-2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493.65</v>
      </c>
      <c r="M50" s="1"/>
      <c r="N50" s="5">
        <f t="shared" si="31"/>
        <v>0</v>
      </c>
      <c r="O50" s="14"/>
      <c r="P50" s="1">
        <f>SUM(OSRRefP22_4x_0)</f>
        <v>493.65</v>
      </c>
      <c r="Q50" s="1"/>
      <c r="R50" s="5">
        <f t="shared" si="32"/>
        <v>2.7263403747454666E-2</v>
      </c>
      <c r="S50" s="1"/>
      <c r="T50" s="1">
        <f>SUM(OSRRefT22_4x_0)</f>
        <v>0</v>
      </c>
      <c r="U50" s="1"/>
      <c r="V50" s="5">
        <f t="shared" si="33"/>
        <v>0</v>
      </c>
      <c r="W50" s="1"/>
      <c r="X50" s="1">
        <f t="shared" si="34"/>
        <v>493.65</v>
      </c>
      <c r="Y50" s="1"/>
      <c r="Z50" s="5">
        <f t="shared" si="35"/>
        <v>0</v>
      </c>
    </row>
    <row r="51" spans="1:26" s="24" customFormat="1" hidden="1" outlineLevel="2" x14ac:dyDescent="0.25">
      <c r="A51" s="29"/>
      <c r="B51" s="11" t="str">
        <f>CONCATENATE("          ", "6381", " - ", "BANK/CREDIT CARD FEES")</f>
        <v xml:space="preserve">          6381 - BANK/CREDIT CARD FEES</v>
      </c>
      <c r="C51" s="11"/>
      <c r="D51" s="7">
        <v>493.65</v>
      </c>
      <c r="E51" s="2"/>
      <c r="F51" s="6">
        <f t="shared" si="28"/>
        <v>2.7263403747454666E-2</v>
      </c>
      <c r="G51" s="2"/>
      <c r="H51" s="7"/>
      <c r="I51" s="2"/>
      <c r="J51" s="6">
        <f t="shared" si="29"/>
        <v>0</v>
      </c>
      <c r="K51" s="2"/>
      <c r="L51" s="7">
        <f t="shared" si="30"/>
        <v>493.65</v>
      </c>
      <c r="M51" s="2"/>
      <c r="N51" s="6">
        <f t="shared" si="31"/>
        <v>0</v>
      </c>
      <c r="O51" s="11"/>
      <c r="P51" s="7">
        <v>493.65</v>
      </c>
      <c r="Q51" s="2"/>
      <c r="R51" s="6">
        <f t="shared" si="32"/>
        <v>2.7263403747454666E-2</v>
      </c>
      <c r="S51" s="2"/>
      <c r="T51" s="7"/>
      <c r="U51" s="2"/>
      <c r="V51" s="6">
        <f t="shared" si="33"/>
        <v>0</v>
      </c>
      <c r="W51" s="2"/>
      <c r="X51" s="7">
        <f t="shared" si="34"/>
        <v>493.65</v>
      </c>
      <c r="Y51" s="2"/>
      <c r="Z51" s="6">
        <f t="shared" si="35"/>
        <v>0</v>
      </c>
    </row>
    <row r="52" spans="1:26" s="27" customFormat="1" outlineLevel="1" collapsed="1" x14ac:dyDescent="0.25">
      <c r="A52" s="28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5612.57</v>
      </c>
      <c r="E52" s="1"/>
      <c r="F52" s="5">
        <f t="shared" si="28"/>
        <v>0.30997217050714398</v>
      </c>
      <c r="G52" s="1"/>
      <c r="H52" s="1">
        <f>SUM(OSRRefH22_5x_0)</f>
        <v>5651</v>
      </c>
      <c r="I52" s="1"/>
      <c r="J52" s="5">
        <f t="shared" si="29"/>
        <v>0.22603999999999999</v>
      </c>
      <c r="K52" s="1"/>
      <c r="L52" s="1">
        <f t="shared" si="30"/>
        <v>-38.430000000000291</v>
      </c>
      <c r="M52" s="1"/>
      <c r="N52" s="5">
        <f t="shared" si="31"/>
        <v>-6.8005662714564312E-3</v>
      </c>
      <c r="O52" s="14"/>
      <c r="P52" s="1">
        <f>SUM(OSRRefP22_5x_0)</f>
        <v>5612.57</v>
      </c>
      <c r="Q52" s="1"/>
      <c r="R52" s="5">
        <f t="shared" si="32"/>
        <v>0.30997217050714398</v>
      </c>
      <c r="S52" s="1"/>
      <c r="T52" s="1">
        <f>SUM(OSRRefT22_5x_0)</f>
        <v>5651</v>
      </c>
      <c r="U52" s="1"/>
      <c r="V52" s="5">
        <f t="shared" si="33"/>
        <v>0.22603999999999999</v>
      </c>
      <c r="W52" s="1"/>
      <c r="X52" s="1">
        <f t="shared" si="34"/>
        <v>-38.430000000000291</v>
      </c>
      <c r="Y52" s="1"/>
      <c r="Z52" s="5">
        <f t="shared" si="35"/>
        <v>-6.8005662714564312E-3</v>
      </c>
    </row>
    <row r="53" spans="1:26" s="24" customFormat="1" hidden="1" outlineLevel="2" x14ac:dyDescent="0.25">
      <c r="A53" s="29"/>
      <c r="B53" s="11" t="str">
        <f>CONCATENATE("          ", "6321", " - ", "BUILDING DEPRECIATION")</f>
        <v xml:space="preserve">          6321 - BUILDING DEPRECIATION</v>
      </c>
      <c r="C53" s="11"/>
      <c r="D53" s="7">
        <v>4626.5</v>
      </c>
      <c r="E53" s="2"/>
      <c r="F53" s="6">
        <f t="shared" si="28"/>
        <v>0.25551329370525477</v>
      </c>
      <c r="G53" s="2"/>
      <c r="H53" s="7">
        <v>5165</v>
      </c>
      <c r="I53" s="2"/>
      <c r="J53" s="6">
        <f t="shared" si="29"/>
        <v>0.20660000000000001</v>
      </c>
      <c r="K53" s="2"/>
      <c r="L53" s="7">
        <f t="shared" si="30"/>
        <v>-538.5</v>
      </c>
      <c r="M53" s="2"/>
      <c r="N53" s="6">
        <f t="shared" si="31"/>
        <v>-0.1042594385285576</v>
      </c>
      <c r="O53" s="11"/>
      <c r="P53" s="7">
        <v>4626.5</v>
      </c>
      <c r="Q53" s="2"/>
      <c r="R53" s="6">
        <f t="shared" si="32"/>
        <v>0.25551329370525477</v>
      </c>
      <c r="S53" s="2"/>
      <c r="T53" s="7">
        <v>5165</v>
      </c>
      <c r="U53" s="2"/>
      <c r="V53" s="6">
        <f t="shared" si="33"/>
        <v>0.20660000000000001</v>
      </c>
      <c r="W53" s="2"/>
      <c r="X53" s="7">
        <f t="shared" si="34"/>
        <v>-538.5</v>
      </c>
      <c r="Y53" s="2"/>
      <c r="Z53" s="6">
        <f t="shared" si="35"/>
        <v>-0.1042594385285576</v>
      </c>
    </row>
    <row r="54" spans="1:26" s="24" customFormat="1" hidden="1" outlineLevel="2" x14ac:dyDescent="0.25">
      <c r="A54" s="29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986.07</v>
      </c>
      <c r="E54" s="2"/>
      <c r="F54" s="6">
        <f t="shared" si="28"/>
        <v>5.4458876801889239E-2</v>
      </c>
      <c r="G54" s="2"/>
      <c r="H54" s="7">
        <v>486</v>
      </c>
      <c r="I54" s="2"/>
      <c r="J54" s="6">
        <f t="shared" si="29"/>
        <v>1.9439999999999999E-2</v>
      </c>
      <c r="K54" s="2"/>
      <c r="L54" s="7">
        <f t="shared" si="30"/>
        <v>500.07000000000005</v>
      </c>
      <c r="M54" s="2"/>
      <c r="N54" s="6">
        <f t="shared" si="31"/>
        <v>1.0289506172839507</v>
      </c>
      <c r="O54" s="11"/>
      <c r="P54" s="7">
        <v>986.07</v>
      </c>
      <c r="Q54" s="2"/>
      <c r="R54" s="6">
        <f t="shared" si="32"/>
        <v>5.4458876801889239E-2</v>
      </c>
      <c r="S54" s="2"/>
      <c r="T54" s="7">
        <v>486</v>
      </c>
      <c r="U54" s="2"/>
      <c r="V54" s="6">
        <f t="shared" si="33"/>
        <v>1.9439999999999999E-2</v>
      </c>
      <c r="W54" s="2"/>
      <c r="X54" s="7">
        <f t="shared" si="34"/>
        <v>500.07000000000005</v>
      </c>
      <c r="Y54" s="2"/>
      <c r="Z54" s="6">
        <f t="shared" si="35"/>
        <v>1.0289506172839507</v>
      </c>
    </row>
    <row r="55" spans="1:26" s="27" customFormat="1" outlineLevel="1" collapsed="1" x14ac:dyDescent="0.25">
      <c r="A55" s="28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SUM(OSRRefD22_6x_0)</f>
        <v>0</v>
      </c>
      <c r="E55" s="1"/>
      <c r="F55" s="5">
        <f t="shared" ref="F55:F66" si="36">IF(D$12=0,0,D55/D$12)</f>
        <v>0</v>
      </c>
      <c r="G55" s="1"/>
      <c r="H55" s="1">
        <f>SUM(OSRRefH22_6x_0)</f>
        <v>50</v>
      </c>
      <c r="I55" s="1"/>
      <c r="J55" s="5">
        <f t="shared" ref="J55:J66" si="37">IF(H$12=0,0,H55/H$12)</f>
        <v>2E-3</v>
      </c>
      <c r="K55" s="1"/>
      <c r="L55" s="1">
        <f t="shared" ref="L55:L66" si="38">+D55-H55</f>
        <v>-50</v>
      </c>
      <c r="M55" s="1"/>
      <c r="N55" s="5">
        <f t="shared" ref="N55:N66" si="39">IF(H55=0,0,L55/H55)</f>
        <v>-1</v>
      </c>
      <c r="O55" s="14"/>
      <c r="P55" s="1">
        <f>SUM(OSRRefP22_6x_0)</f>
        <v>0</v>
      </c>
      <c r="Q55" s="1"/>
      <c r="R55" s="5">
        <f t="shared" ref="R55:R66" si="40">IF(P$12=0,0,P55/P$12)</f>
        <v>0</v>
      </c>
      <c r="S55" s="1"/>
      <c r="T55" s="1">
        <f>SUM(OSRRefT22_6x_0)</f>
        <v>50</v>
      </c>
      <c r="U55" s="1"/>
      <c r="V55" s="5">
        <f t="shared" ref="V55:V66" si="41">IF(T$12=0,0,T55/T$12)</f>
        <v>2E-3</v>
      </c>
      <c r="W55" s="1"/>
      <c r="X55" s="1">
        <f t="shared" ref="X55:X66" si="42">+P55-T55</f>
        <v>-50</v>
      </c>
      <c r="Y55" s="1"/>
      <c r="Z55" s="5">
        <f t="shared" ref="Z55:Z66" si="43">IF(T55=0,0,X55/T55)</f>
        <v>-1</v>
      </c>
    </row>
    <row r="56" spans="1:26" s="24" customFormat="1" hidden="1" outlineLevel="2" x14ac:dyDescent="0.25">
      <c r="A56" s="29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6"/>
        <v>0</v>
      </c>
      <c r="G56" s="2"/>
      <c r="H56" s="7">
        <v>50</v>
      </c>
      <c r="I56" s="2"/>
      <c r="J56" s="6">
        <f t="shared" si="37"/>
        <v>2E-3</v>
      </c>
      <c r="K56" s="2"/>
      <c r="L56" s="7">
        <f t="shared" si="38"/>
        <v>-50</v>
      </c>
      <c r="M56" s="2"/>
      <c r="N56" s="6">
        <f t="shared" si="39"/>
        <v>-1</v>
      </c>
      <c r="O56" s="11"/>
      <c r="P56" s="7"/>
      <c r="Q56" s="2"/>
      <c r="R56" s="6">
        <f t="shared" si="40"/>
        <v>0</v>
      </c>
      <c r="S56" s="2"/>
      <c r="T56" s="7">
        <v>50</v>
      </c>
      <c r="U56" s="2"/>
      <c r="V56" s="6">
        <f t="shared" si="41"/>
        <v>2E-3</v>
      </c>
      <c r="W56" s="2"/>
      <c r="X56" s="7">
        <f t="shared" si="42"/>
        <v>-50</v>
      </c>
      <c r="Y56" s="2"/>
      <c r="Z56" s="6">
        <f t="shared" si="43"/>
        <v>-1</v>
      </c>
    </row>
    <row r="57" spans="1:26" s="27" customFormat="1" outlineLevel="1" collapsed="1" x14ac:dyDescent="0.25">
      <c r="A57" s="28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SUM(OSRRefD22_7x_0)</f>
        <v>408.65</v>
      </c>
      <c r="E57" s="1"/>
      <c r="F57" s="5">
        <f t="shared" si="36"/>
        <v>2.256900626232624E-2</v>
      </c>
      <c r="G57" s="1"/>
      <c r="H57" s="1">
        <f>SUM(OSRRefH22_7x_0)</f>
        <v>115</v>
      </c>
      <c r="I57" s="1"/>
      <c r="J57" s="5">
        <f t="shared" si="37"/>
        <v>4.5999999999999999E-3</v>
      </c>
      <c r="K57" s="1"/>
      <c r="L57" s="1">
        <f t="shared" si="38"/>
        <v>293.64999999999998</v>
      </c>
      <c r="M57" s="1"/>
      <c r="N57" s="5">
        <f t="shared" si="39"/>
        <v>2.5534782608695652</v>
      </c>
      <c r="O57" s="14"/>
      <c r="P57" s="1">
        <f>SUM(OSRRefP22_7x_0)</f>
        <v>408.65</v>
      </c>
      <c r="Q57" s="1"/>
      <c r="R57" s="5">
        <f t="shared" si="40"/>
        <v>2.256900626232624E-2</v>
      </c>
      <c r="S57" s="1"/>
      <c r="T57" s="1">
        <f>SUM(OSRRefT22_7x_0)</f>
        <v>115</v>
      </c>
      <c r="U57" s="1"/>
      <c r="V57" s="5">
        <f t="shared" si="41"/>
        <v>4.5999999999999999E-3</v>
      </c>
      <c r="W57" s="1"/>
      <c r="X57" s="1">
        <f t="shared" si="42"/>
        <v>293.64999999999998</v>
      </c>
      <c r="Y57" s="1"/>
      <c r="Z57" s="5">
        <f t="shared" si="43"/>
        <v>2.5534782608695652</v>
      </c>
    </row>
    <row r="58" spans="1:26" s="24" customFormat="1" hidden="1" outlineLevel="2" x14ac:dyDescent="0.25">
      <c r="A58" s="29"/>
      <c r="B58" s="11" t="str">
        <f>CONCATENATE("          ", "6351", " - ", "EQUIPMENT RENTAL")</f>
        <v xml:space="preserve">          6351 - EQUIPMENT RENTAL</v>
      </c>
      <c r="C58" s="11"/>
      <c r="D58" s="7">
        <v>408.65</v>
      </c>
      <c r="E58" s="2"/>
      <c r="F58" s="6">
        <f t="shared" si="36"/>
        <v>2.256900626232624E-2</v>
      </c>
      <c r="G58" s="2"/>
      <c r="H58" s="7">
        <v>115</v>
      </c>
      <c r="I58" s="2"/>
      <c r="J58" s="6">
        <f t="shared" si="37"/>
        <v>4.5999999999999999E-3</v>
      </c>
      <c r="K58" s="2"/>
      <c r="L58" s="7">
        <f t="shared" si="38"/>
        <v>293.64999999999998</v>
      </c>
      <c r="M58" s="2"/>
      <c r="N58" s="6">
        <f t="shared" si="39"/>
        <v>2.5534782608695652</v>
      </c>
      <c r="O58" s="11"/>
      <c r="P58" s="7">
        <v>408.65</v>
      </c>
      <c r="Q58" s="2"/>
      <c r="R58" s="6">
        <f t="shared" si="40"/>
        <v>2.256900626232624E-2</v>
      </c>
      <c r="S58" s="2"/>
      <c r="T58" s="7">
        <v>115</v>
      </c>
      <c r="U58" s="2"/>
      <c r="V58" s="6">
        <f t="shared" si="41"/>
        <v>4.5999999999999999E-3</v>
      </c>
      <c r="W58" s="2"/>
      <c r="X58" s="7">
        <f t="shared" si="42"/>
        <v>293.64999999999998</v>
      </c>
      <c r="Y58" s="2"/>
      <c r="Z58" s="6">
        <f t="shared" si="43"/>
        <v>2.5534782608695652</v>
      </c>
    </row>
    <row r="59" spans="1:26" s="27" customFormat="1" outlineLevel="1" collapsed="1" x14ac:dyDescent="0.25">
      <c r="A59" s="28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SUM(OSRRefD22_8x_0)</f>
        <v>1777.99</v>
      </c>
      <c r="E59" s="1"/>
      <c r="F59" s="5">
        <f t="shared" si="36"/>
        <v>9.8195197465688083E-2</v>
      </c>
      <c r="G59" s="1"/>
      <c r="H59" s="1">
        <f>SUM(OSRRefH22_8x_0)</f>
        <v>1000</v>
      </c>
      <c r="I59" s="1"/>
      <c r="J59" s="5">
        <f t="shared" si="37"/>
        <v>0.04</v>
      </c>
      <c r="K59" s="1"/>
      <c r="L59" s="1">
        <f t="shared" si="38"/>
        <v>777.99</v>
      </c>
      <c r="M59" s="1"/>
      <c r="N59" s="5">
        <f t="shared" si="39"/>
        <v>0.77798999999999996</v>
      </c>
      <c r="O59" s="14"/>
      <c r="P59" s="1">
        <f>SUM(OSRRefP22_8x_0)</f>
        <v>1777.99</v>
      </c>
      <c r="Q59" s="1"/>
      <c r="R59" s="5">
        <f t="shared" si="40"/>
        <v>9.8195197465688083E-2</v>
      </c>
      <c r="S59" s="1"/>
      <c r="T59" s="1">
        <f>SUM(OSRRefT22_8x_0)</f>
        <v>1000</v>
      </c>
      <c r="U59" s="1"/>
      <c r="V59" s="5">
        <f t="shared" si="41"/>
        <v>0.04</v>
      </c>
      <c r="W59" s="1"/>
      <c r="X59" s="1">
        <f t="shared" si="42"/>
        <v>777.99</v>
      </c>
      <c r="Y59" s="1"/>
      <c r="Z59" s="5">
        <f t="shared" si="43"/>
        <v>0.77798999999999996</v>
      </c>
    </row>
    <row r="60" spans="1:26" s="24" customFormat="1" hidden="1" outlineLevel="2" x14ac:dyDescent="0.25">
      <c r="A60" s="29"/>
      <c r="B60" s="11" t="str">
        <f>CONCATENATE("          ", "6279", " - ", "GENERAL EXPENSE")</f>
        <v xml:space="preserve">          6279 - GENERAL EXPENSE</v>
      </c>
      <c r="C60" s="11"/>
      <c r="D60" s="7">
        <v>1777.99</v>
      </c>
      <c r="E60" s="2"/>
      <c r="F60" s="6">
        <f t="shared" si="36"/>
        <v>9.8195197465688083E-2</v>
      </c>
      <c r="G60" s="2"/>
      <c r="H60" s="7">
        <v>1000</v>
      </c>
      <c r="I60" s="2"/>
      <c r="J60" s="6">
        <f t="shared" si="37"/>
        <v>0.04</v>
      </c>
      <c r="K60" s="2"/>
      <c r="L60" s="7">
        <f t="shared" si="38"/>
        <v>777.99</v>
      </c>
      <c r="M60" s="2"/>
      <c r="N60" s="6">
        <f t="shared" si="39"/>
        <v>0.77798999999999996</v>
      </c>
      <c r="O60" s="11"/>
      <c r="P60" s="7">
        <v>1777.99</v>
      </c>
      <c r="Q60" s="2"/>
      <c r="R60" s="6">
        <f t="shared" si="40"/>
        <v>9.8195197465688083E-2</v>
      </c>
      <c r="S60" s="2"/>
      <c r="T60" s="7">
        <v>1000</v>
      </c>
      <c r="U60" s="2"/>
      <c r="V60" s="6">
        <f t="shared" si="41"/>
        <v>0.04</v>
      </c>
      <c r="W60" s="2"/>
      <c r="X60" s="7">
        <f t="shared" si="42"/>
        <v>777.99</v>
      </c>
      <c r="Y60" s="2"/>
      <c r="Z60" s="6">
        <f t="shared" si="43"/>
        <v>0.77798999999999996</v>
      </c>
    </row>
    <row r="61" spans="1:26" s="27" customFormat="1" outlineLevel="1" collapsed="1" x14ac:dyDescent="0.25">
      <c r="A61" s="28"/>
      <c r="B61" s="14" t="str">
        <f>CONCATENATE("     ","Rent                                              ")</f>
        <v xml:space="preserve">     Rent                                              </v>
      </c>
      <c r="C61" s="14"/>
      <c r="D61" s="1">
        <f>SUM(OSRRefD22_9x_0)</f>
        <v>1850</v>
      </c>
      <c r="E61" s="1"/>
      <c r="F61" s="5">
        <f t="shared" si="36"/>
        <v>0.10217218055867747</v>
      </c>
      <c r="G61" s="1"/>
      <c r="H61" s="1">
        <f>SUM(OSRRefH22_9x_0)</f>
        <v>1850</v>
      </c>
      <c r="I61" s="1"/>
      <c r="J61" s="5">
        <f t="shared" si="37"/>
        <v>7.3999999999999996E-2</v>
      </c>
      <c r="K61" s="1"/>
      <c r="L61" s="1">
        <f t="shared" si="38"/>
        <v>0</v>
      </c>
      <c r="M61" s="1"/>
      <c r="N61" s="5">
        <f t="shared" si="39"/>
        <v>0</v>
      </c>
      <c r="O61" s="14"/>
      <c r="P61" s="1">
        <f>SUM(OSRRefP22_9x_0)</f>
        <v>1850</v>
      </c>
      <c r="Q61" s="1"/>
      <c r="R61" s="5">
        <f t="shared" si="40"/>
        <v>0.10217218055867747</v>
      </c>
      <c r="S61" s="1"/>
      <c r="T61" s="1">
        <f>SUM(OSRRefT22_9x_0)</f>
        <v>1850</v>
      </c>
      <c r="U61" s="1"/>
      <c r="V61" s="5">
        <f t="shared" si="41"/>
        <v>7.3999999999999996E-2</v>
      </c>
      <c r="W61" s="1"/>
      <c r="X61" s="1">
        <f t="shared" si="42"/>
        <v>0</v>
      </c>
      <c r="Y61" s="1"/>
      <c r="Z61" s="5">
        <f t="shared" si="43"/>
        <v>0</v>
      </c>
    </row>
    <row r="62" spans="1:26" s="24" customFormat="1" hidden="1" outlineLevel="2" x14ac:dyDescent="0.25">
      <c r="A62" s="29"/>
      <c r="B62" s="11" t="str">
        <f>CONCATENATE("          ", "6273", " - ", "RENT")</f>
        <v xml:space="preserve">          6273 - RENT</v>
      </c>
      <c r="C62" s="11"/>
      <c r="D62" s="7">
        <v>1850</v>
      </c>
      <c r="E62" s="2"/>
      <c r="F62" s="6">
        <f t="shared" si="36"/>
        <v>0.10217218055867747</v>
      </c>
      <c r="G62" s="2"/>
      <c r="H62" s="7">
        <v>1850</v>
      </c>
      <c r="I62" s="2"/>
      <c r="J62" s="6">
        <f t="shared" si="37"/>
        <v>7.3999999999999996E-2</v>
      </c>
      <c r="K62" s="2"/>
      <c r="L62" s="7">
        <f t="shared" si="38"/>
        <v>0</v>
      </c>
      <c r="M62" s="2"/>
      <c r="N62" s="6">
        <f t="shared" si="39"/>
        <v>0</v>
      </c>
      <c r="O62" s="11"/>
      <c r="P62" s="7">
        <v>1850</v>
      </c>
      <c r="Q62" s="2"/>
      <c r="R62" s="6">
        <f t="shared" si="40"/>
        <v>0.10217218055867747</v>
      </c>
      <c r="S62" s="2"/>
      <c r="T62" s="7">
        <v>1850</v>
      </c>
      <c r="U62" s="2"/>
      <c r="V62" s="6">
        <f t="shared" si="41"/>
        <v>7.3999999999999996E-2</v>
      </c>
      <c r="W62" s="2"/>
      <c r="X62" s="7">
        <f t="shared" si="42"/>
        <v>0</v>
      </c>
      <c r="Y62" s="2"/>
      <c r="Z62" s="6">
        <f t="shared" si="43"/>
        <v>0</v>
      </c>
    </row>
    <row r="63" spans="1:26" s="27" customFormat="1" outlineLevel="1" collapsed="1" x14ac:dyDescent="0.25">
      <c r="A63" s="28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SUM(OSRRefD22_10x_0)</f>
        <v>2763.25</v>
      </c>
      <c r="E63" s="1"/>
      <c r="F63" s="5">
        <f t="shared" si="36"/>
        <v>0.15260933942095434</v>
      </c>
      <c r="G63" s="1"/>
      <c r="H63" s="1">
        <f>SUM(OSRRefH22_10x_0)</f>
        <v>1500</v>
      </c>
      <c r="I63" s="1"/>
      <c r="J63" s="5">
        <f t="shared" si="37"/>
        <v>0.06</v>
      </c>
      <c r="K63" s="1"/>
      <c r="L63" s="1">
        <f t="shared" si="38"/>
        <v>1263.25</v>
      </c>
      <c r="M63" s="1"/>
      <c r="N63" s="5">
        <f t="shared" si="39"/>
        <v>0.84216666666666662</v>
      </c>
      <c r="O63" s="14"/>
      <c r="P63" s="1">
        <f>SUM(OSRRefP22_10x_0)</f>
        <v>2763.25</v>
      </c>
      <c r="Q63" s="1"/>
      <c r="R63" s="5">
        <f t="shared" si="40"/>
        <v>0.15260933942095434</v>
      </c>
      <c r="S63" s="1"/>
      <c r="T63" s="1">
        <f>SUM(OSRRefT22_10x_0)</f>
        <v>1500</v>
      </c>
      <c r="U63" s="1"/>
      <c r="V63" s="5">
        <f t="shared" si="41"/>
        <v>0.06</v>
      </c>
      <c r="W63" s="1"/>
      <c r="X63" s="1">
        <f t="shared" si="42"/>
        <v>1263.25</v>
      </c>
      <c r="Y63" s="1"/>
      <c r="Z63" s="5">
        <f t="shared" si="43"/>
        <v>0.84216666666666662</v>
      </c>
    </row>
    <row r="64" spans="1:26" s="24" customFormat="1" hidden="1" outlineLevel="2" x14ac:dyDescent="0.25">
      <c r="A64" s="29"/>
      <c r="B64" s="11" t="str">
        <f>CONCATENATE("          ", "6372", " - ", "COMPUTER HARDWARE MAINTENANCE")</f>
        <v xml:space="preserve">          6372 - COMPUTER HARDWARE MAINTENANCE</v>
      </c>
      <c r="C64" s="11"/>
      <c r="D64" s="7"/>
      <c r="E64" s="2"/>
      <c r="F64" s="6">
        <f t="shared" si="36"/>
        <v>0</v>
      </c>
      <c r="G64" s="2"/>
      <c r="H64" s="7">
        <v>200</v>
      </c>
      <c r="I64" s="2"/>
      <c r="J64" s="6">
        <f t="shared" si="37"/>
        <v>8.0000000000000002E-3</v>
      </c>
      <c r="K64" s="2"/>
      <c r="L64" s="7">
        <f t="shared" si="38"/>
        <v>-200</v>
      </c>
      <c r="M64" s="2"/>
      <c r="N64" s="6">
        <f t="shared" si="39"/>
        <v>-1</v>
      </c>
      <c r="O64" s="11"/>
      <c r="P64" s="7"/>
      <c r="Q64" s="2"/>
      <c r="R64" s="6">
        <f t="shared" si="40"/>
        <v>0</v>
      </c>
      <c r="S64" s="2"/>
      <c r="T64" s="7">
        <v>200</v>
      </c>
      <c r="U64" s="2"/>
      <c r="V64" s="6">
        <f t="shared" si="41"/>
        <v>8.0000000000000002E-3</v>
      </c>
      <c r="W64" s="2"/>
      <c r="X64" s="7">
        <f t="shared" si="42"/>
        <v>-200</v>
      </c>
      <c r="Y64" s="2"/>
      <c r="Z64" s="6">
        <f t="shared" si="43"/>
        <v>-1</v>
      </c>
    </row>
    <row r="65" spans="1:26" s="24" customFormat="1" hidden="1" outlineLevel="2" x14ac:dyDescent="0.25">
      <c r="A65" s="29"/>
      <c r="B65" s="11" t="str">
        <f>CONCATENATE("          ", "6373", " - ", "MAINTENANCE CONTRACTS")</f>
        <v xml:space="preserve">          6373 - MAINTENANCE CONTRACTS</v>
      </c>
      <c r="C65" s="11"/>
      <c r="D65" s="7">
        <v>1000</v>
      </c>
      <c r="E65" s="2"/>
      <c r="F65" s="6">
        <f t="shared" si="36"/>
        <v>5.522820570739323E-2</v>
      </c>
      <c r="G65" s="2"/>
      <c r="H65" s="7">
        <v>1000</v>
      </c>
      <c r="I65" s="2"/>
      <c r="J65" s="6">
        <f t="shared" si="37"/>
        <v>0.04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1000</v>
      </c>
      <c r="Q65" s="2"/>
      <c r="R65" s="6">
        <f t="shared" si="40"/>
        <v>5.522820570739323E-2</v>
      </c>
      <c r="S65" s="2"/>
      <c r="T65" s="7">
        <v>1000</v>
      </c>
      <c r="U65" s="2"/>
      <c r="V65" s="6">
        <f t="shared" si="41"/>
        <v>0.04</v>
      </c>
      <c r="W65" s="2"/>
      <c r="X65" s="7">
        <f t="shared" si="42"/>
        <v>0</v>
      </c>
      <c r="Y65" s="2"/>
      <c r="Z65" s="6">
        <f t="shared" si="43"/>
        <v>0</v>
      </c>
    </row>
    <row r="66" spans="1:26" s="24" customFormat="1" hidden="1" outlineLevel="2" x14ac:dyDescent="0.25">
      <c r="A66" s="29"/>
      <c r="B66" s="11" t="str">
        <f>CONCATENATE("          ", "6375", " - ", "OUTSIDE REPAIRS &amp; MAINTENANCE")</f>
        <v xml:space="preserve">          6375 - OUTSIDE REPAIRS &amp; MAINTENANCE</v>
      </c>
      <c r="C66" s="11"/>
      <c r="D66" s="7">
        <v>1763.25</v>
      </c>
      <c r="E66" s="2"/>
      <c r="F66" s="6">
        <f t="shared" si="36"/>
        <v>9.7381133713561108E-2</v>
      </c>
      <c r="G66" s="2"/>
      <c r="H66" s="7">
        <v>300</v>
      </c>
      <c r="I66" s="2"/>
      <c r="J66" s="6">
        <f t="shared" si="37"/>
        <v>1.2E-2</v>
      </c>
      <c r="K66" s="2"/>
      <c r="L66" s="7">
        <f t="shared" si="38"/>
        <v>1463.25</v>
      </c>
      <c r="M66" s="2"/>
      <c r="N66" s="6">
        <f t="shared" si="39"/>
        <v>4.8775000000000004</v>
      </c>
      <c r="O66" s="11"/>
      <c r="P66" s="7">
        <v>1763.25</v>
      </c>
      <c r="Q66" s="2"/>
      <c r="R66" s="6">
        <f t="shared" si="40"/>
        <v>9.7381133713561108E-2</v>
      </c>
      <c r="S66" s="2"/>
      <c r="T66" s="7">
        <v>300</v>
      </c>
      <c r="U66" s="2"/>
      <c r="V66" s="6">
        <f t="shared" si="41"/>
        <v>1.2E-2</v>
      </c>
      <c r="W66" s="2"/>
      <c r="X66" s="7">
        <f t="shared" si="42"/>
        <v>1463.25</v>
      </c>
      <c r="Y66" s="2"/>
      <c r="Z66" s="6">
        <f t="shared" si="43"/>
        <v>4.8775000000000004</v>
      </c>
    </row>
    <row r="67" spans="1:26" s="27" customFormat="1" outlineLevel="1" collapsed="1" x14ac:dyDescent="0.25">
      <c r="A67" s="28"/>
      <c r="B67" s="14" t="str">
        <f>CONCATENATE("     ","Royalty &amp; Commissions                             ")</f>
        <v xml:space="preserve">     Royalty &amp; Commissions                             </v>
      </c>
      <c r="C67" s="14"/>
      <c r="D67" s="1">
        <f>SUM(OSRRefD22_11x_0)</f>
        <v>1448.56</v>
      </c>
      <c r="E67" s="1"/>
      <c r="F67" s="5">
        <f t="shared" ref="F67:F72" si="44">IF(D$12=0,0,D67/D$12)</f>
        <v>8.0001369659501526E-2</v>
      </c>
      <c r="G67" s="1"/>
      <c r="H67" s="1">
        <f>SUM(OSRRefH22_11x_0)</f>
        <v>2000</v>
      </c>
      <c r="I67" s="1"/>
      <c r="J67" s="5">
        <f t="shared" ref="J67:J72" si="45">IF(H$12=0,0,H67/H$12)</f>
        <v>0.08</v>
      </c>
      <c r="K67" s="1"/>
      <c r="L67" s="1">
        <f t="shared" ref="L67:L72" si="46">+D67-H67</f>
        <v>-551.44000000000005</v>
      </c>
      <c r="M67" s="1"/>
      <c r="N67" s="5">
        <f t="shared" ref="N67:N72" si="47">IF(H67=0,0,L67/H67)</f>
        <v>-0.27572000000000002</v>
      </c>
      <c r="O67" s="14"/>
      <c r="P67" s="1">
        <f>SUM(OSRRefP22_11x_0)</f>
        <v>1448.56</v>
      </c>
      <c r="Q67" s="1"/>
      <c r="R67" s="5">
        <f t="shared" ref="R67:R72" si="48">IF(P$12=0,0,P67/P$12)</f>
        <v>8.0001369659501526E-2</v>
      </c>
      <c r="S67" s="1"/>
      <c r="T67" s="1">
        <f>SUM(OSRRefT22_11x_0)</f>
        <v>2000</v>
      </c>
      <c r="U67" s="1"/>
      <c r="V67" s="5">
        <f t="shared" ref="V67:V72" si="49">IF(T$12=0,0,T67/T$12)</f>
        <v>0.08</v>
      </c>
      <c r="W67" s="1"/>
      <c r="X67" s="1">
        <f t="shared" ref="X67:X72" si="50">+P67-T67</f>
        <v>-551.44000000000005</v>
      </c>
      <c r="Y67" s="1"/>
      <c r="Z67" s="5">
        <f t="shared" ref="Z67:Z72" si="51">IF(T67=0,0,X67/T67)</f>
        <v>-0.27572000000000002</v>
      </c>
    </row>
    <row r="68" spans="1:26" s="24" customFormat="1" hidden="1" outlineLevel="2" x14ac:dyDescent="0.25">
      <c r="A68" s="29"/>
      <c r="B68" s="11" t="str">
        <f>CONCATENATE("          ", "6259", " - ", "ROYALTY &amp; COMMISSIONS")</f>
        <v xml:space="preserve">          6259 - ROYALTY &amp; COMMISSIONS</v>
      </c>
      <c r="C68" s="11"/>
      <c r="D68" s="7">
        <v>1448.56</v>
      </c>
      <c r="E68" s="2"/>
      <c r="F68" s="6">
        <f t="shared" si="44"/>
        <v>8.0001369659501526E-2</v>
      </c>
      <c r="G68" s="2"/>
      <c r="H68" s="7">
        <v>2000</v>
      </c>
      <c r="I68" s="2"/>
      <c r="J68" s="6">
        <f t="shared" si="45"/>
        <v>0.08</v>
      </c>
      <c r="K68" s="2"/>
      <c r="L68" s="7">
        <f t="shared" si="46"/>
        <v>-551.44000000000005</v>
      </c>
      <c r="M68" s="2"/>
      <c r="N68" s="6">
        <f t="shared" si="47"/>
        <v>-0.27572000000000002</v>
      </c>
      <c r="O68" s="11"/>
      <c r="P68" s="7">
        <v>1448.56</v>
      </c>
      <c r="Q68" s="2"/>
      <c r="R68" s="6">
        <f t="shared" si="48"/>
        <v>8.0001369659501526E-2</v>
      </c>
      <c r="S68" s="2"/>
      <c r="T68" s="7">
        <v>2000</v>
      </c>
      <c r="U68" s="2"/>
      <c r="V68" s="6">
        <f t="shared" si="49"/>
        <v>0.08</v>
      </c>
      <c r="W68" s="2"/>
      <c r="X68" s="7">
        <f t="shared" si="50"/>
        <v>-551.44000000000005</v>
      </c>
      <c r="Y68" s="2"/>
      <c r="Z68" s="6">
        <f t="shared" si="51"/>
        <v>-0.27572000000000002</v>
      </c>
    </row>
    <row r="69" spans="1:26" s="27" customFormat="1" outlineLevel="1" collapsed="1" x14ac:dyDescent="0.25">
      <c r="A69" s="28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402.96999999999997</v>
      </c>
      <c r="E69" s="1"/>
      <c r="F69" s="5">
        <f t="shared" si="44"/>
        <v>2.2255310053908246E-2</v>
      </c>
      <c r="G69" s="1"/>
      <c r="H69" s="1">
        <f>SUM(OSRRefH22_12x_0)</f>
        <v>360</v>
      </c>
      <c r="I69" s="1"/>
      <c r="J69" s="5">
        <f t="shared" si="45"/>
        <v>1.44E-2</v>
      </c>
      <c r="K69" s="1"/>
      <c r="L69" s="1">
        <f t="shared" si="46"/>
        <v>42.96999999999997</v>
      </c>
      <c r="M69" s="1"/>
      <c r="N69" s="5">
        <f t="shared" si="47"/>
        <v>0.11936111111111103</v>
      </c>
      <c r="O69" s="14"/>
      <c r="P69" s="1">
        <f>SUM(OSRRefP22_12x_0)</f>
        <v>402.96999999999997</v>
      </c>
      <c r="Q69" s="1"/>
      <c r="R69" s="5">
        <f t="shared" si="48"/>
        <v>2.2255310053908246E-2</v>
      </c>
      <c r="S69" s="1"/>
      <c r="T69" s="1">
        <f>SUM(OSRRefT22_12x_0)</f>
        <v>360</v>
      </c>
      <c r="U69" s="1"/>
      <c r="V69" s="5">
        <f t="shared" si="49"/>
        <v>1.44E-2</v>
      </c>
      <c r="W69" s="1"/>
      <c r="X69" s="1">
        <f t="shared" si="50"/>
        <v>42.96999999999997</v>
      </c>
      <c r="Y69" s="1"/>
      <c r="Z69" s="5">
        <f t="shared" si="51"/>
        <v>0.11936111111111103</v>
      </c>
    </row>
    <row r="70" spans="1:26" s="24" customFormat="1" hidden="1" outlineLevel="2" x14ac:dyDescent="0.25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96.96</v>
      </c>
      <c r="E70" s="2"/>
      <c r="F70" s="6">
        <f t="shared" si="44"/>
        <v>5.354926825388847E-3</v>
      </c>
      <c r="G70" s="2"/>
      <c r="H70" s="7">
        <v>100</v>
      </c>
      <c r="I70" s="2"/>
      <c r="J70" s="6">
        <f t="shared" si="45"/>
        <v>4.0000000000000001E-3</v>
      </c>
      <c r="K70" s="2"/>
      <c r="L70" s="7">
        <f t="shared" si="46"/>
        <v>-3.0400000000000063</v>
      </c>
      <c r="M70" s="2"/>
      <c r="N70" s="6">
        <f t="shared" si="47"/>
        <v>-3.0400000000000062E-2</v>
      </c>
      <c r="O70" s="11"/>
      <c r="P70" s="7">
        <v>96.96</v>
      </c>
      <c r="Q70" s="2"/>
      <c r="R70" s="6">
        <f t="shared" si="48"/>
        <v>5.354926825388847E-3</v>
      </c>
      <c r="S70" s="2"/>
      <c r="T70" s="7">
        <v>100</v>
      </c>
      <c r="U70" s="2"/>
      <c r="V70" s="6">
        <f t="shared" si="49"/>
        <v>4.0000000000000001E-3</v>
      </c>
      <c r="W70" s="2"/>
      <c r="X70" s="7">
        <f t="shared" si="50"/>
        <v>-3.0400000000000063</v>
      </c>
      <c r="Y70" s="2"/>
      <c r="Z70" s="6">
        <f t="shared" si="51"/>
        <v>-3.0400000000000062E-2</v>
      </c>
    </row>
    <row r="71" spans="1:26" s="24" customFormat="1" hidden="1" outlineLevel="2" x14ac:dyDescent="0.25">
      <c r="A71" s="29"/>
      <c r="B71" s="11" t="str">
        <f>CONCATENATE("          ", "6284", " - ", "TRASH REMOVAL EXPENSE")</f>
        <v xml:space="preserve">          6284 - TRASH REMOVAL EXPENSE</v>
      </c>
      <c r="C71" s="11"/>
      <c r="D71" s="7">
        <v>94</v>
      </c>
      <c r="E71" s="2"/>
      <c r="F71" s="6">
        <f t="shared" si="44"/>
        <v>5.1914513364949635E-3</v>
      </c>
      <c r="G71" s="2"/>
      <c r="H71" s="7">
        <v>40</v>
      </c>
      <c r="I71" s="2"/>
      <c r="J71" s="6">
        <f t="shared" si="45"/>
        <v>1.6000000000000001E-3</v>
      </c>
      <c r="K71" s="2"/>
      <c r="L71" s="7">
        <f t="shared" si="46"/>
        <v>54</v>
      </c>
      <c r="M71" s="2"/>
      <c r="N71" s="6">
        <f t="shared" si="47"/>
        <v>1.35</v>
      </c>
      <c r="O71" s="11"/>
      <c r="P71" s="7">
        <v>94</v>
      </c>
      <c r="Q71" s="2"/>
      <c r="R71" s="6">
        <f t="shared" si="48"/>
        <v>5.1914513364949635E-3</v>
      </c>
      <c r="S71" s="2"/>
      <c r="T71" s="7">
        <v>40</v>
      </c>
      <c r="U71" s="2"/>
      <c r="V71" s="6">
        <f t="shared" si="49"/>
        <v>1.6000000000000001E-3</v>
      </c>
      <c r="W71" s="2"/>
      <c r="X71" s="7">
        <f t="shared" si="50"/>
        <v>54</v>
      </c>
      <c r="Y71" s="2"/>
      <c r="Z71" s="6">
        <f t="shared" si="51"/>
        <v>1.35</v>
      </c>
    </row>
    <row r="72" spans="1:26" s="24" customFormat="1" hidden="1" outlineLevel="2" x14ac:dyDescent="0.25">
      <c r="A72" s="29"/>
      <c r="B72" s="11" t="str">
        <f>CONCATENATE("          ", "6286", " - ", "LAUNDRY EXPENSE")</f>
        <v xml:space="preserve">          6286 - LAUNDRY EXPENSE</v>
      </c>
      <c r="C72" s="11"/>
      <c r="D72" s="7">
        <v>212.01</v>
      </c>
      <c r="E72" s="2"/>
      <c r="F72" s="6">
        <f t="shared" si="44"/>
        <v>1.1708931892024438E-2</v>
      </c>
      <c r="G72" s="2"/>
      <c r="H72" s="7">
        <v>220</v>
      </c>
      <c r="I72" s="2"/>
      <c r="J72" s="6">
        <f t="shared" si="45"/>
        <v>8.8000000000000005E-3</v>
      </c>
      <c r="K72" s="2"/>
      <c r="L72" s="7">
        <f t="shared" si="46"/>
        <v>-7.9900000000000091</v>
      </c>
      <c r="M72" s="2"/>
      <c r="N72" s="6">
        <f t="shared" si="47"/>
        <v>-3.6318181818181861E-2</v>
      </c>
      <c r="O72" s="11"/>
      <c r="P72" s="7">
        <v>212.01</v>
      </c>
      <c r="Q72" s="2"/>
      <c r="R72" s="6">
        <f t="shared" si="48"/>
        <v>1.1708931892024438E-2</v>
      </c>
      <c r="S72" s="2"/>
      <c r="T72" s="7">
        <v>220</v>
      </c>
      <c r="U72" s="2"/>
      <c r="V72" s="6">
        <f t="shared" si="49"/>
        <v>8.8000000000000005E-3</v>
      </c>
      <c r="W72" s="2"/>
      <c r="X72" s="7">
        <f t="shared" si="50"/>
        <v>-7.9900000000000091</v>
      </c>
      <c r="Y72" s="2"/>
      <c r="Z72" s="6">
        <f t="shared" si="51"/>
        <v>-3.6318181818181861E-2</v>
      </c>
    </row>
    <row r="73" spans="1:26" s="27" customFormat="1" outlineLevel="1" collapsed="1" x14ac:dyDescent="0.25">
      <c r="A73" s="28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SUM(OSRRefD22_13x_0)</f>
        <v>3507.7300000000005</v>
      </c>
      <c r="E73" s="1"/>
      <c r="F73" s="5">
        <f t="shared" ref="F73:F81" si="52">IF(D$12=0,0,D73/D$12)</f>
        <v>0.19372563400599446</v>
      </c>
      <c r="G73" s="1"/>
      <c r="H73" s="1">
        <f>SUM(OSRRefH22_13x_0)</f>
        <v>7600</v>
      </c>
      <c r="I73" s="1"/>
      <c r="J73" s="5">
        <f t="shared" ref="J73:J81" si="53">IF(H$12=0,0,H73/H$12)</f>
        <v>0.30399999999999999</v>
      </c>
      <c r="K73" s="1"/>
      <c r="L73" s="1">
        <f t="shared" ref="L73:L81" si="54">+D73-H73</f>
        <v>-4092.2699999999995</v>
      </c>
      <c r="M73" s="1"/>
      <c r="N73" s="5">
        <f t="shared" ref="N73:N81" si="55">IF(H73=0,0,L73/H73)</f>
        <v>-0.53845657894736831</v>
      </c>
      <c r="O73" s="14"/>
      <c r="P73" s="1">
        <f>SUM(OSRRefP22_13x_0)</f>
        <v>3507.7300000000005</v>
      </c>
      <c r="Q73" s="1"/>
      <c r="R73" s="5">
        <f t="shared" ref="R73:R81" si="56">IF(P$12=0,0,P73/P$12)</f>
        <v>0.19372563400599446</v>
      </c>
      <c r="S73" s="1"/>
      <c r="T73" s="1">
        <f>SUM(OSRRefT22_13x_0)</f>
        <v>7600</v>
      </c>
      <c r="U73" s="1"/>
      <c r="V73" s="5">
        <f t="shared" ref="V73:V81" si="57">IF(T$12=0,0,T73/T$12)</f>
        <v>0.30399999999999999</v>
      </c>
      <c r="W73" s="1"/>
      <c r="X73" s="1">
        <f t="shared" ref="X73:X81" si="58">+P73-T73</f>
        <v>-4092.2699999999995</v>
      </c>
      <c r="Y73" s="1"/>
      <c r="Z73" s="5">
        <f t="shared" ref="Z73:Z81" si="59">IF(T73=0,0,X73/T73)</f>
        <v>-0.53845657894736831</v>
      </c>
    </row>
    <row r="74" spans="1:26" s="24" customFormat="1" hidden="1" outlineLevel="2" x14ac:dyDescent="0.25">
      <c r="A74" s="29"/>
      <c r="B74" s="11" t="str">
        <f>CONCATENATE("          ", "6237", " - ", "JANITORIAL SUPPLIES")</f>
        <v xml:space="preserve">          6237 - JANITORIAL SUPPLIES</v>
      </c>
      <c r="C74" s="11"/>
      <c r="D74" s="7">
        <v>141.34</v>
      </c>
      <c r="E74" s="2"/>
      <c r="F74" s="6">
        <f t="shared" si="52"/>
        <v>7.8059545946829586E-3</v>
      </c>
      <c r="G74" s="2"/>
      <c r="H74" s="7">
        <v>100</v>
      </c>
      <c r="I74" s="2"/>
      <c r="J74" s="6">
        <f t="shared" si="53"/>
        <v>4.0000000000000001E-3</v>
      </c>
      <c r="K74" s="2"/>
      <c r="L74" s="7">
        <f t="shared" si="54"/>
        <v>41.34</v>
      </c>
      <c r="M74" s="2"/>
      <c r="N74" s="6">
        <f t="shared" si="55"/>
        <v>0.41340000000000005</v>
      </c>
      <c r="O74" s="11"/>
      <c r="P74" s="7">
        <v>141.34</v>
      </c>
      <c r="Q74" s="2"/>
      <c r="R74" s="6">
        <f t="shared" si="56"/>
        <v>7.8059545946829586E-3</v>
      </c>
      <c r="S74" s="2"/>
      <c r="T74" s="7">
        <v>100</v>
      </c>
      <c r="U74" s="2"/>
      <c r="V74" s="6">
        <f t="shared" si="57"/>
        <v>4.0000000000000001E-3</v>
      </c>
      <c r="W74" s="2"/>
      <c r="X74" s="7">
        <f t="shared" si="58"/>
        <v>41.34</v>
      </c>
      <c r="Y74" s="2"/>
      <c r="Z74" s="6">
        <f t="shared" si="59"/>
        <v>0.41340000000000005</v>
      </c>
    </row>
    <row r="75" spans="1:26" s="24" customFormat="1" hidden="1" outlineLevel="2" x14ac:dyDescent="0.25">
      <c r="A75" s="29"/>
      <c r="B75" s="11" t="str">
        <f>CONCATENATE("          ", "6239", " - ", "KITCHEN SUPPLIES")</f>
        <v xml:space="preserve">          6239 - KITCHEN SUPPLIES</v>
      </c>
      <c r="C75" s="11"/>
      <c r="D75" s="7">
        <v>2140.3000000000002</v>
      </c>
      <c r="E75" s="2"/>
      <c r="F75" s="6">
        <f t="shared" si="52"/>
        <v>0.11820492867553374</v>
      </c>
      <c r="G75" s="2"/>
      <c r="H75" s="7">
        <v>4900</v>
      </c>
      <c r="I75" s="2"/>
      <c r="J75" s="6">
        <f t="shared" si="53"/>
        <v>0.19600000000000001</v>
      </c>
      <c r="K75" s="2"/>
      <c r="L75" s="7">
        <f t="shared" si="54"/>
        <v>-2759.7</v>
      </c>
      <c r="M75" s="2"/>
      <c r="N75" s="6">
        <f t="shared" si="55"/>
        <v>-0.56320408163265301</v>
      </c>
      <c r="O75" s="11"/>
      <c r="P75" s="7">
        <v>2140.3000000000002</v>
      </c>
      <c r="Q75" s="2"/>
      <c r="R75" s="6">
        <f t="shared" si="56"/>
        <v>0.11820492867553374</v>
      </c>
      <c r="S75" s="2"/>
      <c r="T75" s="7">
        <v>4900</v>
      </c>
      <c r="U75" s="2"/>
      <c r="V75" s="6">
        <f t="shared" si="57"/>
        <v>0.19600000000000001</v>
      </c>
      <c r="W75" s="2"/>
      <c r="X75" s="7">
        <f t="shared" si="58"/>
        <v>-2759.7</v>
      </c>
      <c r="Y75" s="2"/>
      <c r="Z75" s="6">
        <f t="shared" si="59"/>
        <v>-0.56320408163265301</v>
      </c>
    </row>
    <row r="76" spans="1:26" s="24" customFormat="1" hidden="1" outlineLevel="2" x14ac:dyDescent="0.25">
      <c r="A76" s="29"/>
      <c r="B76" s="11" t="str">
        <f>CONCATENATE("          ", "6241", " - ", "OFFICE EXPENSE")</f>
        <v xml:space="preserve">          6241 - OFFICE EXPENSE</v>
      </c>
      <c r="C76" s="11"/>
      <c r="D76" s="7">
        <v>123.87</v>
      </c>
      <c r="E76" s="2"/>
      <c r="F76" s="6">
        <f t="shared" si="52"/>
        <v>6.8411178409747992E-3</v>
      </c>
      <c r="G76" s="2"/>
      <c r="H76" s="7">
        <v>50</v>
      </c>
      <c r="I76" s="2"/>
      <c r="J76" s="6">
        <f t="shared" si="53"/>
        <v>2E-3</v>
      </c>
      <c r="K76" s="2"/>
      <c r="L76" s="7">
        <f t="shared" si="54"/>
        <v>73.87</v>
      </c>
      <c r="M76" s="2"/>
      <c r="N76" s="6">
        <f t="shared" si="55"/>
        <v>1.4774</v>
      </c>
      <c r="O76" s="11"/>
      <c r="P76" s="7">
        <v>123.87</v>
      </c>
      <c r="Q76" s="2"/>
      <c r="R76" s="6">
        <f t="shared" si="56"/>
        <v>6.8411178409747992E-3</v>
      </c>
      <c r="S76" s="2"/>
      <c r="T76" s="7">
        <v>50</v>
      </c>
      <c r="U76" s="2"/>
      <c r="V76" s="6">
        <f t="shared" si="57"/>
        <v>2E-3</v>
      </c>
      <c r="W76" s="2"/>
      <c r="X76" s="7">
        <f t="shared" si="58"/>
        <v>73.87</v>
      </c>
      <c r="Y76" s="2"/>
      <c r="Z76" s="6">
        <f t="shared" si="59"/>
        <v>1.4774</v>
      </c>
    </row>
    <row r="77" spans="1:26" s="24" customFormat="1" hidden="1" outlineLevel="2" x14ac:dyDescent="0.25">
      <c r="A77" s="29"/>
      <c r="B77" s="11" t="str">
        <f>CONCATENATE("          ", "6243", " - ", "PAPER SUPPLIES")</f>
        <v xml:space="preserve">          6243 - PAPER SUPPLIES</v>
      </c>
      <c r="C77" s="11"/>
      <c r="D77" s="7">
        <v>1079.21</v>
      </c>
      <c r="E77" s="2"/>
      <c r="F77" s="6">
        <f t="shared" si="52"/>
        <v>5.9602831881475846E-2</v>
      </c>
      <c r="G77" s="2"/>
      <c r="H77" s="7"/>
      <c r="I77" s="2"/>
      <c r="J77" s="6">
        <f t="shared" si="53"/>
        <v>0</v>
      </c>
      <c r="K77" s="2"/>
      <c r="L77" s="7">
        <f t="shared" si="54"/>
        <v>1079.21</v>
      </c>
      <c r="M77" s="2"/>
      <c r="N77" s="6">
        <f t="shared" si="55"/>
        <v>0</v>
      </c>
      <c r="O77" s="11"/>
      <c r="P77" s="7">
        <v>1079.21</v>
      </c>
      <c r="Q77" s="2"/>
      <c r="R77" s="6">
        <f t="shared" si="56"/>
        <v>5.9602831881475846E-2</v>
      </c>
      <c r="S77" s="2"/>
      <c r="T77" s="7"/>
      <c r="U77" s="2"/>
      <c r="V77" s="6">
        <f t="shared" si="57"/>
        <v>0</v>
      </c>
      <c r="W77" s="2"/>
      <c r="X77" s="7">
        <f t="shared" si="58"/>
        <v>1079.21</v>
      </c>
      <c r="Y77" s="2"/>
      <c r="Z77" s="6">
        <f t="shared" si="59"/>
        <v>0</v>
      </c>
    </row>
    <row r="78" spans="1:26" s="24" customFormat="1" hidden="1" outlineLevel="2" x14ac:dyDescent="0.25">
      <c r="A78" s="29"/>
      <c r="B78" s="11" t="str">
        <f>CONCATENATE("          ", "6244", " - ", "SAFETY SUPPLY EXPENSE")</f>
        <v xml:space="preserve">          6244 - SAFETY SUPPLY EXPENSE</v>
      </c>
      <c r="C78" s="11"/>
      <c r="D78" s="7"/>
      <c r="E78" s="2"/>
      <c r="F78" s="6">
        <f t="shared" si="52"/>
        <v>0</v>
      </c>
      <c r="G78" s="2"/>
      <c r="H78" s="7">
        <v>50</v>
      </c>
      <c r="I78" s="2"/>
      <c r="J78" s="6">
        <f t="shared" si="53"/>
        <v>2E-3</v>
      </c>
      <c r="K78" s="2"/>
      <c r="L78" s="7">
        <f t="shared" si="54"/>
        <v>-50</v>
      </c>
      <c r="M78" s="2"/>
      <c r="N78" s="6">
        <f t="shared" si="55"/>
        <v>-1</v>
      </c>
      <c r="O78" s="11"/>
      <c r="P78" s="7"/>
      <c r="Q78" s="2"/>
      <c r="R78" s="6">
        <f t="shared" si="56"/>
        <v>0</v>
      </c>
      <c r="S78" s="2"/>
      <c r="T78" s="7">
        <v>50</v>
      </c>
      <c r="U78" s="2"/>
      <c r="V78" s="6">
        <f t="shared" si="57"/>
        <v>2E-3</v>
      </c>
      <c r="W78" s="2"/>
      <c r="X78" s="7">
        <f t="shared" si="58"/>
        <v>-50</v>
      </c>
      <c r="Y78" s="2"/>
      <c r="Z78" s="6">
        <f t="shared" si="59"/>
        <v>-1</v>
      </c>
    </row>
    <row r="79" spans="1:26" s="24" customFormat="1" hidden="1" outlineLevel="2" x14ac:dyDescent="0.25">
      <c r="A79" s="29"/>
      <c r="B79" s="11" t="str">
        <f>CONCATENATE("          ", "6245", " - ", "PRINTING")</f>
        <v xml:space="preserve">          6245 - PRINTING</v>
      </c>
      <c r="C79" s="11"/>
      <c r="D79" s="7">
        <v>23.01</v>
      </c>
      <c r="E79" s="2"/>
      <c r="F79" s="6">
        <f t="shared" si="52"/>
        <v>1.2708010133271183E-3</v>
      </c>
      <c r="G79" s="2"/>
      <c r="H79" s="7">
        <v>50</v>
      </c>
      <c r="I79" s="2"/>
      <c r="J79" s="6">
        <f t="shared" si="53"/>
        <v>2E-3</v>
      </c>
      <c r="K79" s="2"/>
      <c r="L79" s="7">
        <f t="shared" si="54"/>
        <v>-26.99</v>
      </c>
      <c r="M79" s="2"/>
      <c r="N79" s="6">
        <f t="shared" si="55"/>
        <v>-0.53979999999999995</v>
      </c>
      <c r="O79" s="11"/>
      <c r="P79" s="7">
        <v>23.01</v>
      </c>
      <c r="Q79" s="2"/>
      <c r="R79" s="6">
        <f t="shared" si="56"/>
        <v>1.2708010133271183E-3</v>
      </c>
      <c r="S79" s="2"/>
      <c r="T79" s="7">
        <v>50</v>
      </c>
      <c r="U79" s="2"/>
      <c r="V79" s="6">
        <f t="shared" si="57"/>
        <v>2E-3</v>
      </c>
      <c r="W79" s="2"/>
      <c r="X79" s="7">
        <f t="shared" si="58"/>
        <v>-26.99</v>
      </c>
      <c r="Y79" s="2"/>
      <c r="Z79" s="6">
        <f t="shared" si="59"/>
        <v>-0.53979999999999995</v>
      </c>
    </row>
    <row r="80" spans="1:26" s="24" customFormat="1" hidden="1" outlineLevel="2" x14ac:dyDescent="0.25">
      <c r="A80" s="29"/>
      <c r="B80" s="11" t="str">
        <f>CONCATENATE("          ", "6246", " - ", "REPLACEMENTS")</f>
        <v xml:space="preserve">          6246 - REPLACEMENTS</v>
      </c>
      <c r="C80" s="11"/>
      <c r="D80" s="7"/>
      <c r="E80" s="2"/>
      <c r="F80" s="6">
        <f t="shared" si="52"/>
        <v>0</v>
      </c>
      <c r="G80" s="2"/>
      <c r="H80" s="7">
        <v>2400</v>
      </c>
      <c r="I80" s="2"/>
      <c r="J80" s="6">
        <f t="shared" si="53"/>
        <v>9.6000000000000002E-2</v>
      </c>
      <c r="K80" s="2"/>
      <c r="L80" s="7">
        <f t="shared" si="54"/>
        <v>-2400</v>
      </c>
      <c r="M80" s="2"/>
      <c r="N80" s="6">
        <f t="shared" si="55"/>
        <v>-1</v>
      </c>
      <c r="O80" s="11"/>
      <c r="P80" s="7"/>
      <c r="Q80" s="2"/>
      <c r="R80" s="6">
        <f t="shared" si="56"/>
        <v>0</v>
      </c>
      <c r="S80" s="2"/>
      <c r="T80" s="7">
        <v>2400</v>
      </c>
      <c r="U80" s="2"/>
      <c r="V80" s="6">
        <f t="shared" si="57"/>
        <v>9.6000000000000002E-2</v>
      </c>
      <c r="W80" s="2"/>
      <c r="X80" s="7">
        <f t="shared" si="58"/>
        <v>-2400</v>
      </c>
      <c r="Y80" s="2"/>
      <c r="Z80" s="6">
        <f t="shared" si="59"/>
        <v>-1</v>
      </c>
    </row>
    <row r="81" spans="1:26" s="24" customFormat="1" hidden="1" outlineLevel="2" x14ac:dyDescent="0.25">
      <c r="A81" s="29"/>
      <c r="B81" s="11" t="str">
        <f>CONCATENATE("          ", "6247", " - ", "STORE SUPPLIES")</f>
        <v xml:space="preserve">          6247 - STORE SUPPLIES</v>
      </c>
      <c r="C81" s="11"/>
      <c r="D81" s="7"/>
      <c r="E81" s="2"/>
      <c r="F81" s="6">
        <f t="shared" si="52"/>
        <v>0</v>
      </c>
      <c r="G81" s="2"/>
      <c r="H81" s="7">
        <v>50</v>
      </c>
      <c r="I81" s="2"/>
      <c r="J81" s="6">
        <f t="shared" si="53"/>
        <v>2E-3</v>
      </c>
      <c r="K81" s="2"/>
      <c r="L81" s="7">
        <f t="shared" si="54"/>
        <v>-50</v>
      </c>
      <c r="M81" s="2"/>
      <c r="N81" s="6">
        <f t="shared" si="55"/>
        <v>-1</v>
      </c>
      <c r="O81" s="11"/>
      <c r="P81" s="7"/>
      <c r="Q81" s="2"/>
      <c r="R81" s="6">
        <f t="shared" si="56"/>
        <v>0</v>
      </c>
      <c r="S81" s="2"/>
      <c r="T81" s="7">
        <v>50</v>
      </c>
      <c r="U81" s="2"/>
      <c r="V81" s="6">
        <f t="shared" si="57"/>
        <v>2E-3</v>
      </c>
      <c r="W81" s="2"/>
      <c r="X81" s="7">
        <f t="shared" si="58"/>
        <v>-50</v>
      </c>
      <c r="Y81" s="2"/>
      <c r="Z81" s="6">
        <f t="shared" si="59"/>
        <v>-1</v>
      </c>
    </row>
    <row r="82" spans="1:26" s="27" customFormat="1" outlineLevel="1" collapsed="1" x14ac:dyDescent="0.25">
      <c r="A82" s="28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SUM(OSRRefD22_14x_0)</f>
        <v>78.05</v>
      </c>
      <c r="E82" s="1"/>
      <c r="F82" s="5">
        <f t="shared" ref="F82:F87" si="60">IF(D$12=0,0,D82/D$12)</f>
        <v>4.3105614554620414E-3</v>
      </c>
      <c r="G82" s="1"/>
      <c r="H82" s="1">
        <f>SUM(OSRRefH22_14x_0)</f>
        <v>50</v>
      </c>
      <c r="I82" s="1"/>
      <c r="J82" s="5">
        <f t="shared" ref="J82:J87" si="61">IF(H$12=0,0,H82/H$12)</f>
        <v>2E-3</v>
      </c>
      <c r="K82" s="1"/>
      <c r="L82" s="1">
        <f t="shared" ref="L82:L87" si="62">+D82-H82</f>
        <v>28.049999999999997</v>
      </c>
      <c r="M82" s="1"/>
      <c r="N82" s="5">
        <f t="shared" ref="N82:N87" si="63">IF(H82=0,0,L82/H82)</f>
        <v>0.56099999999999994</v>
      </c>
      <c r="O82" s="14"/>
      <c r="P82" s="1">
        <f>SUM(OSRRefP22_14x_0)</f>
        <v>78.05</v>
      </c>
      <c r="Q82" s="1"/>
      <c r="R82" s="5">
        <f t="shared" ref="R82:R87" si="64">IF(P$12=0,0,P82/P$12)</f>
        <v>4.3105614554620414E-3</v>
      </c>
      <c r="S82" s="1"/>
      <c r="T82" s="1">
        <f>SUM(OSRRefT22_14x_0)</f>
        <v>50</v>
      </c>
      <c r="U82" s="1"/>
      <c r="V82" s="5">
        <f t="shared" ref="V82:V87" si="65">IF(T$12=0,0,T82/T$12)</f>
        <v>2E-3</v>
      </c>
      <c r="W82" s="1"/>
      <c r="X82" s="1">
        <f t="shared" ref="X82:X87" si="66">+P82-T82</f>
        <v>28.049999999999997</v>
      </c>
      <c r="Y82" s="1"/>
      <c r="Z82" s="5">
        <f t="shared" ref="Z82:Z87" si="67">IF(T82=0,0,X82/T82)</f>
        <v>0.56099999999999994</v>
      </c>
    </row>
    <row r="83" spans="1:26" s="24" customFormat="1" hidden="1" outlineLevel="2" x14ac:dyDescent="0.25">
      <c r="A83" s="29"/>
      <c r="B83" s="11" t="str">
        <f>CONCATENATE("          ", "6309", " - ", "TELEPHONE")</f>
        <v xml:space="preserve">          6309 - TELEPHONE</v>
      </c>
      <c r="C83" s="11"/>
      <c r="D83" s="7">
        <v>78.05</v>
      </c>
      <c r="E83" s="2"/>
      <c r="F83" s="6">
        <f t="shared" si="60"/>
        <v>4.3105614554620414E-3</v>
      </c>
      <c r="G83" s="2"/>
      <c r="H83" s="7">
        <v>50</v>
      </c>
      <c r="I83" s="2"/>
      <c r="J83" s="6">
        <f t="shared" si="61"/>
        <v>2E-3</v>
      </c>
      <c r="K83" s="2"/>
      <c r="L83" s="7">
        <f t="shared" si="62"/>
        <v>28.049999999999997</v>
      </c>
      <c r="M83" s="2"/>
      <c r="N83" s="6">
        <f t="shared" si="63"/>
        <v>0.56099999999999994</v>
      </c>
      <c r="O83" s="11"/>
      <c r="P83" s="7">
        <v>78.05</v>
      </c>
      <c r="Q83" s="2"/>
      <c r="R83" s="6">
        <f t="shared" si="64"/>
        <v>4.3105614554620414E-3</v>
      </c>
      <c r="S83" s="2"/>
      <c r="T83" s="7">
        <v>50</v>
      </c>
      <c r="U83" s="2"/>
      <c r="V83" s="6">
        <f t="shared" si="65"/>
        <v>2E-3</v>
      </c>
      <c r="W83" s="2"/>
      <c r="X83" s="7">
        <f t="shared" si="66"/>
        <v>28.049999999999997</v>
      </c>
      <c r="Y83" s="2"/>
      <c r="Z83" s="6">
        <f t="shared" si="67"/>
        <v>0.56099999999999994</v>
      </c>
    </row>
    <row r="84" spans="1:26" s="27" customFormat="1" outlineLevel="1" collapsed="1" x14ac:dyDescent="0.25">
      <c r="A84" s="28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SUM(OSRRefD22_15x_0)</f>
        <v>237.95</v>
      </c>
      <c r="E84" s="1"/>
      <c r="F84" s="5">
        <f t="shared" si="60"/>
        <v>1.3141551548074218E-2</v>
      </c>
      <c r="G84" s="1"/>
      <c r="H84" s="1">
        <f>SUM(OSRRefH22_15x_0)</f>
        <v>0</v>
      </c>
      <c r="I84" s="1"/>
      <c r="J84" s="5">
        <f t="shared" si="61"/>
        <v>0</v>
      </c>
      <c r="K84" s="1"/>
      <c r="L84" s="1">
        <f t="shared" si="62"/>
        <v>237.95</v>
      </c>
      <c r="M84" s="1"/>
      <c r="N84" s="5">
        <f t="shared" si="63"/>
        <v>0</v>
      </c>
      <c r="O84" s="14"/>
      <c r="P84" s="1">
        <f>SUM(OSRRefP22_15x_0)</f>
        <v>237.95</v>
      </c>
      <c r="Q84" s="1"/>
      <c r="R84" s="5">
        <f t="shared" si="64"/>
        <v>1.3141551548074218E-2</v>
      </c>
      <c r="S84" s="1"/>
      <c r="T84" s="1">
        <f>SUM(OSRRefT22_15x_0)</f>
        <v>0</v>
      </c>
      <c r="U84" s="1"/>
      <c r="V84" s="5">
        <f t="shared" si="65"/>
        <v>0</v>
      </c>
      <c r="W84" s="1"/>
      <c r="X84" s="1">
        <f t="shared" si="66"/>
        <v>237.95</v>
      </c>
      <c r="Y84" s="1"/>
      <c r="Z84" s="5">
        <f t="shared" si="67"/>
        <v>0</v>
      </c>
    </row>
    <row r="85" spans="1:26" s="24" customFormat="1" hidden="1" outlineLevel="2" x14ac:dyDescent="0.25">
      <c r="A85" s="29"/>
      <c r="B85" s="11" t="str">
        <f>CONCATENATE("          ", "6376", " - ", "TRAINING")</f>
        <v xml:space="preserve">          6376 - TRAINING</v>
      </c>
      <c r="C85" s="11"/>
      <c r="D85" s="7">
        <v>237.95</v>
      </c>
      <c r="E85" s="2"/>
      <c r="F85" s="6">
        <f t="shared" si="60"/>
        <v>1.3141551548074218E-2</v>
      </c>
      <c r="G85" s="2"/>
      <c r="H85" s="7"/>
      <c r="I85" s="2"/>
      <c r="J85" s="6">
        <f t="shared" si="61"/>
        <v>0</v>
      </c>
      <c r="K85" s="2"/>
      <c r="L85" s="7">
        <f t="shared" si="62"/>
        <v>237.95</v>
      </c>
      <c r="M85" s="2"/>
      <c r="N85" s="6">
        <f t="shared" si="63"/>
        <v>0</v>
      </c>
      <c r="O85" s="11"/>
      <c r="P85" s="7">
        <v>237.95</v>
      </c>
      <c r="Q85" s="2"/>
      <c r="R85" s="6">
        <f t="shared" si="64"/>
        <v>1.3141551548074218E-2</v>
      </c>
      <c r="S85" s="2"/>
      <c r="T85" s="7"/>
      <c r="U85" s="2"/>
      <c r="V85" s="6">
        <f t="shared" si="65"/>
        <v>0</v>
      </c>
      <c r="W85" s="2"/>
      <c r="X85" s="7">
        <f t="shared" si="66"/>
        <v>237.95</v>
      </c>
      <c r="Y85" s="2"/>
      <c r="Z85" s="6">
        <f t="shared" si="67"/>
        <v>0</v>
      </c>
    </row>
    <row r="86" spans="1:26" s="27" customFormat="1" outlineLevel="1" collapsed="1" x14ac:dyDescent="0.25">
      <c r="A86" s="28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SUM(OSRRefD22_16x_0)</f>
        <v>306</v>
      </c>
      <c r="E86" s="1"/>
      <c r="F86" s="5">
        <f t="shared" si="60"/>
        <v>1.6899830946462326E-2</v>
      </c>
      <c r="G86" s="1"/>
      <c r="H86" s="1">
        <f>SUM(OSRRefH22_16x_0)</f>
        <v>350</v>
      </c>
      <c r="I86" s="1"/>
      <c r="J86" s="5">
        <f t="shared" si="61"/>
        <v>1.4E-2</v>
      </c>
      <c r="K86" s="1"/>
      <c r="L86" s="1">
        <f t="shared" si="62"/>
        <v>-44</v>
      </c>
      <c r="M86" s="1"/>
      <c r="N86" s="5">
        <f t="shared" si="63"/>
        <v>-0.12571428571428572</v>
      </c>
      <c r="O86" s="14"/>
      <c r="P86" s="1">
        <f>SUM(OSRRefP22_16x_0)</f>
        <v>306</v>
      </c>
      <c r="Q86" s="1"/>
      <c r="R86" s="5">
        <f t="shared" si="64"/>
        <v>1.6899830946462326E-2</v>
      </c>
      <c r="S86" s="1"/>
      <c r="T86" s="1">
        <f>SUM(OSRRefT22_16x_0)</f>
        <v>350</v>
      </c>
      <c r="U86" s="1"/>
      <c r="V86" s="5">
        <f t="shared" si="65"/>
        <v>1.4E-2</v>
      </c>
      <c r="W86" s="1"/>
      <c r="X86" s="1">
        <f t="shared" si="66"/>
        <v>-44</v>
      </c>
      <c r="Y86" s="1"/>
      <c r="Z86" s="5">
        <f t="shared" si="67"/>
        <v>-0.12571428571428572</v>
      </c>
    </row>
    <row r="87" spans="1:26" s="24" customFormat="1" hidden="1" outlineLevel="2" x14ac:dyDescent="0.25">
      <c r="A87" s="29"/>
      <c r="B87" s="11" t="str">
        <f>CONCATENATE("          ", "6274", " - ", "UTILITIES")</f>
        <v xml:space="preserve">          6274 - UTILITIES</v>
      </c>
      <c r="C87" s="11"/>
      <c r="D87" s="7">
        <v>306</v>
      </c>
      <c r="E87" s="2"/>
      <c r="F87" s="6">
        <f t="shared" si="60"/>
        <v>1.6899830946462326E-2</v>
      </c>
      <c r="G87" s="2"/>
      <c r="H87" s="7">
        <v>350</v>
      </c>
      <c r="I87" s="2"/>
      <c r="J87" s="6">
        <f t="shared" si="61"/>
        <v>1.4E-2</v>
      </c>
      <c r="K87" s="2"/>
      <c r="L87" s="7">
        <f t="shared" si="62"/>
        <v>-44</v>
      </c>
      <c r="M87" s="2"/>
      <c r="N87" s="6">
        <f t="shared" si="63"/>
        <v>-0.12571428571428572</v>
      </c>
      <c r="O87" s="11"/>
      <c r="P87" s="7">
        <v>306</v>
      </c>
      <c r="Q87" s="2"/>
      <c r="R87" s="6">
        <f t="shared" si="64"/>
        <v>1.6899830946462326E-2</v>
      </c>
      <c r="S87" s="2"/>
      <c r="T87" s="7">
        <v>350</v>
      </c>
      <c r="U87" s="2"/>
      <c r="V87" s="6">
        <f t="shared" si="65"/>
        <v>1.4E-2</v>
      </c>
      <c r="W87" s="2"/>
      <c r="X87" s="7">
        <f t="shared" si="66"/>
        <v>-44</v>
      </c>
      <c r="Y87" s="2"/>
      <c r="Z87" s="6">
        <f t="shared" si="67"/>
        <v>-0.12571428571428572</v>
      </c>
    </row>
    <row r="88" spans="1:26" s="57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5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6" t="s">
        <v>3</v>
      </c>
      <c r="C91" s="26"/>
      <c r="D91" s="21">
        <f>+D22-D24+D89</f>
        <v>-32977.450000000004</v>
      </c>
      <c r="E91" s="13"/>
      <c r="F91" s="19">
        <f>IF(D$12=0,0,D91/D$12)</f>
        <v>-1.821285392305275</v>
      </c>
      <c r="G91" s="13"/>
      <c r="H91" s="21">
        <f>+H22-H24+H89</f>
        <v>-20577.920036999996</v>
      </c>
      <c r="I91" s="13"/>
      <c r="J91" s="19">
        <f>IF(H$12=0,0,H91/H$12)</f>
        <v>-0.82311680147999988</v>
      </c>
      <c r="K91" s="15"/>
      <c r="L91" s="21">
        <f>+D91-H91</f>
        <v>-12399.529963000008</v>
      </c>
      <c r="M91" s="15"/>
      <c r="N91" s="19">
        <f>IF(H91=0,0,L91/H91)</f>
        <v>0.60256478500767396</v>
      </c>
      <c r="O91" s="25"/>
      <c r="P91" s="21">
        <f>+P22-P24+P89</f>
        <v>-32977.450000000004</v>
      </c>
      <c r="Q91" s="13"/>
      <c r="R91" s="19">
        <f>IF(P$12=0,0,P91/P$12)</f>
        <v>-1.821285392305275</v>
      </c>
      <c r="S91" s="13"/>
      <c r="T91" s="21">
        <f>+T22-T24+T89</f>
        <v>-20577.920036999996</v>
      </c>
      <c r="U91" s="13"/>
      <c r="V91" s="19">
        <f>IF(T$12=0,0,T91/T$12)</f>
        <v>-0.82311680147999988</v>
      </c>
      <c r="W91" s="15"/>
      <c r="X91" s="21">
        <f>+P91-T91</f>
        <v>-12399.529963000008</v>
      </c>
      <c r="Y91" s="15"/>
      <c r="Z91" s="19">
        <f>IF(T91=0,0,X91/T91)</f>
        <v>0.60256478500767396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3764.91</v>
      </c>
      <c r="E93" s="4"/>
      <c r="F93" s="12">
        <f>IF(D$12=0,0,D93/D$12)</f>
        <v>0.20792922394982183</v>
      </c>
      <c r="G93" s="4"/>
      <c r="H93" s="4">
        <v>6093</v>
      </c>
      <c r="I93" s="4"/>
      <c r="J93" s="12">
        <f>IF(H$12=0,0,H93/H$12)</f>
        <v>0.24371999999999999</v>
      </c>
      <c r="K93" s="4"/>
      <c r="L93" s="4">
        <f>+D93-H93</f>
        <v>-2328.09</v>
      </c>
      <c r="M93" s="4"/>
      <c r="N93" s="12">
        <f>IF(H93=0,0,L93/H93)</f>
        <v>-0.38209256523879864</v>
      </c>
      <c r="O93" s="10"/>
      <c r="P93" s="4">
        <v>3764.91</v>
      </c>
      <c r="Q93" s="4"/>
      <c r="R93" s="12">
        <f>IF(P$12=0,0,P93/P$12)</f>
        <v>0.20792922394982183</v>
      </c>
      <c r="S93" s="4"/>
      <c r="T93" s="4">
        <v>6093</v>
      </c>
      <c r="U93" s="4"/>
      <c r="V93" s="12">
        <f>IF(T$12=0,0,T93/T$12)</f>
        <v>0.24371999999999999</v>
      </c>
      <c r="W93" s="4"/>
      <c r="X93" s="4">
        <f>+P93-T93</f>
        <v>-2328.09</v>
      </c>
      <c r="Y93" s="4"/>
      <c r="Z93" s="12">
        <f>IF(T93=0,0,X93/T93)</f>
        <v>-0.38209256523879864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4</v>
      </c>
      <c r="C95" s="26"/>
      <c r="D95" s="32">
        <f>+D91-D93</f>
        <v>-36742.36</v>
      </c>
      <c r="E95" s="13"/>
      <c r="F95" s="31">
        <f>IF(D$12=0,0,D95/D$12)</f>
        <v>-2.0292146162550968</v>
      </c>
      <c r="G95" s="13"/>
      <c r="H95" s="32">
        <f>+H91-H93</f>
        <v>-26670.920036999996</v>
      </c>
      <c r="I95" s="13"/>
      <c r="J95" s="31">
        <f>IF(H$12=0,0,H95/H$12)</f>
        <v>-1.0668368014799998</v>
      </c>
      <c r="K95" s="15"/>
      <c r="L95" s="32">
        <f>D95-H95</f>
        <v>-10071.439963000004</v>
      </c>
      <c r="M95" s="15"/>
      <c r="N95" s="31">
        <f>IF(H95=0,0,L95/H95)</f>
        <v>0.37761876789507492</v>
      </c>
      <c r="O95" s="25"/>
      <c r="P95" s="32">
        <f>+P91-P93</f>
        <v>-36742.36</v>
      </c>
      <c r="Q95" s="13"/>
      <c r="R95" s="31">
        <f>IF(P$12=0,0,P95/P$12)</f>
        <v>-2.0292146162550968</v>
      </c>
      <c r="S95" s="13"/>
      <c r="T95" s="32">
        <f>+T91-T93</f>
        <v>-26670.920036999996</v>
      </c>
      <c r="U95" s="13"/>
      <c r="V95" s="31">
        <f>IF(T$12=0,0,T95/T$12)</f>
        <v>-1.0668368014799998</v>
      </c>
      <c r="W95" s="15"/>
      <c r="X95" s="32">
        <f>P95-T95</f>
        <v>-10071.439963000004</v>
      </c>
      <c r="Y95" s="15"/>
      <c r="Z95" s="31">
        <f>IF(T95=0,0,X95/T95)</f>
        <v>0.37761876789507492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6" t="s">
        <v>5</v>
      </c>
      <c r="C98" s="26"/>
      <c r="D98" s="33">
        <f>SUM(D95:D97)</f>
        <v>-36742.36</v>
      </c>
      <c r="E98" s="13"/>
      <c r="F98" s="34">
        <f>IF(D$12=0,0,D98/D$12)</f>
        <v>-2.0292146162550968</v>
      </c>
      <c r="G98" s="13"/>
      <c r="H98" s="33">
        <f>SUM(H95:H97)</f>
        <v>-26670.920036999996</v>
      </c>
      <c r="I98" s="13"/>
      <c r="J98" s="34">
        <f>IF(H$12=0,0,H98/H$12)</f>
        <v>-1.0668368014799998</v>
      </c>
      <c r="K98" s="15"/>
      <c r="L98" s="33">
        <f>+D98-H98</f>
        <v>-10071.439963000004</v>
      </c>
      <c r="M98" s="15"/>
      <c r="N98" s="34">
        <f>IF(H98=0,0,L98/H98)</f>
        <v>0.37761876789507492</v>
      </c>
      <c r="O98" s="25"/>
      <c r="P98" s="33">
        <f>SUM(P95:P97)</f>
        <v>-36742.36</v>
      </c>
      <c r="Q98" s="13"/>
      <c r="R98" s="34">
        <f>IF(P$12=0,0,P98/P$12)</f>
        <v>-2.0292146162550968</v>
      </c>
      <c r="S98" s="13"/>
      <c r="T98" s="33">
        <f>SUM(T95:T97)</f>
        <v>-26670.920036999996</v>
      </c>
      <c r="U98" s="13"/>
      <c r="V98" s="34">
        <f>IF(T$12=0,0,T98/T$12)</f>
        <v>-1.0668368014799998</v>
      </c>
      <c r="W98" s="15"/>
      <c r="X98" s="33">
        <f>+P98-T98</f>
        <v>-10071.439963000004</v>
      </c>
      <c r="Y98" s="15"/>
      <c r="Z98" s="34">
        <f>IF(T98=0,0,X98/T98)</f>
        <v>0.37761876789507492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61">
        <v>43726.678918136575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6" t="s">
        <v>314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3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","406", " - ", "OPA! Greek")</f>
        <v>Department 406 - OPA! Greek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5" t="s">
        <v>8</v>
      </c>
      <c r="C14" s="10"/>
      <c r="D14" s="4">
        <f>SUM(OSRRefD16x_0)</f>
        <v>0.27999999999997272</v>
      </c>
      <c r="E14" s="4"/>
      <c r="F14" s="12">
        <f t="shared" ref="F14:F16" si="0">IF(D$12=0,0,D14/D$12)</f>
        <v>0</v>
      </c>
      <c r="G14" s="4"/>
      <c r="H14" s="4">
        <f>SUM(OSRRefH16x_0)</f>
        <v>0</v>
      </c>
      <c r="I14" s="4"/>
      <c r="J14" s="12">
        <f t="shared" ref="J14:J16" si="1">IF(H$12=0,0,H14/H$12)</f>
        <v>0</v>
      </c>
      <c r="K14" s="4"/>
      <c r="L14" s="4">
        <f t="shared" ref="L14:L16" si="2">+D14-H14</f>
        <v>0.27999999999997272</v>
      </c>
      <c r="M14" s="4"/>
      <c r="N14" s="12">
        <f t="shared" ref="N14:N16" si="3">IF(H14=0,0,L14/H14)</f>
        <v>0</v>
      </c>
      <c r="O14" s="10"/>
      <c r="P14" s="4">
        <f>SUM(OSRRefP16x_0)</f>
        <v>0.27999999999997272</v>
      </c>
      <c r="Q14" s="4"/>
      <c r="R14" s="12">
        <f t="shared" ref="R14:R16" si="4">IF(P$12=0,0,P14/P$12)</f>
        <v>0</v>
      </c>
      <c r="S14" s="4"/>
      <c r="T14" s="4">
        <f>SUM(OSRRefT16x_0)</f>
        <v>0</v>
      </c>
      <c r="U14" s="4"/>
      <c r="V14" s="12">
        <f t="shared" ref="V14:V16" si="5">IF(T$12=0,0,T14/T$12)</f>
        <v>0</v>
      </c>
      <c r="W14" s="4"/>
      <c r="X14" s="4">
        <f t="shared" ref="X14:X16" si="6">+P14-T14</f>
        <v>0.27999999999997272</v>
      </c>
      <c r="Y14" s="4"/>
      <c r="Z14" s="12">
        <f t="shared" ref="Z14:Z16" si="7">IF(T14=0,0,X14/T14)</f>
        <v>0</v>
      </c>
    </row>
    <row r="15" spans="1:26" s="24" customFormat="1" hidden="1" outlineLevel="1" x14ac:dyDescent="0.25">
      <c r="A15" s="51"/>
      <c r="B15" s="11" t="str">
        <f>CONCATENATE("          ", "5053", " - ", "PURCHASES @ COST-FOOD")</f>
        <v xml:space="preserve">          5053 - PURCHASES @ COST-FOOD</v>
      </c>
      <c r="C15" s="11"/>
      <c r="D15" s="2">
        <v>311.27999999999997</v>
      </c>
      <c r="E15" s="2"/>
      <c r="F15" s="22">
        <f t="shared" si="0"/>
        <v>0</v>
      </c>
      <c r="G15" s="2"/>
      <c r="H15" s="2"/>
      <c r="I15" s="2"/>
      <c r="J15" s="22">
        <f t="shared" si="1"/>
        <v>0</v>
      </c>
      <c r="K15" s="2"/>
      <c r="L15" s="2">
        <f t="shared" si="2"/>
        <v>311.27999999999997</v>
      </c>
      <c r="M15" s="2"/>
      <c r="N15" s="22">
        <f t="shared" si="3"/>
        <v>0</v>
      </c>
      <c r="O15" s="11"/>
      <c r="P15" s="2">
        <v>311.27999999999997</v>
      </c>
      <c r="Q15" s="2"/>
      <c r="R15" s="22">
        <f t="shared" si="4"/>
        <v>0</v>
      </c>
      <c r="S15" s="2"/>
      <c r="T15" s="2"/>
      <c r="U15" s="2"/>
      <c r="V15" s="22">
        <f t="shared" si="5"/>
        <v>0</v>
      </c>
      <c r="W15" s="2"/>
      <c r="X15" s="2">
        <f t="shared" si="6"/>
        <v>311.27999999999997</v>
      </c>
      <c r="Y15" s="2"/>
      <c r="Z15" s="22">
        <f t="shared" si="7"/>
        <v>0</v>
      </c>
    </row>
    <row r="16" spans="1:26" s="24" customFormat="1" hidden="1" outlineLevel="1" x14ac:dyDescent="0.25">
      <c r="A16" s="51"/>
      <c r="B16" s="11" t="str">
        <f>CONCATENATE("          ", "5059", " - ", "PURCHASES @ COST-FOOD")</f>
        <v xml:space="preserve">          5059 - PURCHASES @ COST-FOOD</v>
      </c>
      <c r="C16" s="11"/>
      <c r="D16" s="2">
        <v>-311</v>
      </c>
      <c r="E16" s="2"/>
      <c r="F16" s="22">
        <f t="shared" si="0"/>
        <v>0</v>
      </c>
      <c r="G16" s="2"/>
      <c r="H16" s="2"/>
      <c r="I16" s="2"/>
      <c r="J16" s="22">
        <f t="shared" si="1"/>
        <v>0</v>
      </c>
      <c r="K16" s="2"/>
      <c r="L16" s="2">
        <f t="shared" si="2"/>
        <v>-311</v>
      </c>
      <c r="M16" s="2"/>
      <c r="N16" s="22">
        <f t="shared" si="3"/>
        <v>0</v>
      </c>
      <c r="O16" s="11"/>
      <c r="P16" s="2">
        <v>-311</v>
      </c>
      <c r="Q16" s="2"/>
      <c r="R16" s="22">
        <f t="shared" si="4"/>
        <v>0</v>
      </c>
      <c r="S16" s="2"/>
      <c r="T16" s="2"/>
      <c r="U16" s="2"/>
      <c r="V16" s="22">
        <f t="shared" si="5"/>
        <v>0</v>
      </c>
      <c r="W16" s="2"/>
      <c r="X16" s="2">
        <f t="shared" si="6"/>
        <v>-311</v>
      </c>
      <c r="Y16" s="2"/>
      <c r="Z16" s="22">
        <f t="shared" si="7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>
        <f>D12-D14</f>
        <v>-0.27999999999997272</v>
      </c>
      <c r="E18" s="13"/>
      <c r="F18" s="19">
        <f>IF(D$12=0,0,D18/D$12)</f>
        <v>0</v>
      </c>
      <c r="G18" s="13"/>
      <c r="H18" s="21">
        <f>H12-H14</f>
        <v>0</v>
      </c>
      <c r="I18" s="13"/>
      <c r="J18" s="19">
        <f>IF(H$12=0,0,H18/H$12)</f>
        <v>0</v>
      </c>
      <c r="K18" s="15"/>
      <c r="L18" s="21">
        <f>+D18-H18</f>
        <v>-0.27999999999997272</v>
      </c>
      <c r="M18" s="15"/>
      <c r="N18" s="19">
        <f>IF(H18=0,0,L18/H18)</f>
        <v>0</v>
      </c>
      <c r="O18" s="25"/>
      <c r="P18" s="21">
        <f>P12-P14</f>
        <v>-0.27999999999997272</v>
      </c>
      <c r="Q18" s="13"/>
      <c r="R18" s="19">
        <f>IF(P$12=0,0,P18/P$12)</f>
        <v>0</v>
      </c>
      <c r="S18" s="13"/>
      <c r="T18" s="21">
        <f>T12-T14</f>
        <v>0</v>
      </c>
      <c r="U18" s="13"/>
      <c r="V18" s="19">
        <f>IF(T$12=0,0,T18/T$12)</f>
        <v>0</v>
      </c>
      <c r="W18" s="15"/>
      <c r="X18" s="21">
        <f>+P18-T18</f>
        <v>-0.27999999999997272</v>
      </c>
      <c r="Y18" s="15"/>
      <c r="Z18" s="19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>
        <f>SUM(OSRRefD22x_0)</f>
        <v>11530.279999999999</v>
      </c>
      <c r="E20" s="20"/>
      <c r="F20" s="30">
        <f t="shared" ref="F20:F30" si="8">IF(D$12=0,0,D20/D$12)</f>
        <v>0</v>
      </c>
      <c r="G20" s="20"/>
      <c r="H20" s="20">
        <f>SUM(OSRRefH22x_0)</f>
        <v>13204.416375000003</v>
      </c>
      <c r="I20" s="20"/>
      <c r="J20" s="30">
        <f t="shared" ref="J20:J30" si="9">IF(H$12=0,0,H20/H$12)</f>
        <v>0</v>
      </c>
      <c r="K20" s="4"/>
      <c r="L20" s="20">
        <f t="shared" ref="L20:L30" si="10">+D20-H20</f>
        <v>-1674.1363750000037</v>
      </c>
      <c r="M20" s="4"/>
      <c r="N20" s="30">
        <f t="shared" ref="N20:N30" si="11">IF(H20=0,0,L20/H20)</f>
        <v>-0.12678609394426971</v>
      </c>
      <c r="O20" s="10"/>
      <c r="P20" s="20">
        <f>SUM(OSRRefP22x_0)</f>
        <v>11530.279999999999</v>
      </c>
      <c r="Q20" s="20"/>
      <c r="R20" s="30">
        <f t="shared" ref="R20:R30" si="12">IF(P$12=0,0,P20/P$12)</f>
        <v>0</v>
      </c>
      <c r="S20" s="20"/>
      <c r="T20" s="20">
        <f>SUM(OSRRefT22x_0)</f>
        <v>13204.416375000003</v>
      </c>
      <c r="U20" s="20"/>
      <c r="V20" s="30">
        <f t="shared" ref="V20:V30" si="13">IF(T$12=0,0,T20/T$12)</f>
        <v>0</v>
      </c>
      <c r="W20" s="4"/>
      <c r="X20" s="20">
        <f t="shared" ref="X20:X30" si="14">+P20-T20</f>
        <v>-1674.1363750000037</v>
      </c>
      <c r="Y20" s="4"/>
      <c r="Z20" s="30">
        <f t="shared" ref="Z20:Z30" si="15">IF(T20=0,0,X20/T20)</f>
        <v>-0.12678609394426971</v>
      </c>
    </row>
    <row r="21" spans="1:26" s="27" customFormat="1" outlineLevel="1" collapsed="1" x14ac:dyDescent="0.25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1707.3799999999999</v>
      </c>
      <c r="E21" s="1"/>
      <c r="F21" s="5">
        <f t="shared" si="8"/>
        <v>0</v>
      </c>
      <c r="G21" s="1"/>
      <c r="H21" s="1">
        <f>SUM(OSRRefH22_0x_0)</f>
        <v>1865.7432980769231</v>
      </c>
      <c r="I21" s="1"/>
      <c r="J21" s="5">
        <f t="shared" si="9"/>
        <v>0</v>
      </c>
      <c r="K21" s="1"/>
      <c r="L21" s="1">
        <f t="shared" si="10"/>
        <v>-158.36329807692323</v>
      </c>
      <c r="M21" s="1"/>
      <c r="N21" s="5">
        <f t="shared" si="11"/>
        <v>-8.4879467738221526E-2</v>
      </c>
      <c r="O21" s="14"/>
      <c r="P21" s="1">
        <f>SUM(OSRRefP22_0x_0)</f>
        <v>1707.3799999999999</v>
      </c>
      <c r="Q21" s="1"/>
      <c r="R21" s="5">
        <f t="shared" si="12"/>
        <v>0</v>
      </c>
      <c r="S21" s="1"/>
      <c r="T21" s="1">
        <f>SUM(OSRRefT22_0x_0)</f>
        <v>1865.7432980769231</v>
      </c>
      <c r="U21" s="1"/>
      <c r="V21" s="5">
        <f t="shared" si="13"/>
        <v>0</v>
      </c>
      <c r="W21" s="1"/>
      <c r="X21" s="1">
        <f t="shared" si="14"/>
        <v>-158.36329807692323</v>
      </c>
      <c r="Y21" s="1"/>
      <c r="Z21" s="5">
        <f t="shared" si="15"/>
        <v>-8.4879467738221526E-2</v>
      </c>
    </row>
    <row r="22" spans="1:26" s="24" customFormat="1" hidden="1" outlineLevel="2" x14ac:dyDescent="0.25">
      <c r="A22" s="29"/>
      <c r="B22" s="11" t="str">
        <f>CONCATENATE("          ", "6111", " - ", "F.I.C.A.")</f>
        <v xml:space="preserve">          6111 - F.I.C.A.</v>
      </c>
      <c r="C22" s="11"/>
      <c r="D22" s="7">
        <v>368.24</v>
      </c>
      <c r="E22" s="2"/>
      <c r="F22" s="6">
        <f t="shared" si="8"/>
        <v>0</v>
      </c>
      <c r="G22" s="2"/>
      <c r="H22" s="7">
        <v>432.02656730769201</v>
      </c>
      <c r="I22" s="2"/>
      <c r="J22" s="6">
        <f t="shared" si="9"/>
        <v>0</v>
      </c>
      <c r="K22" s="2"/>
      <c r="L22" s="7">
        <f t="shared" si="10"/>
        <v>-63.786567307691996</v>
      </c>
      <c r="M22" s="2"/>
      <c r="N22" s="6">
        <f t="shared" si="11"/>
        <v>-0.14764501105845837</v>
      </c>
      <c r="O22" s="11"/>
      <c r="P22" s="7">
        <v>368.24</v>
      </c>
      <c r="Q22" s="2"/>
      <c r="R22" s="6">
        <f t="shared" si="12"/>
        <v>0</v>
      </c>
      <c r="S22" s="2"/>
      <c r="T22" s="7">
        <v>432.02656730769201</v>
      </c>
      <c r="U22" s="2"/>
      <c r="V22" s="6">
        <f t="shared" si="13"/>
        <v>0</v>
      </c>
      <c r="W22" s="2"/>
      <c r="X22" s="7">
        <f t="shared" si="14"/>
        <v>-63.786567307691996</v>
      </c>
      <c r="Y22" s="2"/>
      <c r="Z22" s="6">
        <f t="shared" si="15"/>
        <v>-0.14764501105845837</v>
      </c>
    </row>
    <row r="23" spans="1:26" s="24" customFormat="1" hidden="1" outlineLevel="2" x14ac:dyDescent="0.25">
      <c r="A23" s="29"/>
      <c r="B23" s="11" t="str">
        <f>CONCATENATE("          ", "6112", " - ", "COMPENSATION INSURANCE")</f>
        <v xml:space="preserve">          6112 - COMPENSATION INSURANCE</v>
      </c>
      <c r="C23" s="11"/>
      <c r="D23" s="7">
        <v>250.39</v>
      </c>
      <c r="E23" s="2"/>
      <c r="F23" s="6">
        <f t="shared" si="8"/>
        <v>0</v>
      </c>
      <c r="G23" s="2"/>
      <c r="H23" s="7">
        <v>219.03346153846201</v>
      </c>
      <c r="I23" s="2"/>
      <c r="J23" s="6">
        <f t="shared" si="9"/>
        <v>0</v>
      </c>
      <c r="K23" s="2"/>
      <c r="L23" s="7">
        <f t="shared" si="10"/>
        <v>31.35653846153798</v>
      </c>
      <c r="M23" s="2"/>
      <c r="N23" s="6">
        <f t="shared" si="11"/>
        <v>0.14315866736202684</v>
      </c>
      <c r="O23" s="11"/>
      <c r="P23" s="7">
        <v>250.39</v>
      </c>
      <c r="Q23" s="2"/>
      <c r="R23" s="6">
        <f t="shared" si="12"/>
        <v>0</v>
      </c>
      <c r="S23" s="2"/>
      <c r="T23" s="7">
        <v>219.03346153846201</v>
      </c>
      <c r="U23" s="2"/>
      <c r="V23" s="6">
        <f t="shared" si="13"/>
        <v>0</v>
      </c>
      <c r="W23" s="2"/>
      <c r="X23" s="7">
        <f t="shared" si="14"/>
        <v>31.35653846153798</v>
      </c>
      <c r="Y23" s="2"/>
      <c r="Z23" s="6">
        <f t="shared" si="15"/>
        <v>0.14315866736202684</v>
      </c>
    </row>
    <row r="24" spans="1:26" s="24" customFormat="1" hidden="1" outlineLevel="2" x14ac:dyDescent="0.25">
      <c r="A24" s="29"/>
      <c r="B24" s="11" t="str">
        <f>CONCATENATE("          ", "6113", " - ", "GROUP INSURANCE")</f>
        <v xml:space="preserve">          6113 - GROUP INSURANCE</v>
      </c>
      <c r="C24" s="11"/>
      <c r="D24" s="7">
        <v>34.97</v>
      </c>
      <c r="E24" s="2"/>
      <c r="F24" s="6">
        <f t="shared" si="8"/>
        <v>0</v>
      </c>
      <c r="G24" s="2"/>
      <c r="H24" s="7">
        <v>0</v>
      </c>
      <c r="I24" s="2"/>
      <c r="J24" s="6">
        <f t="shared" si="9"/>
        <v>0</v>
      </c>
      <c r="K24" s="2"/>
      <c r="L24" s="7">
        <f t="shared" si="10"/>
        <v>34.97</v>
      </c>
      <c r="M24" s="2"/>
      <c r="N24" s="6">
        <f t="shared" si="11"/>
        <v>0</v>
      </c>
      <c r="O24" s="11"/>
      <c r="P24" s="7">
        <v>34.97</v>
      </c>
      <c r="Q24" s="2"/>
      <c r="R24" s="6">
        <f t="shared" si="12"/>
        <v>0</v>
      </c>
      <c r="S24" s="2"/>
      <c r="T24" s="7">
        <v>0</v>
      </c>
      <c r="U24" s="2"/>
      <c r="V24" s="6">
        <f t="shared" si="13"/>
        <v>0</v>
      </c>
      <c r="W24" s="2"/>
      <c r="X24" s="7">
        <f t="shared" si="14"/>
        <v>34.97</v>
      </c>
      <c r="Y24" s="2"/>
      <c r="Z24" s="6">
        <f t="shared" si="15"/>
        <v>0</v>
      </c>
    </row>
    <row r="25" spans="1:26" s="24" customFormat="1" hidden="1" outlineLevel="2" x14ac:dyDescent="0.25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7">
        <v>16.78</v>
      </c>
      <c r="E25" s="2"/>
      <c r="F25" s="6">
        <f t="shared" si="8"/>
        <v>0</v>
      </c>
      <c r="G25" s="2"/>
      <c r="H25" s="7">
        <v>14.6775</v>
      </c>
      <c r="I25" s="2"/>
      <c r="J25" s="6">
        <f t="shared" si="9"/>
        <v>0</v>
      </c>
      <c r="K25" s="2"/>
      <c r="L25" s="7">
        <f t="shared" si="10"/>
        <v>2.1025000000000009</v>
      </c>
      <c r="M25" s="2"/>
      <c r="N25" s="6">
        <f t="shared" si="11"/>
        <v>0.14324646567876007</v>
      </c>
      <c r="O25" s="11"/>
      <c r="P25" s="7">
        <v>16.78</v>
      </c>
      <c r="Q25" s="2"/>
      <c r="R25" s="6">
        <f t="shared" si="12"/>
        <v>0</v>
      </c>
      <c r="S25" s="2"/>
      <c r="T25" s="7">
        <v>14.6775</v>
      </c>
      <c r="U25" s="2"/>
      <c r="V25" s="6">
        <f t="shared" si="13"/>
        <v>0</v>
      </c>
      <c r="W25" s="2"/>
      <c r="X25" s="7">
        <f t="shared" si="14"/>
        <v>2.1025000000000009</v>
      </c>
      <c r="Y25" s="2"/>
      <c r="Z25" s="6">
        <f t="shared" si="15"/>
        <v>0.14324646567876007</v>
      </c>
    </row>
    <row r="26" spans="1:26" s="24" customFormat="1" hidden="1" outlineLevel="2" x14ac:dyDescent="0.25">
      <c r="A26" s="29"/>
      <c r="B26" s="11" t="str">
        <f>CONCATENATE("          ", "6115", " - ", "P.E.R.S.")</f>
        <v xml:space="preserve">          6115 - P.E.R.S.</v>
      </c>
      <c r="C26" s="11"/>
      <c r="D26" s="7">
        <v>315.45</v>
      </c>
      <c r="E26" s="2"/>
      <c r="F26" s="6">
        <f t="shared" si="8"/>
        <v>0</v>
      </c>
      <c r="G26" s="2"/>
      <c r="H26" s="7">
        <v>485.486538461539</v>
      </c>
      <c r="I26" s="2"/>
      <c r="J26" s="6">
        <f t="shared" si="9"/>
        <v>0</v>
      </c>
      <c r="K26" s="2"/>
      <c r="L26" s="7">
        <f t="shared" si="10"/>
        <v>-170.03653846153901</v>
      </c>
      <c r="M26" s="2"/>
      <c r="N26" s="6">
        <f t="shared" si="11"/>
        <v>-0.35023945051158112</v>
      </c>
      <c r="O26" s="11"/>
      <c r="P26" s="7">
        <v>315.45</v>
      </c>
      <c r="Q26" s="2"/>
      <c r="R26" s="6">
        <f t="shared" si="12"/>
        <v>0</v>
      </c>
      <c r="S26" s="2"/>
      <c r="T26" s="7">
        <v>485.486538461539</v>
      </c>
      <c r="U26" s="2"/>
      <c r="V26" s="6">
        <f t="shared" si="13"/>
        <v>0</v>
      </c>
      <c r="W26" s="2"/>
      <c r="X26" s="7">
        <f t="shared" si="14"/>
        <v>-170.03653846153901</v>
      </c>
      <c r="Y26" s="2"/>
      <c r="Z26" s="6">
        <f t="shared" si="15"/>
        <v>-0.35023945051158112</v>
      </c>
    </row>
    <row r="27" spans="1:26" s="24" customFormat="1" hidden="1" outlineLevel="2" x14ac:dyDescent="0.25">
      <c r="A27" s="29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8"/>
        <v>0</v>
      </c>
      <c r="G27" s="2"/>
      <c r="H27" s="7">
        <v>0</v>
      </c>
      <c r="I27" s="2"/>
      <c r="J27" s="6">
        <f t="shared" si="9"/>
        <v>0</v>
      </c>
      <c r="K27" s="2"/>
      <c r="L27" s="7">
        <f t="shared" si="10"/>
        <v>0</v>
      </c>
      <c r="M27" s="2"/>
      <c r="N27" s="6">
        <f t="shared" si="11"/>
        <v>0</v>
      </c>
      <c r="O27" s="11"/>
      <c r="P27" s="7"/>
      <c r="Q27" s="2"/>
      <c r="R27" s="6">
        <f t="shared" si="12"/>
        <v>0</v>
      </c>
      <c r="S27" s="2"/>
      <c r="T27" s="7">
        <v>0</v>
      </c>
      <c r="U27" s="2"/>
      <c r="V27" s="6">
        <f t="shared" si="13"/>
        <v>0</v>
      </c>
      <c r="W27" s="2"/>
      <c r="X27" s="7">
        <f t="shared" si="14"/>
        <v>0</v>
      </c>
      <c r="Y27" s="2"/>
      <c r="Z27" s="6">
        <f t="shared" si="15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>
        <v>243.83</v>
      </c>
      <c r="E28" s="2"/>
      <c r="F28" s="6">
        <f t="shared" si="8"/>
        <v>0</v>
      </c>
      <c r="G28" s="2"/>
      <c r="H28" s="7">
        <v>282.25961538461502</v>
      </c>
      <c r="I28" s="2"/>
      <c r="J28" s="6">
        <f t="shared" si="9"/>
        <v>0</v>
      </c>
      <c r="K28" s="2"/>
      <c r="L28" s="7">
        <f t="shared" si="10"/>
        <v>-38.429615384615005</v>
      </c>
      <c r="M28" s="2"/>
      <c r="N28" s="6">
        <f t="shared" si="11"/>
        <v>-0.13614988928632143</v>
      </c>
      <c r="O28" s="11"/>
      <c r="P28" s="7">
        <v>243.83</v>
      </c>
      <c r="Q28" s="2"/>
      <c r="R28" s="6">
        <f t="shared" si="12"/>
        <v>0</v>
      </c>
      <c r="S28" s="2"/>
      <c r="T28" s="7">
        <v>282.25961538461502</v>
      </c>
      <c r="U28" s="2"/>
      <c r="V28" s="6">
        <f t="shared" si="13"/>
        <v>0</v>
      </c>
      <c r="W28" s="2"/>
      <c r="X28" s="7">
        <f t="shared" si="14"/>
        <v>-38.429615384615005</v>
      </c>
      <c r="Y28" s="2"/>
      <c r="Z28" s="6">
        <f t="shared" si="15"/>
        <v>-0.13614988928632143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>
        <v>330.13</v>
      </c>
      <c r="E29" s="2"/>
      <c r="F29" s="6">
        <f t="shared" si="8"/>
        <v>0</v>
      </c>
      <c r="G29" s="2"/>
      <c r="H29" s="7">
        <v>282.25961538461502</v>
      </c>
      <c r="I29" s="2"/>
      <c r="J29" s="6">
        <f t="shared" si="9"/>
        <v>0</v>
      </c>
      <c r="K29" s="2"/>
      <c r="L29" s="7">
        <f t="shared" si="10"/>
        <v>47.870384615384978</v>
      </c>
      <c r="M29" s="2"/>
      <c r="N29" s="6">
        <f t="shared" si="11"/>
        <v>0.16959700221427507</v>
      </c>
      <c r="O29" s="11"/>
      <c r="P29" s="7">
        <v>330.13</v>
      </c>
      <c r="Q29" s="2"/>
      <c r="R29" s="6">
        <f t="shared" si="12"/>
        <v>0</v>
      </c>
      <c r="S29" s="2"/>
      <c r="T29" s="7">
        <v>282.25961538461502</v>
      </c>
      <c r="U29" s="2"/>
      <c r="V29" s="6">
        <f t="shared" si="13"/>
        <v>0</v>
      </c>
      <c r="W29" s="2"/>
      <c r="X29" s="7">
        <f t="shared" si="14"/>
        <v>47.870384615384978</v>
      </c>
      <c r="Y29" s="2"/>
      <c r="Z29" s="6">
        <f t="shared" si="15"/>
        <v>0.16959700221427507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7">
        <v>147.59</v>
      </c>
      <c r="E30" s="2"/>
      <c r="F30" s="6">
        <f t="shared" si="8"/>
        <v>0</v>
      </c>
      <c r="G30" s="2"/>
      <c r="H30" s="7">
        <v>150</v>
      </c>
      <c r="I30" s="2"/>
      <c r="J30" s="6">
        <f t="shared" si="9"/>
        <v>0</v>
      </c>
      <c r="K30" s="2"/>
      <c r="L30" s="7">
        <f t="shared" si="10"/>
        <v>-2.4099999999999966</v>
      </c>
      <c r="M30" s="2"/>
      <c r="N30" s="6">
        <f t="shared" si="11"/>
        <v>-1.6066666666666642E-2</v>
      </c>
      <c r="O30" s="11"/>
      <c r="P30" s="7">
        <v>147.59</v>
      </c>
      <c r="Q30" s="2"/>
      <c r="R30" s="6">
        <f t="shared" si="12"/>
        <v>0</v>
      </c>
      <c r="S30" s="2"/>
      <c r="T30" s="7">
        <v>150</v>
      </c>
      <c r="U30" s="2"/>
      <c r="V30" s="6">
        <f t="shared" si="13"/>
        <v>0</v>
      </c>
      <c r="W30" s="2"/>
      <c r="X30" s="7">
        <f t="shared" si="14"/>
        <v>-2.4099999999999966</v>
      </c>
      <c r="Y30" s="2"/>
      <c r="Z30" s="6">
        <f t="shared" si="15"/>
        <v>-1.6066666666666642E-2</v>
      </c>
    </row>
    <row r="31" spans="1:26" s="27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4803.54</v>
      </c>
      <c r="E31" s="1"/>
      <c r="F31" s="5">
        <f t="shared" ref="F31:F41" si="16">IF(D$12=0,0,D31/D$12)</f>
        <v>0</v>
      </c>
      <c r="G31" s="1"/>
      <c r="H31" s="1">
        <f>SUM(OSRRefH22_1x_0)</f>
        <v>5080.6730769230799</v>
      </c>
      <c r="I31" s="1"/>
      <c r="J31" s="5">
        <f t="shared" ref="J31:J41" si="17">IF(H$12=0,0,H31/H$12)</f>
        <v>0</v>
      </c>
      <c r="K31" s="1"/>
      <c r="L31" s="1">
        <f t="shared" ref="L31:L41" si="18">+D31-H31</f>
        <v>-277.1330769230799</v>
      </c>
      <c r="M31" s="1"/>
      <c r="N31" s="5">
        <f t="shared" ref="N31:N41" si="19">IF(H31=0,0,L31/H31)</f>
        <v>-5.4546528132629862E-2</v>
      </c>
      <c r="O31" s="14"/>
      <c r="P31" s="1">
        <f>SUM(OSRRefP22_1x_0)</f>
        <v>4803.54</v>
      </c>
      <c r="Q31" s="1"/>
      <c r="R31" s="5">
        <f t="shared" ref="R31:R41" si="20">IF(P$12=0,0,P31/P$12)</f>
        <v>0</v>
      </c>
      <c r="S31" s="1"/>
      <c r="T31" s="1">
        <f>SUM(OSRRefT22_1x_0)</f>
        <v>5080.6730769230799</v>
      </c>
      <c r="U31" s="1"/>
      <c r="V31" s="5">
        <f t="shared" ref="V31:V41" si="21">IF(T$12=0,0,T31/T$12)</f>
        <v>0</v>
      </c>
      <c r="W31" s="1"/>
      <c r="X31" s="1">
        <f t="shared" ref="X31:X41" si="22">+P31-T31</f>
        <v>-277.1330769230799</v>
      </c>
      <c r="Y31" s="1"/>
      <c r="Z31" s="5">
        <f t="shared" ref="Z31:Z41" si="23">IF(T31=0,0,X31/T31)</f>
        <v>-5.4546528132629862E-2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16"/>
        <v>0</v>
      </c>
      <c r="G32" s="2"/>
      <c r="H32" s="7">
        <v>5080.6730769230799</v>
      </c>
      <c r="I32" s="2"/>
      <c r="J32" s="6">
        <f t="shared" si="17"/>
        <v>0</v>
      </c>
      <c r="K32" s="2"/>
      <c r="L32" s="7">
        <f t="shared" si="18"/>
        <v>-5080.6730769230799</v>
      </c>
      <c r="M32" s="2"/>
      <c r="N32" s="6">
        <f t="shared" si="19"/>
        <v>-1</v>
      </c>
      <c r="O32" s="11"/>
      <c r="P32" s="7"/>
      <c r="Q32" s="2"/>
      <c r="R32" s="6">
        <f t="shared" si="20"/>
        <v>0</v>
      </c>
      <c r="S32" s="2"/>
      <c r="T32" s="7">
        <v>5080.6730769230799</v>
      </c>
      <c r="U32" s="2"/>
      <c r="V32" s="6">
        <f t="shared" si="21"/>
        <v>0</v>
      </c>
      <c r="W32" s="2"/>
      <c r="X32" s="7">
        <f t="shared" si="22"/>
        <v>-5080.6730769230799</v>
      </c>
      <c r="Y32" s="2"/>
      <c r="Z32" s="6">
        <f t="shared" si="23"/>
        <v>-1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4419.54</v>
      </c>
      <c r="E33" s="2"/>
      <c r="F33" s="6">
        <f t="shared" si="16"/>
        <v>0</v>
      </c>
      <c r="G33" s="2"/>
      <c r="H33" s="7">
        <v>0</v>
      </c>
      <c r="I33" s="2"/>
      <c r="J33" s="6">
        <f t="shared" si="17"/>
        <v>0</v>
      </c>
      <c r="K33" s="2"/>
      <c r="L33" s="7">
        <f t="shared" si="18"/>
        <v>4419.54</v>
      </c>
      <c r="M33" s="2"/>
      <c r="N33" s="6">
        <f t="shared" si="19"/>
        <v>0</v>
      </c>
      <c r="O33" s="11"/>
      <c r="P33" s="7">
        <v>4419.54</v>
      </c>
      <c r="Q33" s="2"/>
      <c r="R33" s="6">
        <f t="shared" si="20"/>
        <v>0</v>
      </c>
      <c r="S33" s="2"/>
      <c r="T33" s="7">
        <v>0</v>
      </c>
      <c r="U33" s="2"/>
      <c r="V33" s="6">
        <f t="shared" si="21"/>
        <v>0</v>
      </c>
      <c r="W33" s="2"/>
      <c r="X33" s="7">
        <f t="shared" si="22"/>
        <v>4419.54</v>
      </c>
      <c r="Y33" s="2"/>
      <c r="Z33" s="6">
        <f t="shared" si="23"/>
        <v>0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6"/>
        <v>0</v>
      </c>
      <c r="G34" s="2"/>
      <c r="H34" s="7">
        <v>0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0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6"/>
        <v>0</v>
      </c>
      <c r="G35" s="2"/>
      <c r="H35" s="7">
        <v>0</v>
      </c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/>
      <c r="Q35" s="2"/>
      <c r="R35" s="6">
        <f t="shared" si="20"/>
        <v>0</v>
      </c>
      <c r="S35" s="2"/>
      <c r="T35" s="7">
        <v>0</v>
      </c>
      <c r="U35" s="2"/>
      <c r="V35" s="6">
        <f t="shared" si="21"/>
        <v>0</v>
      </c>
      <c r="W35" s="2"/>
      <c r="X35" s="7">
        <f t="shared" si="22"/>
        <v>0</v>
      </c>
      <c r="Y35" s="2"/>
      <c r="Z35" s="6">
        <f t="shared" si="23"/>
        <v>0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>
        <v>168</v>
      </c>
      <c r="E36" s="2"/>
      <c r="F36" s="6">
        <f t="shared" si="16"/>
        <v>0</v>
      </c>
      <c r="G36" s="2"/>
      <c r="H36" s="7">
        <v>0</v>
      </c>
      <c r="I36" s="2"/>
      <c r="J36" s="6">
        <f t="shared" si="17"/>
        <v>0</v>
      </c>
      <c r="K36" s="2"/>
      <c r="L36" s="7">
        <f t="shared" si="18"/>
        <v>168</v>
      </c>
      <c r="M36" s="2"/>
      <c r="N36" s="6">
        <f t="shared" si="19"/>
        <v>0</v>
      </c>
      <c r="O36" s="11"/>
      <c r="P36" s="7">
        <v>168</v>
      </c>
      <c r="Q36" s="2"/>
      <c r="R36" s="6">
        <f t="shared" si="20"/>
        <v>0</v>
      </c>
      <c r="S36" s="2"/>
      <c r="T36" s="7">
        <v>0</v>
      </c>
      <c r="U36" s="2"/>
      <c r="V36" s="6">
        <f t="shared" si="21"/>
        <v>0</v>
      </c>
      <c r="W36" s="2"/>
      <c r="X36" s="7">
        <f t="shared" si="22"/>
        <v>168</v>
      </c>
      <c r="Y36" s="2"/>
      <c r="Z36" s="6">
        <f t="shared" si="23"/>
        <v>0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6"/>
        <v>0</v>
      </c>
      <c r="G37" s="2"/>
      <c r="H37" s="7">
        <v>0</v>
      </c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/>
      <c r="Q37" s="2"/>
      <c r="R37" s="6">
        <f t="shared" si="20"/>
        <v>0</v>
      </c>
      <c r="S37" s="2"/>
      <c r="T37" s="7">
        <v>0</v>
      </c>
      <c r="U37" s="2"/>
      <c r="V37" s="6">
        <f t="shared" si="21"/>
        <v>0</v>
      </c>
      <c r="W37" s="2"/>
      <c r="X37" s="7">
        <f t="shared" si="22"/>
        <v>0</v>
      </c>
      <c r="Y37" s="2"/>
      <c r="Z37" s="6">
        <f t="shared" si="23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>
        <v>216</v>
      </c>
      <c r="E38" s="2"/>
      <c r="F38" s="6">
        <f t="shared" si="16"/>
        <v>0</v>
      </c>
      <c r="G38" s="2"/>
      <c r="H38" s="7">
        <v>0</v>
      </c>
      <c r="I38" s="2"/>
      <c r="J38" s="6">
        <f t="shared" si="17"/>
        <v>0</v>
      </c>
      <c r="K38" s="2"/>
      <c r="L38" s="7">
        <f t="shared" si="18"/>
        <v>216</v>
      </c>
      <c r="M38" s="2"/>
      <c r="N38" s="6">
        <f t="shared" si="19"/>
        <v>0</v>
      </c>
      <c r="O38" s="11"/>
      <c r="P38" s="7">
        <v>216</v>
      </c>
      <c r="Q38" s="2"/>
      <c r="R38" s="6">
        <f t="shared" si="20"/>
        <v>0</v>
      </c>
      <c r="S38" s="2"/>
      <c r="T38" s="7">
        <v>0</v>
      </c>
      <c r="U38" s="2"/>
      <c r="V38" s="6">
        <f t="shared" si="21"/>
        <v>0</v>
      </c>
      <c r="W38" s="2"/>
      <c r="X38" s="7">
        <f t="shared" si="22"/>
        <v>216</v>
      </c>
      <c r="Y38" s="2"/>
      <c r="Z38" s="6">
        <f t="shared" si="23"/>
        <v>0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6"/>
        <v>0</v>
      </c>
      <c r="G39" s="2"/>
      <c r="H39" s="7">
        <v>0</v>
      </c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/>
      <c r="Q39" s="2"/>
      <c r="R39" s="6">
        <f t="shared" si="20"/>
        <v>0</v>
      </c>
      <c r="S39" s="2"/>
      <c r="T39" s="7">
        <v>0</v>
      </c>
      <c r="U39" s="2"/>
      <c r="V39" s="6">
        <f t="shared" si="21"/>
        <v>0</v>
      </c>
      <c r="W39" s="2"/>
      <c r="X39" s="7">
        <f t="shared" si="22"/>
        <v>0</v>
      </c>
      <c r="Y39" s="2"/>
      <c r="Z39" s="6">
        <f t="shared" si="23"/>
        <v>0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6"/>
        <v>0</v>
      </c>
      <c r="G40" s="2"/>
      <c r="H40" s="7">
        <v>0</v>
      </c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0</v>
      </c>
      <c r="U40" s="2"/>
      <c r="V40" s="6">
        <f t="shared" si="21"/>
        <v>0</v>
      </c>
      <c r="W40" s="2"/>
      <c r="X40" s="7">
        <f t="shared" si="22"/>
        <v>0</v>
      </c>
      <c r="Y40" s="2"/>
      <c r="Z40" s="6">
        <f t="shared" si="23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7" customFormat="1" outlineLevel="1" collapsed="1" x14ac:dyDescent="0.25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89</v>
      </c>
      <c r="E42" s="1"/>
      <c r="F42" s="5">
        <f t="shared" ref="F42:F54" si="24">IF(D$12=0,0,D42/D$12)</f>
        <v>0</v>
      </c>
      <c r="G42" s="1"/>
      <c r="H42" s="1">
        <f>SUM(OSRRefH22_2x_0)</f>
        <v>0</v>
      </c>
      <c r="I42" s="1"/>
      <c r="J42" s="5">
        <f t="shared" ref="J42:J54" si="25">IF(H$12=0,0,H42/H$12)</f>
        <v>0</v>
      </c>
      <c r="K42" s="1"/>
      <c r="L42" s="1">
        <f t="shared" ref="L42:L54" si="26">+D42-H42</f>
        <v>89</v>
      </c>
      <c r="M42" s="1"/>
      <c r="N42" s="5">
        <f t="shared" ref="N42:N54" si="27">IF(H42=0,0,L42/H42)</f>
        <v>0</v>
      </c>
      <c r="O42" s="14"/>
      <c r="P42" s="1">
        <f>SUM(OSRRefP22_2x_0)</f>
        <v>89</v>
      </c>
      <c r="Q42" s="1"/>
      <c r="R42" s="5">
        <f t="shared" ref="R42:R54" si="28">IF(P$12=0,0,P42/P$12)</f>
        <v>0</v>
      </c>
      <c r="S42" s="1"/>
      <c r="T42" s="1">
        <f>SUM(OSRRefT22_2x_0)</f>
        <v>0</v>
      </c>
      <c r="U42" s="1"/>
      <c r="V42" s="5">
        <f t="shared" ref="V42:V54" si="29">IF(T$12=0,0,T42/T$12)</f>
        <v>0</v>
      </c>
      <c r="W42" s="1"/>
      <c r="X42" s="1">
        <f t="shared" ref="X42:X54" si="30">+P42-T42</f>
        <v>89</v>
      </c>
      <c r="Y42" s="1"/>
      <c r="Z42" s="5">
        <f t="shared" ref="Z42:Z54" si="31">IF(T42=0,0,X42/T42)</f>
        <v>0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7">
        <v>89</v>
      </c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89</v>
      </c>
      <c r="M43" s="2"/>
      <c r="N43" s="6">
        <f t="shared" si="27"/>
        <v>0</v>
      </c>
      <c r="O43" s="11"/>
      <c r="P43" s="7">
        <v>89</v>
      </c>
      <c r="Q43" s="2"/>
      <c r="R43" s="6">
        <f t="shared" si="28"/>
        <v>0</v>
      </c>
      <c r="S43" s="2"/>
      <c r="T43" s="7"/>
      <c r="U43" s="2"/>
      <c r="V43" s="6">
        <f t="shared" si="29"/>
        <v>0</v>
      </c>
      <c r="W43" s="2"/>
      <c r="X43" s="7">
        <f t="shared" si="30"/>
        <v>89</v>
      </c>
      <c r="Y43" s="2"/>
      <c r="Z43" s="6">
        <f t="shared" si="31"/>
        <v>0</v>
      </c>
    </row>
    <row r="44" spans="1:26" s="27" customFormat="1" outlineLevel="1" collapsed="1" x14ac:dyDescent="0.25">
      <c r="A44" s="28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0</v>
      </c>
      <c r="E44" s="1"/>
      <c r="F44" s="5">
        <f t="shared" si="24"/>
        <v>0</v>
      </c>
      <c r="G44" s="1"/>
      <c r="H44" s="1">
        <f>SUM(OSRRefH22_3x_0)</f>
        <v>0</v>
      </c>
      <c r="I44" s="1"/>
      <c r="J44" s="5">
        <f t="shared" si="25"/>
        <v>0</v>
      </c>
      <c r="K44" s="1"/>
      <c r="L44" s="1">
        <f t="shared" si="26"/>
        <v>0</v>
      </c>
      <c r="M44" s="1"/>
      <c r="N44" s="5">
        <f t="shared" si="27"/>
        <v>0</v>
      </c>
      <c r="O44" s="14"/>
      <c r="P44" s="1">
        <f>SUM(OSRRefP22_3x_0)</f>
        <v>0</v>
      </c>
      <c r="Q44" s="1"/>
      <c r="R44" s="5">
        <f t="shared" si="28"/>
        <v>0</v>
      </c>
      <c r="S44" s="1"/>
      <c r="T44" s="1">
        <f>SUM(OSRRefT22_3x_0)</f>
        <v>0</v>
      </c>
      <c r="U44" s="1"/>
      <c r="V44" s="5">
        <f t="shared" si="29"/>
        <v>0</v>
      </c>
      <c r="W44" s="1"/>
      <c r="X44" s="1">
        <f t="shared" si="30"/>
        <v>0</v>
      </c>
      <c r="Y44" s="1"/>
      <c r="Z44" s="5">
        <f t="shared" si="31"/>
        <v>0</v>
      </c>
    </row>
    <row r="45" spans="1:26" s="24" customFormat="1" hidden="1" outlineLevel="2" x14ac:dyDescent="0.25">
      <c r="A45" s="29"/>
      <c r="B45" s="11" t="str">
        <f>CONCATENATE("          ", "6272", " - ", "CASH (OVER/SHORT)")</f>
        <v xml:space="preserve">          6272 - CASH (OVER/SHORT)</v>
      </c>
      <c r="C45" s="11"/>
      <c r="D45" s="7"/>
      <c r="E45" s="2"/>
      <c r="F45" s="6">
        <f t="shared" si="24"/>
        <v>0</v>
      </c>
      <c r="G45" s="2"/>
      <c r="H45" s="7">
        <v>0</v>
      </c>
      <c r="I45" s="2"/>
      <c r="J45" s="6">
        <f t="shared" si="25"/>
        <v>0</v>
      </c>
      <c r="K45" s="2"/>
      <c r="L45" s="7">
        <f t="shared" si="26"/>
        <v>0</v>
      </c>
      <c r="M45" s="2"/>
      <c r="N45" s="6">
        <f t="shared" si="27"/>
        <v>0</v>
      </c>
      <c r="O45" s="11"/>
      <c r="P45" s="7"/>
      <c r="Q45" s="2"/>
      <c r="R45" s="6">
        <f t="shared" si="28"/>
        <v>0</v>
      </c>
      <c r="S45" s="2"/>
      <c r="T45" s="7">
        <v>0</v>
      </c>
      <c r="U45" s="2"/>
      <c r="V45" s="6">
        <f t="shared" si="29"/>
        <v>0</v>
      </c>
      <c r="W45" s="2"/>
      <c r="X45" s="7">
        <f t="shared" si="30"/>
        <v>0</v>
      </c>
      <c r="Y45" s="2"/>
      <c r="Z45" s="6">
        <f t="shared" si="31"/>
        <v>0</v>
      </c>
    </row>
    <row r="46" spans="1:26" s="27" customFormat="1" outlineLevel="1" collapsed="1" x14ac:dyDescent="0.25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0</v>
      </c>
      <c r="E46" s="1"/>
      <c r="F46" s="5">
        <f t="shared" si="24"/>
        <v>0</v>
      </c>
      <c r="G46" s="1"/>
      <c r="H46" s="1">
        <f>SUM(OSRRefH22_4x_0)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4"/>
      <c r="P46" s="1">
        <f>SUM(OSRRefP22_4x_0)</f>
        <v>0</v>
      </c>
      <c r="Q46" s="1"/>
      <c r="R46" s="5">
        <f t="shared" si="28"/>
        <v>0</v>
      </c>
      <c r="S46" s="1"/>
      <c r="T46" s="1">
        <f>SUM(OSRRefT22_4x_0)</f>
        <v>0</v>
      </c>
      <c r="U46" s="1"/>
      <c r="V46" s="5">
        <f t="shared" si="29"/>
        <v>0</v>
      </c>
      <c r="W46" s="1"/>
      <c r="X46" s="1">
        <f t="shared" si="30"/>
        <v>0</v>
      </c>
      <c r="Y46" s="1"/>
      <c r="Z46" s="5">
        <f t="shared" si="31"/>
        <v>0</v>
      </c>
    </row>
    <row r="47" spans="1:26" s="24" customFormat="1" hidden="1" outlineLevel="2" x14ac:dyDescent="0.25">
      <c r="A47" s="29"/>
      <c r="B47" s="11" t="str">
        <f>CONCATENATE("          ", "6381", " - ", "BANK/CREDIT CARD FEES")</f>
        <v xml:space="preserve">          6381 - BANK/CREDIT CARD FEES</v>
      </c>
      <c r="C47" s="11"/>
      <c r="D47" s="7"/>
      <c r="E47" s="2"/>
      <c r="F47" s="6">
        <f t="shared" si="24"/>
        <v>0</v>
      </c>
      <c r="G47" s="2"/>
      <c r="H47" s="7">
        <v>0</v>
      </c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/>
      <c r="Q47" s="2"/>
      <c r="R47" s="6">
        <f t="shared" si="28"/>
        <v>0</v>
      </c>
      <c r="S47" s="2"/>
      <c r="T47" s="7">
        <v>0</v>
      </c>
      <c r="U47" s="2"/>
      <c r="V47" s="6">
        <f t="shared" si="29"/>
        <v>0</v>
      </c>
      <c r="W47" s="2"/>
      <c r="X47" s="7">
        <f t="shared" si="30"/>
        <v>0</v>
      </c>
      <c r="Y47" s="2"/>
      <c r="Z47" s="6">
        <f t="shared" si="31"/>
        <v>0</v>
      </c>
    </row>
    <row r="48" spans="1:26" s="27" customFormat="1" outlineLevel="1" collapsed="1" x14ac:dyDescent="0.25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2775.32</v>
      </c>
      <c r="E48" s="1"/>
      <c r="F48" s="5">
        <f t="shared" si="24"/>
        <v>0</v>
      </c>
      <c r="G48" s="1"/>
      <c r="H48" s="1">
        <f>SUM(OSRRefH22_5x_0)</f>
        <v>2656</v>
      </c>
      <c r="I48" s="1"/>
      <c r="J48" s="5">
        <f t="shared" si="25"/>
        <v>0</v>
      </c>
      <c r="K48" s="1"/>
      <c r="L48" s="1">
        <f t="shared" si="26"/>
        <v>119.32000000000016</v>
      </c>
      <c r="M48" s="1"/>
      <c r="N48" s="5">
        <f t="shared" si="27"/>
        <v>4.4924698795180781E-2</v>
      </c>
      <c r="O48" s="14"/>
      <c r="P48" s="1">
        <f>SUM(OSRRefP22_5x_0)</f>
        <v>2775.32</v>
      </c>
      <c r="Q48" s="1"/>
      <c r="R48" s="5">
        <f t="shared" si="28"/>
        <v>0</v>
      </c>
      <c r="S48" s="1"/>
      <c r="T48" s="1">
        <f>SUM(OSRRefT22_5x_0)</f>
        <v>2656</v>
      </c>
      <c r="U48" s="1"/>
      <c r="V48" s="5">
        <f t="shared" si="29"/>
        <v>0</v>
      </c>
      <c r="W48" s="1"/>
      <c r="X48" s="1">
        <f t="shared" si="30"/>
        <v>119.32000000000016</v>
      </c>
      <c r="Y48" s="1"/>
      <c r="Z48" s="5">
        <f t="shared" si="31"/>
        <v>4.4924698795180781E-2</v>
      </c>
    </row>
    <row r="49" spans="1:26" s="24" customFormat="1" hidden="1" outlineLevel="2" x14ac:dyDescent="0.25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2775.32</v>
      </c>
      <c r="E49" s="2"/>
      <c r="F49" s="6">
        <f t="shared" si="24"/>
        <v>0</v>
      </c>
      <c r="G49" s="2"/>
      <c r="H49" s="7">
        <v>2656</v>
      </c>
      <c r="I49" s="2"/>
      <c r="J49" s="6">
        <f t="shared" si="25"/>
        <v>0</v>
      </c>
      <c r="K49" s="2"/>
      <c r="L49" s="7">
        <f t="shared" si="26"/>
        <v>119.32000000000016</v>
      </c>
      <c r="M49" s="2"/>
      <c r="N49" s="6">
        <f t="shared" si="27"/>
        <v>4.4924698795180781E-2</v>
      </c>
      <c r="O49" s="11"/>
      <c r="P49" s="7">
        <v>2775.32</v>
      </c>
      <c r="Q49" s="2"/>
      <c r="R49" s="6">
        <f t="shared" si="28"/>
        <v>0</v>
      </c>
      <c r="S49" s="2"/>
      <c r="T49" s="7">
        <v>2656</v>
      </c>
      <c r="U49" s="2"/>
      <c r="V49" s="6">
        <f t="shared" si="29"/>
        <v>0</v>
      </c>
      <c r="W49" s="2"/>
      <c r="X49" s="7">
        <f t="shared" si="30"/>
        <v>119.32000000000016</v>
      </c>
      <c r="Y49" s="2"/>
      <c r="Z49" s="6">
        <f t="shared" si="31"/>
        <v>4.4924698795180781E-2</v>
      </c>
    </row>
    <row r="50" spans="1:26" s="27" customFormat="1" outlineLevel="1" collapsed="1" x14ac:dyDescent="0.25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SUM(OSRRefD22_6x_0)</f>
        <v>749.55</v>
      </c>
      <c r="E50" s="1"/>
      <c r="F50" s="5">
        <f t="shared" si="24"/>
        <v>0</v>
      </c>
      <c r="G50" s="1"/>
      <c r="H50" s="1">
        <f>SUM(OSRRefH22_6x_0)</f>
        <v>0</v>
      </c>
      <c r="I50" s="1"/>
      <c r="J50" s="5">
        <f t="shared" si="25"/>
        <v>0</v>
      </c>
      <c r="K50" s="1"/>
      <c r="L50" s="1">
        <f t="shared" si="26"/>
        <v>749.55</v>
      </c>
      <c r="M50" s="1"/>
      <c r="N50" s="5">
        <f t="shared" si="27"/>
        <v>0</v>
      </c>
      <c r="O50" s="14"/>
      <c r="P50" s="1">
        <f>SUM(OSRRefP22_6x_0)</f>
        <v>749.55</v>
      </c>
      <c r="Q50" s="1"/>
      <c r="R50" s="5">
        <f t="shared" si="28"/>
        <v>0</v>
      </c>
      <c r="S50" s="1"/>
      <c r="T50" s="1">
        <f>SUM(OSRRefT22_6x_0)</f>
        <v>0</v>
      </c>
      <c r="U50" s="1"/>
      <c r="V50" s="5">
        <f t="shared" si="29"/>
        <v>0</v>
      </c>
      <c r="W50" s="1"/>
      <c r="X50" s="1">
        <f t="shared" si="30"/>
        <v>749.55</v>
      </c>
      <c r="Y50" s="1"/>
      <c r="Z50" s="5">
        <f t="shared" si="31"/>
        <v>0</v>
      </c>
    </row>
    <row r="51" spans="1:26" s="24" customFormat="1" hidden="1" outlineLevel="2" x14ac:dyDescent="0.25">
      <c r="A51" s="29"/>
      <c r="B51" s="11" t="str">
        <f>CONCATENATE("          ", "6279", " - ", "GENERAL EXPENSE")</f>
        <v xml:space="preserve">          6279 - GENERAL EXPENSE</v>
      </c>
      <c r="C51" s="11"/>
      <c r="D51" s="7">
        <v>749.55</v>
      </c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749.55</v>
      </c>
      <c r="M51" s="2"/>
      <c r="N51" s="6">
        <f t="shared" si="27"/>
        <v>0</v>
      </c>
      <c r="O51" s="11"/>
      <c r="P51" s="7">
        <v>749.55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749.55</v>
      </c>
      <c r="Y51" s="2"/>
      <c r="Z51" s="6">
        <f t="shared" si="31"/>
        <v>0</v>
      </c>
    </row>
    <row r="52" spans="1:26" s="27" customFormat="1" outlineLevel="1" collapsed="1" x14ac:dyDescent="0.25">
      <c r="A52" s="28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286.27999999999997</v>
      </c>
      <c r="E52" s="1"/>
      <c r="F52" s="5">
        <f t="shared" si="24"/>
        <v>0</v>
      </c>
      <c r="G52" s="1"/>
      <c r="H52" s="1">
        <f>SUM(OSRRefH22_7x_0)</f>
        <v>50</v>
      </c>
      <c r="I52" s="1"/>
      <c r="J52" s="5">
        <f t="shared" si="25"/>
        <v>0</v>
      </c>
      <c r="K52" s="1"/>
      <c r="L52" s="1">
        <f t="shared" si="26"/>
        <v>236.27999999999997</v>
      </c>
      <c r="M52" s="1"/>
      <c r="N52" s="5">
        <f t="shared" si="27"/>
        <v>4.7255999999999991</v>
      </c>
      <c r="O52" s="14"/>
      <c r="P52" s="1">
        <f>SUM(OSRRefP22_7x_0)</f>
        <v>286.27999999999997</v>
      </c>
      <c r="Q52" s="1"/>
      <c r="R52" s="5">
        <f t="shared" si="28"/>
        <v>0</v>
      </c>
      <c r="S52" s="1"/>
      <c r="T52" s="1">
        <f>SUM(OSRRefT22_7x_0)</f>
        <v>50</v>
      </c>
      <c r="U52" s="1"/>
      <c r="V52" s="5">
        <f t="shared" si="29"/>
        <v>0</v>
      </c>
      <c r="W52" s="1"/>
      <c r="X52" s="1">
        <f t="shared" si="30"/>
        <v>236.27999999999997</v>
      </c>
      <c r="Y52" s="1"/>
      <c r="Z52" s="5">
        <f t="shared" si="31"/>
        <v>4.7255999999999991</v>
      </c>
    </row>
    <row r="53" spans="1:26" s="24" customFormat="1" hidden="1" outlineLevel="2" x14ac:dyDescent="0.25">
      <c r="A53" s="29"/>
      <c r="B53" s="11" t="str">
        <f>CONCATENATE("          ", "6371", " - ", "COMPUTER SOFTWARE MAINTENANCE")</f>
        <v xml:space="preserve">          6371 - COMPUTER SOFTWARE MAINTENANCE</v>
      </c>
      <c r="C53" s="11"/>
      <c r="D53" s="7"/>
      <c r="E53" s="2"/>
      <c r="F53" s="6">
        <f t="shared" si="24"/>
        <v>0</v>
      </c>
      <c r="G53" s="2"/>
      <c r="H53" s="7">
        <v>50</v>
      </c>
      <c r="I53" s="2"/>
      <c r="J53" s="6">
        <f t="shared" si="25"/>
        <v>0</v>
      </c>
      <c r="K53" s="2"/>
      <c r="L53" s="7">
        <f t="shared" si="26"/>
        <v>-50</v>
      </c>
      <c r="M53" s="2"/>
      <c r="N53" s="6">
        <f t="shared" si="27"/>
        <v>-1</v>
      </c>
      <c r="O53" s="11"/>
      <c r="P53" s="7"/>
      <c r="Q53" s="2"/>
      <c r="R53" s="6">
        <f t="shared" si="28"/>
        <v>0</v>
      </c>
      <c r="S53" s="2"/>
      <c r="T53" s="7">
        <v>50</v>
      </c>
      <c r="U53" s="2"/>
      <c r="V53" s="6">
        <f t="shared" si="29"/>
        <v>0</v>
      </c>
      <c r="W53" s="2"/>
      <c r="X53" s="7">
        <f t="shared" si="30"/>
        <v>-50</v>
      </c>
      <c r="Y53" s="2"/>
      <c r="Z53" s="6">
        <f t="shared" si="31"/>
        <v>-1</v>
      </c>
    </row>
    <row r="54" spans="1:26" s="24" customFormat="1" hidden="1" outlineLevel="2" x14ac:dyDescent="0.25">
      <c r="A54" s="29"/>
      <c r="B54" s="11" t="str">
        <f>CONCATENATE("          ", "6375", " - ", "OUTSIDE REPAIRS &amp; MAINTENANCE")</f>
        <v xml:space="preserve">          6375 - OUTSIDE REPAIRS &amp; MAINTENANCE</v>
      </c>
      <c r="C54" s="11"/>
      <c r="D54" s="7">
        <v>286.27999999999997</v>
      </c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286.27999999999997</v>
      </c>
      <c r="M54" s="2"/>
      <c r="N54" s="6">
        <f t="shared" si="27"/>
        <v>0</v>
      </c>
      <c r="O54" s="11"/>
      <c r="P54" s="7">
        <v>286.27999999999997</v>
      </c>
      <c r="Q54" s="2"/>
      <c r="R54" s="6">
        <f t="shared" si="28"/>
        <v>0</v>
      </c>
      <c r="S54" s="2"/>
      <c r="T54" s="7"/>
      <c r="U54" s="2"/>
      <c r="V54" s="6">
        <f t="shared" si="29"/>
        <v>0</v>
      </c>
      <c r="W54" s="2"/>
      <c r="X54" s="7">
        <f t="shared" si="30"/>
        <v>286.27999999999997</v>
      </c>
      <c r="Y54" s="2"/>
      <c r="Z54" s="6">
        <f t="shared" si="31"/>
        <v>0</v>
      </c>
    </row>
    <row r="55" spans="1:26" s="27" customFormat="1" outlineLevel="1" collapsed="1" x14ac:dyDescent="0.25">
      <c r="A55" s="28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0</v>
      </c>
      <c r="E55" s="1"/>
      <c r="F55" s="5">
        <f t="shared" ref="F55:F58" si="32">IF(D$12=0,0,D55/D$12)</f>
        <v>0</v>
      </c>
      <c r="G55" s="1"/>
      <c r="H55" s="1">
        <f>SUM(OSRRefH22_8x_0)</f>
        <v>546</v>
      </c>
      <c r="I55" s="1"/>
      <c r="J55" s="5">
        <f t="shared" ref="J55:J58" si="33">IF(H$12=0,0,H55/H$12)</f>
        <v>0</v>
      </c>
      <c r="K55" s="1"/>
      <c r="L55" s="1">
        <f t="shared" ref="L55:L58" si="34">+D55-H55</f>
        <v>-546</v>
      </c>
      <c r="M55" s="1"/>
      <c r="N55" s="5">
        <f t="shared" ref="N55:N58" si="35">IF(H55=0,0,L55/H55)</f>
        <v>-1</v>
      </c>
      <c r="O55" s="14"/>
      <c r="P55" s="1">
        <f>SUM(OSRRefP22_8x_0)</f>
        <v>0</v>
      </c>
      <c r="Q55" s="1"/>
      <c r="R55" s="5">
        <f t="shared" ref="R55:R58" si="36">IF(P$12=0,0,P55/P$12)</f>
        <v>0</v>
      </c>
      <c r="S55" s="1"/>
      <c r="T55" s="1">
        <f>SUM(OSRRefT22_8x_0)</f>
        <v>546</v>
      </c>
      <c r="U55" s="1"/>
      <c r="V55" s="5">
        <f t="shared" ref="V55:V58" si="37">IF(T$12=0,0,T55/T$12)</f>
        <v>0</v>
      </c>
      <c r="W55" s="1"/>
      <c r="X55" s="1">
        <f t="shared" ref="X55:X58" si="38">+P55-T55</f>
        <v>-546</v>
      </c>
      <c r="Y55" s="1"/>
      <c r="Z55" s="5">
        <f t="shared" ref="Z55:Z58" si="39">IF(T55=0,0,X55/T55)</f>
        <v>-1</v>
      </c>
    </row>
    <row r="56" spans="1:26" s="24" customFormat="1" hidden="1" outlineLevel="2" x14ac:dyDescent="0.25">
      <c r="A56" s="29"/>
      <c r="B56" s="11" t="str">
        <f>CONCATENATE("          ", "6282", " - ", "JANITORIAL/EXTERMINATOR EXPENS")</f>
        <v xml:space="preserve">          6282 - JANITORIAL/EXTERMINATOR EXPENS</v>
      </c>
      <c r="C56" s="11"/>
      <c r="D56" s="7"/>
      <c r="E56" s="2"/>
      <c r="F56" s="6">
        <f t="shared" si="32"/>
        <v>0</v>
      </c>
      <c r="G56" s="2"/>
      <c r="H56" s="7">
        <v>50</v>
      </c>
      <c r="I56" s="2"/>
      <c r="J56" s="6">
        <f t="shared" si="33"/>
        <v>0</v>
      </c>
      <c r="K56" s="2"/>
      <c r="L56" s="7">
        <f t="shared" si="34"/>
        <v>-50</v>
      </c>
      <c r="M56" s="2"/>
      <c r="N56" s="6">
        <f t="shared" si="35"/>
        <v>-1</v>
      </c>
      <c r="O56" s="11"/>
      <c r="P56" s="7"/>
      <c r="Q56" s="2"/>
      <c r="R56" s="6">
        <f t="shared" si="36"/>
        <v>0</v>
      </c>
      <c r="S56" s="2"/>
      <c r="T56" s="7">
        <v>50</v>
      </c>
      <c r="U56" s="2"/>
      <c r="V56" s="6">
        <f t="shared" si="37"/>
        <v>0</v>
      </c>
      <c r="W56" s="2"/>
      <c r="X56" s="7">
        <f t="shared" si="38"/>
        <v>-50</v>
      </c>
      <c r="Y56" s="2"/>
      <c r="Z56" s="6">
        <f t="shared" si="39"/>
        <v>-1</v>
      </c>
    </row>
    <row r="57" spans="1:26" s="24" customFormat="1" hidden="1" outlineLevel="2" x14ac:dyDescent="0.25">
      <c r="A57" s="29"/>
      <c r="B57" s="11" t="str">
        <f>CONCATENATE("          ", "6285", " - ", "JANITORIAL SERVICES")</f>
        <v xml:space="preserve">          6285 - JANITORIAL SERVICES</v>
      </c>
      <c r="C57" s="11"/>
      <c r="D57" s="7"/>
      <c r="E57" s="2"/>
      <c r="F57" s="6">
        <f t="shared" si="32"/>
        <v>0</v>
      </c>
      <c r="G57" s="2"/>
      <c r="H57" s="7">
        <v>396</v>
      </c>
      <c r="I57" s="2"/>
      <c r="J57" s="6">
        <f t="shared" si="33"/>
        <v>0</v>
      </c>
      <c r="K57" s="2"/>
      <c r="L57" s="7">
        <f t="shared" si="34"/>
        <v>-396</v>
      </c>
      <c r="M57" s="2"/>
      <c r="N57" s="6">
        <f t="shared" si="35"/>
        <v>-1</v>
      </c>
      <c r="O57" s="11"/>
      <c r="P57" s="7"/>
      <c r="Q57" s="2"/>
      <c r="R57" s="6">
        <f t="shared" si="36"/>
        <v>0</v>
      </c>
      <c r="S57" s="2"/>
      <c r="T57" s="7">
        <v>396</v>
      </c>
      <c r="U57" s="2"/>
      <c r="V57" s="6">
        <f t="shared" si="37"/>
        <v>0</v>
      </c>
      <c r="W57" s="2"/>
      <c r="X57" s="7">
        <f t="shared" si="38"/>
        <v>-396</v>
      </c>
      <c r="Y57" s="2"/>
      <c r="Z57" s="6">
        <f t="shared" si="39"/>
        <v>-1</v>
      </c>
    </row>
    <row r="58" spans="1:26" s="24" customFormat="1" hidden="1" outlineLevel="2" x14ac:dyDescent="0.25">
      <c r="A58" s="29"/>
      <c r="B58" s="11" t="str">
        <f>CONCATENATE("          ", "6286", " - ", "LAUNDRY EXPENSE")</f>
        <v xml:space="preserve">          6286 - LAUNDRY EXPENSE</v>
      </c>
      <c r="C58" s="11"/>
      <c r="D58" s="7"/>
      <c r="E58" s="2"/>
      <c r="F58" s="6">
        <f t="shared" si="32"/>
        <v>0</v>
      </c>
      <c r="G58" s="2"/>
      <c r="H58" s="7">
        <v>100</v>
      </c>
      <c r="I58" s="2"/>
      <c r="J58" s="6">
        <f t="shared" si="33"/>
        <v>0</v>
      </c>
      <c r="K58" s="2"/>
      <c r="L58" s="7">
        <f t="shared" si="34"/>
        <v>-100</v>
      </c>
      <c r="M58" s="2"/>
      <c r="N58" s="6">
        <f t="shared" si="35"/>
        <v>-1</v>
      </c>
      <c r="O58" s="11"/>
      <c r="P58" s="7"/>
      <c r="Q58" s="2"/>
      <c r="R58" s="6">
        <f t="shared" si="36"/>
        <v>0</v>
      </c>
      <c r="S58" s="2"/>
      <c r="T58" s="7">
        <v>100</v>
      </c>
      <c r="U58" s="2"/>
      <c r="V58" s="6">
        <f t="shared" si="37"/>
        <v>0</v>
      </c>
      <c r="W58" s="2"/>
      <c r="X58" s="7">
        <f t="shared" si="38"/>
        <v>-100</v>
      </c>
      <c r="Y58" s="2"/>
      <c r="Z58" s="6">
        <f t="shared" si="39"/>
        <v>-1</v>
      </c>
    </row>
    <row r="59" spans="1:26" s="27" customFormat="1" outlineLevel="1" collapsed="1" x14ac:dyDescent="0.25">
      <c r="A59" s="28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SUM(OSRRefD22_9x_0)</f>
        <v>934.26</v>
      </c>
      <c r="E59" s="1"/>
      <c r="F59" s="5">
        <f t="shared" ref="F59:F62" si="40">IF(D$12=0,0,D59/D$12)</f>
        <v>0</v>
      </c>
      <c r="G59" s="1"/>
      <c r="H59" s="1">
        <f>SUM(OSRRefH22_9x_0)</f>
        <v>911</v>
      </c>
      <c r="I59" s="1"/>
      <c r="J59" s="5">
        <f t="shared" ref="J59:J62" si="41">IF(H$12=0,0,H59/H$12)</f>
        <v>0</v>
      </c>
      <c r="K59" s="1"/>
      <c r="L59" s="1">
        <f t="shared" ref="L59:L62" si="42">+D59-H59</f>
        <v>23.259999999999991</v>
      </c>
      <c r="M59" s="1"/>
      <c r="N59" s="5">
        <f t="shared" ref="N59:N62" si="43">IF(H59=0,0,L59/H59)</f>
        <v>2.5532381997804599E-2</v>
      </c>
      <c r="O59" s="14"/>
      <c r="P59" s="1">
        <f>SUM(OSRRefP22_9x_0)</f>
        <v>934.26</v>
      </c>
      <c r="Q59" s="1"/>
      <c r="R59" s="5">
        <f t="shared" ref="R59:R62" si="44">IF(P$12=0,0,P59/P$12)</f>
        <v>0</v>
      </c>
      <c r="S59" s="1"/>
      <c r="T59" s="1">
        <f>SUM(OSRRefT22_9x_0)</f>
        <v>911</v>
      </c>
      <c r="U59" s="1"/>
      <c r="V59" s="5">
        <f t="shared" ref="V59:V62" si="45">IF(T$12=0,0,T59/T$12)</f>
        <v>0</v>
      </c>
      <c r="W59" s="1"/>
      <c r="X59" s="1">
        <f t="shared" ref="X59:X62" si="46">+P59-T59</f>
        <v>23.259999999999991</v>
      </c>
      <c r="Y59" s="1"/>
      <c r="Z59" s="5">
        <f t="shared" ref="Z59:Z62" si="47">IF(T59=0,0,X59/T59)</f>
        <v>2.5532381997804599E-2</v>
      </c>
    </row>
    <row r="60" spans="1:26" s="24" customFormat="1" hidden="1" outlineLevel="2" x14ac:dyDescent="0.25">
      <c r="A60" s="29"/>
      <c r="B60" s="11" t="str">
        <f>CONCATENATE("          ", "6237", " - ", "JANITORIAL SUPPLIES")</f>
        <v xml:space="preserve">          6237 - JANITORIAL SUPPLIES</v>
      </c>
      <c r="C60" s="11"/>
      <c r="D60" s="7"/>
      <c r="E60" s="2"/>
      <c r="F60" s="6">
        <f t="shared" si="40"/>
        <v>0</v>
      </c>
      <c r="G60" s="2"/>
      <c r="H60" s="7">
        <v>11</v>
      </c>
      <c r="I60" s="2"/>
      <c r="J60" s="6">
        <f t="shared" si="41"/>
        <v>0</v>
      </c>
      <c r="K60" s="2"/>
      <c r="L60" s="7">
        <f t="shared" si="42"/>
        <v>-11</v>
      </c>
      <c r="M60" s="2"/>
      <c r="N60" s="6">
        <f t="shared" si="43"/>
        <v>-1</v>
      </c>
      <c r="O60" s="11"/>
      <c r="P60" s="7"/>
      <c r="Q60" s="2"/>
      <c r="R60" s="6">
        <f t="shared" si="44"/>
        <v>0</v>
      </c>
      <c r="S60" s="2"/>
      <c r="T60" s="7">
        <v>11</v>
      </c>
      <c r="U60" s="2"/>
      <c r="V60" s="6">
        <f t="shared" si="45"/>
        <v>0</v>
      </c>
      <c r="W60" s="2"/>
      <c r="X60" s="7">
        <f t="shared" si="46"/>
        <v>-11</v>
      </c>
      <c r="Y60" s="2"/>
      <c r="Z60" s="6">
        <f t="shared" si="47"/>
        <v>-1</v>
      </c>
    </row>
    <row r="61" spans="1:26" s="24" customFormat="1" hidden="1" outlineLevel="2" x14ac:dyDescent="0.25">
      <c r="A61" s="29"/>
      <c r="B61" s="11" t="str">
        <f>CONCATENATE("          ", "6239", " - ", "KITCHEN SUPPLIES")</f>
        <v xml:space="preserve">          6239 - KITCHEN SUPPLIES</v>
      </c>
      <c r="C61" s="11"/>
      <c r="D61" s="7">
        <v>587.63</v>
      </c>
      <c r="E61" s="2"/>
      <c r="F61" s="6">
        <f t="shared" si="40"/>
        <v>0</v>
      </c>
      <c r="G61" s="2"/>
      <c r="H61" s="7">
        <v>300</v>
      </c>
      <c r="I61" s="2"/>
      <c r="J61" s="6">
        <f t="shared" si="41"/>
        <v>0</v>
      </c>
      <c r="K61" s="2"/>
      <c r="L61" s="7">
        <f t="shared" si="42"/>
        <v>287.63</v>
      </c>
      <c r="M61" s="2"/>
      <c r="N61" s="6">
        <f t="shared" si="43"/>
        <v>0.95876666666666666</v>
      </c>
      <c r="O61" s="11"/>
      <c r="P61" s="7">
        <v>587.63</v>
      </c>
      <c r="Q61" s="2"/>
      <c r="R61" s="6">
        <f t="shared" si="44"/>
        <v>0</v>
      </c>
      <c r="S61" s="2"/>
      <c r="T61" s="7">
        <v>300</v>
      </c>
      <c r="U61" s="2"/>
      <c r="V61" s="6">
        <f t="shared" si="45"/>
        <v>0</v>
      </c>
      <c r="W61" s="2"/>
      <c r="X61" s="7">
        <f t="shared" si="46"/>
        <v>287.63</v>
      </c>
      <c r="Y61" s="2"/>
      <c r="Z61" s="6">
        <f t="shared" si="47"/>
        <v>0.95876666666666666</v>
      </c>
    </row>
    <row r="62" spans="1:26" s="24" customFormat="1" hidden="1" outlineLevel="2" x14ac:dyDescent="0.25">
      <c r="A62" s="29"/>
      <c r="B62" s="11" t="str">
        <f>CONCATENATE("          ", "6248", " - ", "UNIFORMS")</f>
        <v xml:space="preserve">          6248 - UNIFORMS</v>
      </c>
      <c r="C62" s="11"/>
      <c r="D62" s="7">
        <v>346.63</v>
      </c>
      <c r="E62" s="2"/>
      <c r="F62" s="6">
        <f t="shared" si="40"/>
        <v>0</v>
      </c>
      <c r="G62" s="2"/>
      <c r="H62" s="7">
        <v>600</v>
      </c>
      <c r="I62" s="2"/>
      <c r="J62" s="6">
        <f t="shared" si="41"/>
        <v>0</v>
      </c>
      <c r="K62" s="2"/>
      <c r="L62" s="7">
        <f t="shared" si="42"/>
        <v>-253.37</v>
      </c>
      <c r="M62" s="2"/>
      <c r="N62" s="6">
        <f t="shared" si="43"/>
        <v>-0.42228333333333334</v>
      </c>
      <c r="O62" s="11"/>
      <c r="P62" s="7">
        <v>346.63</v>
      </c>
      <c r="Q62" s="2"/>
      <c r="R62" s="6">
        <f t="shared" si="44"/>
        <v>0</v>
      </c>
      <c r="S62" s="2"/>
      <c r="T62" s="7">
        <v>600</v>
      </c>
      <c r="U62" s="2"/>
      <c r="V62" s="6">
        <f t="shared" si="45"/>
        <v>0</v>
      </c>
      <c r="W62" s="2"/>
      <c r="X62" s="7">
        <f t="shared" si="46"/>
        <v>-253.37</v>
      </c>
      <c r="Y62" s="2"/>
      <c r="Z62" s="6">
        <f t="shared" si="47"/>
        <v>-0.42228333333333334</v>
      </c>
    </row>
    <row r="63" spans="1:26" s="27" customFormat="1" outlineLevel="1" collapsed="1" x14ac:dyDescent="0.25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32</v>
      </c>
      <c r="E63" s="1"/>
      <c r="F63" s="5">
        <f t="shared" ref="F63:F65" si="48">IF(D$12=0,0,D63/D$12)</f>
        <v>0</v>
      </c>
      <c r="G63" s="1"/>
      <c r="H63" s="1">
        <f>SUM(OSRRefH22_10x_0)</f>
        <v>95</v>
      </c>
      <c r="I63" s="1"/>
      <c r="J63" s="5">
        <f t="shared" ref="J63:J65" si="49">IF(H$12=0,0,H63/H$12)</f>
        <v>0</v>
      </c>
      <c r="K63" s="1"/>
      <c r="L63" s="1">
        <f t="shared" ref="L63:L65" si="50">+D63-H63</f>
        <v>-63</v>
      </c>
      <c r="M63" s="1"/>
      <c r="N63" s="5">
        <f t="shared" ref="N63:N65" si="51">IF(H63=0,0,L63/H63)</f>
        <v>-0.66315789473684206</v>
      </c>
      <c r="O63" s="14"/>
      <c r="P63" s="1">
        <f>SUM(OSRRefP22_10x_0)</f>
        <v>32</v>
      </c>
      <c r="Q63" s="1"/>
      <c r="R63" s="5">
        <f t="shared" ref="R63:R65" si="52">IF(P$12=0,0,P63/P$12)</f>
        <v>0</v>
      </c>
      <c r="S63" s="1"/>
      <c r="T63" s="1">
        <f>SUM(OSRRefT22_10x_0)</f>
        <v>95</v>
      </c>
      <c r="U63" s="1"/>
      <c r="V63" s="5">
        <f t="shared" ref="V63:V65" si="53">IF(T$12=0,0,T63/T$12)</f>
        <v>0</v>
      </c>
      <c r="W63" s="1"/>
      <c r="X63" s="1">
        <f t="shared" ref="X63:X65" si="54">+P63-T63</f>
        <v>-63</v>
      </c>
      <c r="Y63" s="1"/>
      <c r="Z63" s="5">
        <f t="shared" ref="Z63:Z65" si="55">IF(T63=0,0,X63/T63)</f>
        <v>-0.66315789473684206</v>
      </c>
    </row>
    <row r="64" spans="1:26" s="24" customFormat="1" hidden="1" outlineLevel="2" x14ac:dyDescent="0.25">
      <c r="A64" s="29"/>
      <c r="B64" s="11" t="str">
        <f>CONCATENATE("          ", "6303", " - ", "DATA PHONE LINES")</f>
        <v xml:space="preserve">          6303 - DATA PHONE LINES</v>
      </c>
      <c r="C64" s="11"/>
      <c r="D64" s="7"/>
      <c r="E64" s="2"/>
      <c r="F64" s="6">
        <f t="shared" si="48"/>
        <v>0</v>
      </c>
      <c r="G64" s="2"/>
      <c r="H64" s="7">
        <v>50</v>
      </c>
      <c r="I64" s="2"/>
      <c r="J64" s="6">
        <f t="shared" si="49"/>
        <v>0</v>
      </c>
      <c r="K64" s="2"/>
      <c r="L64" s="7">
        <f t="shared" si="50"/>
        <v>-50</v>
      </c>
      <c r="M64" s="2"/>
      <c r="N64" s="6">
        <f t="shared" si="51"/>
        <v>-1</v>
      </c>
      <c r="O64" s="11"/>
      <c r="P64" s="7"/>
      <c r="Q64" s="2"/>
      <c r="R64" s="6">
        <f t="shared" si="52"/>
        <v>0</v>
      </c>
      <c r="S64" s="2"/>
      <c r="T64" s="7">
        <v>50</v>
      </c>
      <c r="U64" s="2"/>
      <c r="V64" s="6">
        <f t="shared" si="53"/>
        <v>0</v>
      </c>
      <c r="W64" s="2"/>
      <c r="X64" s="7">
        <f t="shared" si="54"/>
        <v>-50</v>
      </c>
      <c r="Y64" s="2"/>
      <c r="Z64" s="6">
        <f t="shared" si="55"/>
        <v>-1</v>
      </c>
    </row>
    <row r="65" spans="1:26" s="24" customFormat="1" hidden="1" outlineLevel="2" x14ac:dyDescent="0.25">
      <c r="A65" s="29"/>
      <c r="B65" s="11" t="str">
        <f>CONCATENATE("          ", "6309", " - ", "TELEPHONE")</f>
        <v xml:space="preserve">          6309 - TELEPHONE</v>
      </c>
      <c r="C65" s="11"/>
      <c r="D65" s="7">
        <v>32</v>
      </c>
      <c r="E65" s="2"/>
      <c r="F65" s="6">
        <f t="shared" si="48"/>
        <v>0</v>
      </c>
      <c r="G65" s="2"/>
      <c r="H65" s="7">
        <v>45</v>
      </c>
      <c r="I65" s="2"/>
      <c r="J65" s="6">
        <f t="shared" si="49"/>
        <v>0</v>
      </c>
      <c r="K65" s="2"/>
      <c r="L65" s="7">
        <f t="shared" si="50"/>
        <v>-13</v>
      </c>
      <c r="M65" s="2"/>
      <c r="N65" s="6">
        <f t="shared" si="51"/>
        <v>-0.28888888888888886</v>
      </c>
      <c r="O65" s="11"/>
      <c r="P65" s="7">
        <v>32</v>
      </c>
      <c r="Q65" s="2"/>
      <c r="R65" s="6">
        <f t="shared" si="52"/>
        <v>0</v>
      </c>
      <c r="S65" s="2"/>
      <c r="T65" s="7">
        <v>45</v>
      </c>
      <c r="U65" s="2"/>
      <c r="V65" s="6">
        <f t="shared" si="53"/>
        <v>0</v>
      </c>
      <c r="W65" s="2"/>
      <c r="X65" s="7">
        <f t="shared" si="54"/>
        <v>-13</v>
      </c>
      <c r="Y65" s="2"/>
      <c r="Z65" s="6">
        <f t="shared" si="55"/>
        <v>-0.28888888888888886</v>
      </c>
    </row>
    <row r="66" spans="1:26" s="27" customFormat="1" outlineLevel="1" collapsed="1" x14ac:dyDescent="0.25">
      <c r="A66" s="28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SUM(OSRRefD22_11x_0)</f>
        <v>152.94999999999999</v>
      </c>
      <c r="E66" s="1"/>
      <c r="F66" s="5">
        <f t="shared" ref="F66:F69" si="56">IF(D$12=0,0,D66/D$12)</f>
        <v>0</v>
      </c>
      <c r="G66" s="1"/>
      <c r="H66" s="1">
        <f>SUM(OSRRefH22_11x_0)</f>
        <v>0</v>
      </c>
      <c r="I66" s="1"/>
      <c r="J66" s="5">
        <f t="shared" ref="J66:J69" si="57">IF(H$12=0,0,H66/H$12)</f>
        <v>0</v>
      </c>
      <c r="K66" s="1"/>
      <c r="L66" s="1">
        <f t="shared" ref="L66:L69" si="58">+D66-H66</f>
        <v>152.94999999999999</v>
      </c>
      <c r="M66" s="1"/>
      <c r="N66" s="5">
        <f t="shared" ref="N66:N69" si="59">IF(H66=0,0,L66/H66)</f>
        <v>0</v>
      </c>
      <c r="O66" s="14"/>
      <c r="P66" s="1">
        <f>SUM(OSRRefP22_11x_0)</f>
        <v>152.94999999999999</v>
      </c>
      <c r="Q66" s="1"/>
      <c r="R66" s="5">
        <f t="shared" ref="R66:R69" si="60">IF(P$12=0,0,P66/P$12)</f>
        <v>0</v>
      </c>
      <c r="S66" s="1"/>
      <c r="T66" s="1">
        <f>SUM(OSRRefT22_11x_0)</f>
        <v>0</v>
      </c>
      <c r="U66" s="1"/>
      <c r="V66" s="5">
        <f t="shared" ref="V66:V69" si="61">IF(T$12=0,0,T66/T$12)</f>
        <v>0</v>
      </c>
      <c r="W66" s="1"/>
      <c r="X66" s="1">
        <f t="shared" ref="X66:X69" si="62">+P66-T66</f>
        <v>152.94999999999999</v>
      </c>
      <c r="Y66" s="1"/>
      <c r="Z66" s="5">
        <f t="shared" ref="Z66:Z69" si="63">IF(T66=0,0,X66/T66)</f>
        <v>0</v>
      </c>
    </row>
    <row r="67" spans="1:26" s="24" customFormat="1" hidden="1" outlineLevel="2" x14ac:dyDescent="0.25">
      <c r="A67" s="29"/>
      <c r="B67" s="11" t="str">
        <f>CONCATENATE("          ", "6376", " - ", "TRAINING")</f>
        <v xml:space="preserve">          6376 - TRAINING</v>
      </c>
      <c r="C67" s="11"/>
      <c r="D67" s="7">
        <v>152.94999999999999</v>
      </c>
      <c r="E67" s="2"/>
      <c r="F67" s="6">
        <f t="shared" si="56"/>
        <v>0</v>
      </c>
      <c r="G67" s="2"/>
      <c r="H67" s="7"/>
      <c r="I67" s="2"/>
      <c r="J67" s="6">
        <f t="shared" si="57"/>
        <v>0</v>
      </c>
      <c r="K67" s="2"/>
      <c r="L67" s="7">
        <f t="shared" si="58"/>
        <v>152.94999999999999</v>
      </c>
      <c r="M67" s="2"/>
      <c r="N67" s="6">
        <f t="shared" si="59"/>
        <v>0</v>
      </c>
      <c r="O67" s="11"/>
      <c r="P67" s="7">
        <v>152.94999999999999</v>
      </c>
      <c r="Q67" s="2"/>
      <c r="R67" s="6">
        <f t="shared" si="60"/>
        <v>0</v>
      </c>
      <c r="S67" s="2"/>
      <c r="T67" s="7"/>
      <c r="U67" s="2"/>
      <c r="V67" s="6">
        <f t="shared" si="61"/>
        <v>0</v>
      </c>
      <c r="W67" s="2"/>
      <c r="X67" s="7">
        <f t="shared" si="62"/>
        <v>152.94999999999999</v>
      </c>
      <c r="Y67" s="2"/>
      <c r="Z67" s="6">
        <f t="shared" si="63"/>
        <v>0</v>
      </c>
    </row>
    <row r="68" spans="1:26" s="27" customFormat="1" outlineLevel="1" collapsed="1" x14ac:dyDescent="0.25">
      <c r="A68" s="28"/>
      <c r="B68" s="14" t="str">
        <f>CONCATENATE("     ","Travel                                            ")</f>
        <v xml:space="preserve">     Travel                                            </v>
      </c>
      <c r="C68" s="14"/>
      <c r="D68" s="1">
        <f>SUM(OSRRefD22_12x_0)</f>
        <v>0</v>
      </c>
      <c r="E68" s="1"/>
      <c r="F68" s="5">
        <f t="shared" si="56"/>
        <v>0</v>
      </c>
      <c r="G68" s="1"/>
      <c r="H68" s="1">
        <f>SUM(OSRRefH22_12x_0)</f>
        <v>2000</v>
      </c>
      <c r="I68" s="1"/>
      <c r="J68" s="5">
        <f t="shared" si="57"/>
        <v>0</v>
      </c>
      <c r="K68" s="1"/>
      <c r="L68" s="1">
        <f t="shared" si="58"/>
        <v>-2000</v>
      </c>
      <c r="M68" s="1"/>
      <c r="N68" s="5">
        <f t="shared" si="59"/>
        <v>-1</v>
      </c>
      <c r="O68" s="14"/>
      <c r="P68" s="1">
        <f>SUM(OSRRefP22_12x_0)</f>
        <v>0</v>
      </c>
      <c r="Q68" s="1"/>
      <c r="R68" s="5">
        <f t="shared" si="60"/>
        <v>0</v>
      </c>
      <c r="S68" s="1"/>
      <c r="T68" s="1">
        <f>SUM(OSRRefT22_12x_0)</f>
        <v>2000</v>
      </c>
      <c r="U68" s="1"/>
      <c r="V68" s="5">
        <f t="shared" si="61"/>
        <v>0</v>
      </c>
      <c r="W68" s="1"/>
      <c r="X68" s="1">
        <f t="shared" si="62"/>
        <v>-2000</v>
      </c>
      <c r="Y68" s="1"/>
      <c r="Z68" s="5">
        <f t="shared" si="63"/>
        <v>-1</v>
      </c>
    </row>
    <row r="69" spans="1:26" s="24" customFormat="1" hidden="1" outlineLevel="2" x14ac:dyDescent="0.25">
      <c r="A69" s="29"/>
      <c r="B69" s="11" t="str">
        <f>CONCATENATE("          ", "6292", " - ", "TRAVEL/CONFERENCE")</f>
        <v xml:space="preserve">          6292 - TRAVEL/CONFERENCE</v>
      </c>
      <c r="C69" s="11"/>
      <c r="D69" s="7"/>
      <c r="E69" s="2"/>
      <c r="F69" s="6">
        <f t="shared" si="56"/>
        <v>0</v>
      </c>
      <c r="G69" s="2"/>
      <c r="H69" s="7">
        <v>2000</v>
      </c>
      <c r="I69" s="2"/>
      <c r="J69" s="6">
        <f t="shared" si="57"/>
        <v>0</v>
      </c>
      <c r="K69" s="2"/>
      <c r="L69" s="7">
        <f t="shared" si="58"/>
        <v>-2000</v>
      </c>
      <c r="M69" s="2"/>
      <c r="N69" s="6">
        <f t="shared" si="59"/>
        <v>-1</v>
      </c>
      <c r="O69" s="11"/>
      <c r="P69" s="7"/>
      <c r="Q69" s="2"/>
      <c r="R69" s="6">
        <f t="shared" si="60"/>
        <v>0</v>
      </c>
      <c r="S69" s="2"/>
      <c r="T69" s="7">
        <v>2000</v>
      </c>
      <c r="U69" s="2"/>
      <c r="V69" s="6">
        <f t="shared" si="61"/>
        <v>0</v>
      </c>
      <c r="W69" s="2"/>
      <c r="X69" s="7">
        <f t="shared" si="62"/>
        <v>-2000</v>
      </c>
      <c r="Y69" s="2"/>
      <c r="Z69" s="6">
        <f t="shared" si="63"/>
        <v>-1</v>
      </c>
    </row>
    <row r="70" spans="1:26" s="57" customFormat="1" x14ac:dyDescent="0.25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5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3</v>
      </c>
      <c r="C73" s="26"/>
      <c r="D73" s="21">
        <f>+D18-D20+D71</f>
        <v>-11530.56</v>
      </c>
      <c r="E73" s="13"/>
      <c r="F73" s="19">
        <f>IF(D$12=0,0,D73/D$12)</f>
        <v>0</v>
      </c>
      <c r="G73" s="13"/>
      <c r="H73" s="21">
        <f>+H18-H20+H71</f>
        <v>-13204.416375000003</v>
      </c>
      <c r="I73" s="13"/>
      <c r="J73" s="19">
        <f>IF(H$12=0,0,H73/H$12)</f>
        <v>0</v>
      </c>
      <c r="K73" s="15"/>
      <c r="L73" s="21">
        <f>+D73-H73</f>
        <v>1673.856375000003</v>
      </c>
      <c r="M73" s="15"/>
      <c r="N73" s="19">
        <f>IF(H73=0,0,L73/H73)</f>
        <v>-0.12676488891770521</v>
      </c>
      <c r="O73" s="25"/>
      <c r="P73" s="21">
        <f>+P18-P20+P71</f>
        <v>-11530.56</v>
      </c>
      <c r="Q73" s="13"/>
      <c r="R73" s="19">
        <f>IF(P$12=0,0,P73/P$12)</f>
        <v>0</v>
      </c>
      <c r="S73" s="13"/>
      <c r="T73" s="21">
        <f>+T18-T20+T71</f>
        <v>-13204.416375000003</v>
      </c>
      <c r="U73" s="13"/>
      <c r="V73" s="19">
        <f>IF(T$12=0,0,T73/T$12)</f>
        <v>0</v>
      </c>
      <c r="W73" s="15"/>
      <c r="X73" s="21">
        <f>+P73-T73</f>
        <v>1673.856375000003</v>
      </c>
      <c r="Y73" s="15"/>
      <c r="Z73" s="19">
        <f>IF(T73=0,0,X73/T73)</f>
        <v>-0.12676488891770521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4</v>
      </c>
      <c r="C77" s="26"/>
      <c r="D77" s="32">
        <f>+D73-D75</f>
        <v>-11530.56</v>
      </c>
      <c r="E77" s="13"/>
      <c r="F77" s="31">
        <f>IF(D$12=0,0,D77/D$12)</f>
        <v>0</v>
      </c>
      <c r="G77" s="13"/>
      <c r="H77" s="32">
        <f>+H73-H75</f>
        <v>-13204.416375000003</v>
      </c>
      <c r="I77" s="13"/>
      <c r="J77" s="31">
        <f>IF(H$12=0,0,H77/H$12)</f>
        <v>0</v>
      </c>
      <c r="K77" s="15"/>
      <c r="L77" s="32">
        <f>D77-H77</f>
        <v>1673.856375000003</v>
      </c>
      <c r="M77" s="15"/>
      <c r="N77" s="31">
        <f>IF(H77=0,0,L77/H77)</f>
        <v>-0.12676488891770521</v>
      </c>
      <c r="O77" s="25"/>
      <c r="P77" s="32">
        <f>+P73-P75</f>
        <v>-11530.56</v>
      </c>
      <c r="Q77" s="13"/>
      <c r="R77" s="31">
        <f>IF(P$12=0,0,P77/P$12)</f>
        <v>0</v>
      </c>
      <c r="S77" s="13"/>
      <c r="T77" s="32">
        <f>+T73-T75</f>
        <v>-13204.416375000003</v>
      </c>
      <c r="U77" s="13"/>
      <c r="V77" s="31">
        <f>IF(T$12=0,0,T77/T$12)</f>
        <v>0</v>
      </c>
      <c r="W77" s="15"/>
      <c r="X77" s="32">
        <f>P77-T77</f>
        <v>1673.856375000003</v>
      </c>
      <c r="Y77" s="15"/>
      <c r="Z77" s="31">
        <f>IF(T77=0,0,X77/T77)</f>
        <v>-0.12676488891770521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5</v>
      </c>
      <c r="C80" s="26"/>
      <c r="D80" s="33">
        <f>SUM(D77:D79)</f>
        <v>-11530.56</v>
      </c>
      <c r="E80" s="13"/>
      <c r="F80" s="34">
        <f>IF(D$12=0,0,D80/D$12)</f>
        <v>0</v>
      </c>
      <c r="G80" s="13"/>
      <c r="H80" s="33">
        <f>SUM(H77:H79)</f>
        <v>-13204.416375000003</v>
      </c>
      <c r="I80" s="13"/>
      <c r="J80" s="34">
        <f>IF(H$12=0,0,H80/H$12)</f>
        <v>0</v>
      </c>
      <c r="K80" s="15"/>
      <c r="L80" s="33">
        <f>+D80-H80</f>
        <v>1673.856375000003</v>
      </c>
      <c r="M80" s="15"/>
      <c r="N80" s="34">
        <f>IF(H80=0,0,L80/H80)</f>
        <v>-0.12676488891770521</v>
      </c>
      <c r="O80" s="25"/>
      <c r="P80" s="33">
        <f>SUM(P77:P79)</f>
        <v>-11530.56</v>
      </c>
      <c r="Q80" s="13"/>
      <c r="R80" s="34">
        <f>IF(P$12=0,0,P80/P$12)</f>
        <v>0</v>
      </c>
      <c r="S80" s="13"/>
      <c r="T80" s="33">
        <f>SUM(T77:T79)</f>
        <v>-13204.416375000003</v>
      </c>
      <c r="U80" s="13"/>
      <c r="V80" s="34">
        <f>IF(T$12=0,0,T80/T$12)</f>
        <v>0</v>
      </c>
      <c r="W80" s="15"/>
      <c r="X80" s="33">
        <f>+P80-T80</f>
        <v>1673.856375000003</v>
      </c>
      <c r="Y80" s="15"/>
      <c r="Z80" s="34">
        <f>IF(T80=0,0,X80/T80)</f>
        <v>-0.12676488891770521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1">
        <v>43726.678933333336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6" t="s">
        <v>314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3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","411", " - ", "University Dining")</f>
        <v>Department 411 - University Dining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96371.979999999981</v>
      </c>
      <c r="E18" s="20"/>
      <c r="F18" s="30">
        <f t="shared" ref="F18:F29" si="0">IF(D$12=0,0,D18/D$12)</f>
        <v>0</v>
      </c>
      <c r="G18" s="20"/>
      <c r="H18" s="20">
        <f>SUM(OSRRefH22x_0)</f>
        <v>100316.94561696154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-3944.9656169615628</v>
      </c>
      <c r="M18" s="4"/>
      <c r="N18" s="30">
        <f t="shared" ref="N18:N29" si="3">IF(H18=0,0,L18/H18)</f>
        <v>-3.9325017251068996E-2</v>
      </c>
      <c r="O18" s="10"/>
      <c r="P18" s="20">
        <f>SUM(OSRRefP22x_0)</f>
        <v>96371.979999999981</v>
      </c>
      <c r="Q18" s="20"/>
      <c r="R18" s="30">
        <f t="shared" ref="R18:R29" si="4">IF(P$12=0,0,P18/P$12)</f>
        <v>0</v>
      </c>
      <c r="S18" s="20"/>
      <c r="T18" s="20">
        <f>SUM(OSRRefT22x_0)</f>
        <v>100316.94561696154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-3944.9656169615628</v>
      </c>
      <c r="Y18" s="4"/>
      <c r="Z18" s="30">
        <f t="shared" ref="Z18:Z29" si="7">IF(T18=0,0,X18/T18)</f>
        <v>-3.9325017251068996E-2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12069.58</v>
      </c>
      <c r="E19" s="1"/>
      <c r="F19" s="5">
        <f t="shared" si="0"/>
        <v>0</v>
      </c>
      <c r="G19" s="1"/>
      <c r="H19" s="1">
        <f>SUM(OSRRefH22_0x_0)</f>
        <v>10332.104270807697</v>
      </c>
      <c r="I19" s="1"/>
      <c r="J19" s="5">
        <f t="shared" si="1"/>
        <v>0</v>
      </c>
      <c r="K19" s="1"/>
      <c r="L19" s="1">
        <f t="shared" si="2"/>
        <v>1737.4757291923033</v>
      </c>
      <c r="M19" s="1"/>
      <c r="N19" s="5">
        <f t="shared" si="3"/>
        <v>0.1681628140456696</v>
      </c>
      <c r="O19" s="14"/>
      <c r="P19" s="1">
        <f>SUM(OSRRefP22_0x_0)</f>
        <v>12069.58</v>
      </c>
      <c r="Q19" s="1"/>
      <c r="R19" s="5">
        <f t="shared" si="4"/>
        <v>0</v>
      </c>
      <c r="S19" s="1"/>
      <c r="T19" s="1">
        <f>SUM(OSRRefT22_0x_0)</f>
        <v>10332.104270807697</v>
      </c>
      <c r="U19" s="1"/>
      <c r="V19" s="5">
        <f t="shared" si="5"/>
        <v>0</v>
      </c>
      <c r="W19" s="1"/>
      <c r="X19" s="1">
        <f t="shared" si="6"/>
        <v>1737.4757291923033</v>
      </c>
      <c r="Y19" s="1"/>
      <c r="Z19" s="5">
        <f t="shared" si="7"/>
        <v>0.1681628140456696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2128.23</v>
      </c>
      <c r="E20" s="2"/>
      <c r="F20" s="6">
        <f t="shared" si="0"/>
        <v>0</v>
      </c>
      <c r="G20" s="2"/>
      <c r="H20" s="7">
        <v>1859.0717638846202</v>
      </c>
      <c r="I20" s="2"/>
      <c r="J20" s="6">
        <f t="shared" si="1"/>
        <v>0</v>
      </c>
      <c r="K20" s="2"/>
      <c r="L20" s="7">
        <f t="shared" si="2"/>
        <v>269.15823611537985</v>
      </c>
      <c r="M20" s="2"/>
      <c r="N20" s="6">
        <f t="shared" si="3"/>
        <v>0.14478098228599887</v>
      </c>
      <c r="O20" s="11"/>
      <c r="P20" s="7">
        <v>2128.23</v>
      </c>
      <c r="Q20" s="2"/>
      <c r="R20" s="6">
        <f t="shared" si="4"/>
        <v>0</v>
      </c>
      <c r="S20" s="2"/>
      <c r="T20" s="7">
        <v>1859.0717638846202</v>
      </c>
      <c r="U20" s="2"/>
      <c r="V20" s="6">
        <f t="shared" si="5"/>
        <v>0</v>
      </c>
      <c r="W20" s="2"/>
      <c r="X20" s="7">
        <f t="shared" si="6"/>
        <v>269.15823611537985</v>
      </c>
      <c r="Y20" s="2"/>
      <c r="Z20" s="6">
        <f t="shared" si="7"/>
        <v>0.14478098228599887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700.56</v>
      </c>
      <c r="E21" s="2"/>
      <c r="F21" s="6">
        <f t="shared" si="0"/>
        <v>0</v>
      </c>
      <c r="G21" s="2"/>
      <c r="H21" s="7">
        <v>1268.4521369230799</v>
      </c>
      <c r="I21" s="2"/>
      <c r="J21" s="6">
        <f t="shared" si="1"/>
        <v>0</v>
      </c>
      <c r="K21" s="2"/>
      <c r="L21" s="7">
        <f t="shared" si="2"/>
        <v>-567.89213692307999</v>
      </c>
      <c r="M21" s="2"/>
      <c r="N21" s="6">
        <f t="shared" si="3"/>
        <v>-0.44770482101171899</v>
      </c>
      <c r="O21" s="11"/>
      <c r="P21" s="7">
        <v>700.56</v>
      </c>
      <c r="Q21" s="2"/>
      <c r="R21" s="6">
        <f t="shared" si="4"/>
        <v>0</v>
      </c>
      <c r="S21" s="2"/>
      <c r="T21" s="7">
        <v>1268.4521369230799</v>
      </c>
      <c r="U21" s="2"/>
      <c r="V21" s="6">
        <f t="shared" si="5"/>
        <v>0</v>
      </c>
      <c r="W21" s="2"/>
      <c r="X21" s="7">
        <f t="shared" si="6"/>
        <v>-567.89213692307999</v>
      </c>
      <c r="Y21" s="2"/>
      <c r="Z21" s="6">
        <f t="shared" si="7"/>
        <v>-0.44770482101171899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3654.92</v>
      </c>
      <c r="E22" s="2"/>
      <c r="F22" s="6">
        <f t="shared" si="0"/>
        <v>0</v>
      </c>
      <c r="G22" s="2"/>
      <c r="H22" s="7">
        <v>2919.4615384615399</v>
      </c>
      <c r="I22" s="2"/>
      <c r="J22" s="6">
        <f t="shared" si="1"/>
        <v>0</v>
      </c>
      <c r="K22" s="2"/>
      <c r="L22" s="7">
        <f t="shared" si="2"/>
        <v>735.45846153846014</v>
      </c>
      <c r="M22" s="2"/>
      <c r="N22" s="6">
        <f t="shared" si="3"/>
        <v>0.25191579058308899</v>
      </c>
      <c r="O22" s="11"/>
      <c r="P22" s="7">
        <v>3654.92</v>
      </c>
      <c r="Q22" s="2"/>
      <c r="R22" s="6">
        <f t="shared" si="4"/>
        <v>0</v>
      </c>
      <c r="S22" s="2"/>
      <c r="T22" s="7">
        <v>2919.4615384615399</v>
      </c>
      <c r="U22" s="2"/>
      <c r="V22" s="6">
        <f t="shared" si="5"/>
        <v>0</v>
      </c>
      <c r="W22" s="2"/>
      <c r="X22" s="7">
        <f t="shared" si="6"/>
        <v>735.45846153846014</v>
      </c>
      <c r="Y22" s="2"/>
      <c r="Z22" s="6">
        <f t="shared" si="7"/>
        <v>0.25191579058308899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59.4</v>
      </c>
      <c r="E23" s="2"/>
      <c r="F23" s="6">
        <f t="shared" si="0"/>
        <v>0</v>
      </c>
      <c r="G23" s="2"/>
      <c r="H23" s="7">
        <v>84.999369999999999</v>
      </c>
      <c r="I23" s="2"/>
      <c r="J23" s="6">
        <f t="shared" si="1"/>
        <v>0</v>
      </c>
      <c r="K23" s="2"/>
      <c r="L23" s="7">
        <f t="shared" si="2"/>
        <v>-25.59937</v>
      </c>
      <c r="M23" s="2"/>
      <c r="N23" s="6">
        <f t="shared" si="3"/>
        <v>-0.30117129103427476</v>
      </c>
      <c r="O23" s="11"/>
      <c r="P23" s="7">
        <v>59.4</v>
      </c>
      <c r="Q23" s="2"/>
      <c r="R23" s="6">
        <f t="shared" si="4"/>
        <v>0</v>
      </c>
      <c r="S23" s="2"/>
      <c r="T23" s="7">
        <v>84.999369999999999</v>
      </c>
      <c r="U23" s="2"/>
      <c r="V23" s="6">
        <f t="shared" si="5"/>
        <v>0</v>
      </c>
      <c r="W23" s="2"/>
      <c r="X23" s="7">
        <f t="shared" si="6"/>
        <v>-25.59937</v>
      </c>
      <c r="Y23" s="2"/>
      <c r="Z23" s="6">
        <f t="shared" si="7"/>
        <v>-0.30117129103427476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1169.0899999999999</v>
      </c>
      <c r="E24" s="2"/>
      <c r="F24" s="6">
        <f t="shared" si="0"/>
        <v>0</v>
      </c>
      <c r="G24" s="2"/>
      <c r="H24" s="7">
        <v>1370.86067307692</v>
      </c>
      <c r="I24" s="2"/>
      <c r="J24" s="6">
        <f t="shared" si="1"/>
        <v>0</v>
      </c>
      <c r="K24" s="2"/>
      <c r="L24" s="7">
        <f t="shared" si="2"/>
        <v>-201.77067307692005</v>
      </c>
      <c r="M24" s="2"/>
      <c r="N24" s="6">
        <f t="shared" si="3"/>
        <v>-0.14718539749487625</v>
      </c>
      <c r="O24" s="11"/>
      <c r="P24" s="7">
        <v>1169.0899999999999</v>
      </c>
      <c r="Q24" s="2"/>
      <c r="R24" s="6">
        <f t="shared" si="4"/>
        <v>0</v>
      </c>
      <c r="S24" s="2"/>
      <c r="T24" s="7">
        <v>1370.86067307692</v>
      </c>
      <c r="U24" s="2"/>
      <c r="V24" s="6">
        <f t="shared" si="5"/>
        <v>0</v>
      </c>
      <c r="W24" s="2"/>
      <c r="X24" s="7">
        <f t="shared" si="6"/>
        <v>-201.77067307692005</v>
      </c>
      <c r="Y24" s="2"/>
      <c r="Z24" s="6">
        <f t="shared" si="7"/>
        <v>-0.14718539749487625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56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56</v>
      </c>
      <c r="M26" s="2"/>
      <c r="N26" s="6">
        <f t="shared" si="3"/>
        <v>0</v>
      </c>
      <c r="O26" s="11"/>
      <c r="P26" s="7">
        <v>56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56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2090.27</v>
      </c>
      <c r="E27" s="2"/>
      <c r="F27" s="6">
        <f t="shared" si="0"/>
        <v>0</v>
      </c>
      <c r="G27" s="2"/>
      <c r="H27" s="7">
        <v>1332.8992307692299</v>
      </c>
      <c r="I27" s="2"/>
      <c r="J27" s="6">
        <f t="shared" si="1"/>
        <v>0</v>
      </c>
      <c r="K27" s="2"/>
      <c r="L27" s="7">
        <f t="shared" si="2"/>
        <v>757.37076923077007</v>
      </c>
      <c r="M27" s="2"/>
      <c r="N27" s="6">
        <f t="shared" si="3"/>
        <v>0.56821307398735876</v>
      </c>
      <c r="O27" s="11"/>
      <c r="P27" s="7">
        <v>2090.27</v>
      </c>
      <c r="Q27" s="2"/>
      <c r="R27" s="6">
        <f t="shared" si="4"/>
        <v>0</v>
      </c>
      <c r="S27" s="2"/>
      <c r="T27" s="7">
        <v>1332.8992307692299</v>
      </c>
      <c r="U27" s="2"/>
      <c r="V27" s="6">
        <f t="shared" si="5"/>
        <v>0</v>
      </c>
      <c r="W27" s="2"/>
      <c r="X27" s="7">
        <f t="shared" si="6"/>
        <v>757.37076923077007</v>
      </c>
      <c r="Y27" s="2"/>
      <c r="Z27" s="6">
        <f t="shared" si="7"/>
        <v>0.56821307398735876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1962.53</v>
      </c>
      <c r="E28" s="2"/>
      <c r="F28" s="6">
        <f t="shared" si="0"/>
        <v>0</v>
      </c>
      <c r="G28" s="2"/>
      <c r="H28" s="7">
        <v>821.35955769230793</v>
      </c>
      <c r="I28" s="2"/>
      <c r="J28" s="6">
        <f t="shared" si="1"/>
        <v>0</v>
      </c>
      <c r="K28" s="2"/>
      <c r="L28" s="7">
        <f t="shared" si="2"/>
        <v>1141.1704423076922</v>
      </c>
      <c r="M28" s="2"/>
      <c r="N28" s="6">
        <f t="shared" si="3"/>
        <v>1.3893677033648029</v>
      </c>
      <c r="O28" s="11"/>
      <c r="P28" s="7">
        <v>1962.53</v>
      </c>
      <c r="Q28" s="2"/>
      <c r="R28" s="6">
        <f t="shared" si="4"/>
        <v>0</v>
      </c>
      <c r="S28" s="2"/>
      <c r="T28" s="7">
        <v>821.35955769230793</v>
      </c>
      <c r="U28" s="2"/>
      <c r="V28" s="6">
        <f t="shared" si="5"/>
        <v>0</v>
      </c>
      <c r="W28" s="2"/>
      <c r="X28" s="7">
        <f t="shared" si="6"/>
        <v>1141.1704423076922</v>
      </c>
      <c r="Y28" s="2"/>
      <c r="Z28" s="6">
        <f t="shared" si="7"/>
        <v>1.3893677033648029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248.58</v>
      </c>
      <c r="E29" s="2"/>
      <c r="F29" s="6">
        <f t="shared" si="0"/>
        <v>0</v>
      </c>
      <c r="G29" s="2"/>
      <c r="H29" s="7">
        <v>675</v>
      </c>
      <c r="I29" s="2"/>
      <c r="J29" s="6">
        <f t="shared" si="1"/>
        <v>0</v>
      </c>
      <c r="K29" s="2"/>
      <c r="L29" s="7">
        <f t="shared" si="2"/>
        <v>-426.41999999999996</v>
      </c>
      <c r="M29" s="2"/>
      <c r="N29" s="6">
        <f t="shared" si="3"/>
        <v>-0.63173333333333326</v>
      </c>
      <c r="O29" s="11"/>
      <c r="P29" s="7">
        <v>248.58</v>
      </c>
      <c r="Q29" s="2"/>
      <c r="R29" s="6">
        <f t="shared" si="4"/>
        <v>0</v>
      </c>
      <c r="S29" s="2"/>
      <c r="T29" s="7">
        <v>675</v>
      </c>
      <c r="U29" s="2"/>
      <c r="V29" s="6">
        <f t="shared" si="5"/>
        <v>0</v>
      </c>
      <c r="W29" s="2"/>
      <c r="X29" s="7">
        <f t="shared" si="6"/>
        <v>-426.41999999999996</v>
      </c>
      <c r="Y29" s="2"/>
      <c r="Z29" s="6">
        <f t="shared" si="7"/>
        <v>-0.63173333333333326</v>
      </c>
    </row>
    <row r="30" spans="1:26" s="27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31487.39</v>
      </c>
      <c r="E30" s="1"/>
      <c r="F30" s="5">
        <f t="shared" ref="F30:F40" si="8">IF(D$12=0,0,D30/D$12)</f>
        <v>0</v>
      </c>
      <c r="G30" s="1"/>
      <c r="H30" s="1">
        <f>SUM(OSRRefH22_1x_0)</f>
        <v>30953.841346153851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533.54865384614823</v>
      </c>
      <c r="M30" s="1"/>
      <c r="N30" s="5">
        <f t="shared" ref="N30:N40" si="11">IF(H30=0,0,L30/H30)</f>
        <v>1.7236912468456649E-2</v>
      </c>
      <c r="O30" s="14"/>
      <c r="P30" s="1">
        <f>SUM(OSRRefP22_1x_0)</f>
        <v>31487.39</v>
      </c>
      <c r="Q30" s="1"/>
      <c r="R30" s="5">
        <f t="shared" ref="R30:R40" si="12">IF(P$12=0,0,P30/P$12)</f>
        <v>0</v>
      </c>
      <c r="S30" s="1"/>
      <c r="T30" s="1">
        <f>SUM(OSRRefT22_1x_0)</f>
        <v>30953.841346153851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533.54865384614823</v>
      </c>
      <c r="Y30" s="1"/>
      <c r="Z30" s="5">
        <f t="shared" ref="Z30:Z40" si="15">IF(T30=0,0,X30/T30)</f>
        <v>1.7236912468456649E-2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10135.49</v>
      </c>
      <c r="E31" s="2"/>
      <c r="F31" s="6">
        <f t="shared" si="8"/>
        <v>0</v>
      </c>
      <c r="G31" s="2"/>
      <c r="H31" s="7">
        <v>9893.9423076923104</v>
      </c>
      <c r="I31" s="2"/>
      <c r="J31" s="6">
        <f t="shared" si="9"/>
        <v>0</v>
      </c>
      <c r="K31" s="2"/>
      <c r="L31" s="7">
        <f t="shared" si="10"/>
        <v>241.54769230768943</v>
      </c>
      <c r="M31" s="2"/>
      <c r="N31" s="6">
        <f t="shared" si="11"/>
        <v>2.4413695248646408E-2</v>
      </c>
      <c r="O31" s="11"/>
      <c r="P31" s="7">
        <v>10135.49</v>
      </c>
      <c r="Q31" s="2"/>
      <c r="R31" s="6">
        <f t="shared" si="12"/>
        <v>0</v>
      </c>
      <c r="S31" s="2"/>
      <c r="T31" s="7">
        <v>9893.9423076923104</v>
      </c>
      <c r="U31" s="2"/>
      <c r="V31" s="6">
        <f t="shared" si="13"/>
        <v>0</v>
      </c>
      <c r="W31" s="2"/>
      <c r="X31" s="7">
        <f t="shared" si="14"/>
        <v>241.54769230768943</v>
      </c>
      <c r="Y31" s="2"/>
      <c r="Z31" s="6">
        <f t="shared" si="15"/>
        <v>2.4413695248646408E-2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4217.24</v>
      </c>
      <c r="E32" s="2"/>
      <c r="F32" s="6">
        <f t="shared" si="8"/>
        <v>0</v>
      </c>
      <c r="G32" s="2"/>
      <c r="H32" s="7">
        <v>4452.2740384615399</v>
      </c>
      <c r="I32" s="2"/>
      <c r="J32" s="6">
        <f t="shared" si="9"/>
        <v>0</v>
      </c>
      <c r="K32" s="2"/>
      <c r="L32" s="7">
        <f t="shared" si="10"/>
        <v>-235.03403846154015</v>
      </c>
      <c r="M32" s="2"/>
      <c r="N32" s="6">
        <f t="shared" si="11"/>
        <v>-5.2789661290201025E-2</v>
      </c>
      <c r="O32" s="11"/>
      <c r="P32" s="7">
        <v>4217.24</v>
      </c>
      <c r="Q32" s="2"/>
      <c r="R32" s="6">
        <f t="shared" si="12"/>
        <v>0</v>
      </c>
      <c r="S32" s="2"/>
      <c r="T32" s="7">
        <v>4452.2740384615399</v>
      </c>
      <c r="U32" s="2"/>
      <c r="V32" s="6">
        <f t="shared" si="13"/>
        <v>0</v>
      </c>
      <c r="W32" s="2"/>
      <c r="X32" s="7">
        <f t="shared" si="14"/>
        <v>-235.03403846154015</v>
      </c>
      <c r="Y32" s="2"/>
      <c r="Z32" s="6">
        <f t="shared" si="15"/>
        <v>-5.2789661290201025E-2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2191.84</v>
      </c>
      <c r="E34" s="2"/>
      <c r="F34" s="6">
        <f t="shared" si="8"/>
        <v>0</v>
      </c>
      <c r="G34" s="2"/>
      <c r="H34" s="7">
        <v>6527.625</v>
      </c>
      <c r="I34" s="2"/>
      <c r="J34" s="6">
        <f t="shared" si="9"/>
        <v>0</v>
      </c>
      <c r="K34" s="2"/>
      <c r="L34" s="7">
        <f t="shared" si="10"/>
        <v>-4335.7849999999999</v>
      </c>
      <c r="M34" s="2"/>
      <c r="N34" s="6">
        <f t="shared" si="11"/>
        <v>-0.66422090729783034</v>
      </c>
      <c r="O34" s="11"/>
      <c r="P34" s="7">
        <v>2191.84</v>
      </c>
      <c r="Q34" s="2"/>
      <c r="R34" s="6">
        <f t="shared" si="12"/>
        <v>0</v>
      </c>
      <c r="S34" s="2"/>
      <c r="T34" s="7">
        <v>6527.625</v>
      </c>
      <c r="U34" s="2"/>
      <c r="V34" s="6">
        <f t="shared" si="13"/>
        <v>0</v>
      </c>
      <c r="W34" s="2"/>
      <c r="X34" s="7">
        <f t="shared" si="14"/>
        <v>-4335.7849999999999</v>
      </c>
      <c r="Y34" s="2"/>
      <c r="Z34" s="6">
        <f t="shared" si="15"/>
        <v>-0.66422090729783034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8422.5</v>
      </c>
      <c r="E35" s="2"/>
      <c r="F35" s="6">
        <f t="shared" si="8"/>
        <v>0</v>
      </c>
      <c r="G35" s="2"/>
      <c r="H35" s="7">
        <v>8400</v>
      </c>
      <c r="I35" s="2"/>
      <c r="J35" s="6">
        <f t="shared" si="9"/>
        <v>0</v>
      </c>
      <c r="K35" s="2"/>
      <c r="L35" s="7">
        <f t="shared" si="10"/>
        <v>22.5</v>
      </c>
      <c r="M35" s="2"/>
      <c r="N35" s="6">
        <f t="shared" si="11"/>
        <v>2.6785714285714286E-3</v>
      </c>
      <c r="O35" s="11"/>
      <c r="P35" s="7">
        <v>8422.5</v>
      </c>
      <c r="Q35" s="2"/>
      <c r="R35" s="6">
        <f t="shared" si="12"/>
        <v>0</v>
      </c>
      <c r="S35" s="2"/>
      <c r="T35" s="7">
        <v>8400</v>
      </c>
      <c r="U35" s="2"/>
      <c r="V35" s="6">
        <f t="shared" si="13"/>
        <v>0</v>
      </c>
      <c r="W35" s="2"/>
      <c r="X35" s="7">
        <f t="shared" si="14"/>
        <v>22.5</v>
      </c>
      <c r="Y35" s="2"/>
      <c r="Z35" s="6">
        <f t="shared" si="15"/>
        <v>2.6785714285714286E-3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>
        <v>872.63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872.63</v>
      </c>
      <c r="M36" s="2"/>
      <c r="N36" s="6">
        <f t="shared" si="11"/>
        <v>0</v>
      </c>
      <c r="O36" s="11"/>
      <c r="P36" s="7">
        <v>872.63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872.63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5647.69</v>
      </c>
      <c r="E37" s="2"/>
      <c r="F37" s="6">
        <f t="shared" si="8"/>
        <v>0</v>
      </c>
      <c r="G37" s="2"/>
      <c r="H37" s="7">
        <v>1680</v>
      </c>
      <c r="I37" s="2"/>
      <c r="J37" s="6">
        <f t="shared" si="9"/>
        <v>0</v>
      </c>
      <c r="K37" s="2"/>
      <c r="L37" s="7">
        <f t="shared" si="10"/>
        <v>3967.6899999999996</v>
      </c>
      <c r="M37" s="2"/>
      <c r="N37" s="6">
        <f t="shared" si="11"/>
        <v>2.3617202380952378</v>
      </c>
      <c r="O37" s="11"/>
      <c r="P37" s="7">
        <v>5647.69</v>
      </c>
      <c r="Q37" s="2"/>
      <c r="R37" s="6">
        <f t="shared" si="12"/>
        <v>0</v>
      </c>
      <c r="S37" s="2"/>
      <c r="T37" s="7">
        <v>1680</v>
      </c>
      <c r="U37" s="2"/>
      <c r="V37" s="6">
        <f t="shared" si="13"/>
        <v>0</v>
      </c>
      <c r="W37" s="2"/>
      <c r="X37" s="7">
        <f t="shared" si="14"/>
        <v>3967.6899999999996</v>
      </c>
      <c r="Y37" s="2"/>
      <c r="Z37" s="6">
        <f t="shared" si="15"/>
        <v>2.3617202380952378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7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12.5</v>
      </c>
      <c r="E41" s="1"/>
      <c r="F41" s="5">
        <f t="shared" ref="F41:F46" si="16">IF(D$12=0,0,D41/D$12)</f>
        <v>0</v>
      </c>
      <c r="G41" s="1"/>
      <c r="H41" s="1">
        <f>SUM(OSRRefH22_2x_0)</f>
        <v>550</v>
      </c>
      <c r="I41" s="1"/>
      <c r="J41" s="5">
        <f t="shared" ref="J41:J46" si="17">IF(H$12=0,0,H41/H$12)</f>
        <v>0</v>
      </c>
      <c r="K41" s="1"/>
      <c r="L41" s="1">
        <f t="shared" ref="L41:L46" si="18">+D41-H41</f>
        <v>-537.5</v>
      </c>
      <c r="M41" s="1"/>
      <c r="N41" s="5">
        <f t="shared" ref="N41:N46" si="19">IF(H41=0,0,L41/H41)</f>
        <v>-0.97727272727272729</v>
      </c>
      <c r="O41" s="14"/>
      <c r="P41" s="1">
        <f>SUM(OSRRefP22_2x_0)</f>
        <v>12.5</v>
      </c>
      <c r="Q41" s="1"/>
      <c r="R41" s="5">
        <f t="shared" ref="R41:R46" si="20">IF(P$12=0,0,P41/P$12)</f>
        <v>0</v>
      </c>
      <c r="S41" s="1"/>
      <c r="T41" s="1">
        <f>SUM(OSRRefT22_2x_0)</f>
        <v>550</v>
      </c>
      <c r="U41" s="1"/>
      <c r="V41" s="5">
        <f t="shared" ref="V41:V46" si="21">IF(T$12=0,0,T41/T$12)</f>
        <v>0</v>
      </c>
      <c r="W41" s="1"/>
      <c r="X41" s="1">
        <f t="shared" ref="X41:X46" si="22">+P41-T41</f>
        <v>-537.5</v>
      </c>
      <c r="Y41" s="1"/>
      <c r="Z41" s="5">
        <f t="shared" ref="Z41:Z46" si="23">IF(T41=0,0,X41/T41)</f>
        <v>-0.97727272727272729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>
        <v>12.5</v>
      </c>
      <c r="E42" s="2"/>
      <c r="F42" s="6">
        <f t="shared" si="16"/>
        <v>0</v>
      </c>
      <c r="G42" s="2"/>
      <c r="H42" s="7">
        <v>550</v>
      </c>
      <c r="I42" s="2"/>
      <c r="J42" s="6">
        <f t="shared" si="17"/>
        <v>0</v>
      </c>
      <c r="K42" s="2"/>
      <c r="L42" s="7">
        <f t="shared" si="18"/>
        <v>-537.5</v>
      </c>
      <c r="M42" s="2"/>
      <c r="N42" s="6">
        <f t="shared" si="19"/>
        <v>-0.97727272727272729</v>
      </c>
      <c r="O42" s="11"/>
      <c r="P42" s="7">
        <v>12.5</v>
      </c>
      <c r="Q42" s="2"/>
      <c r="R42" s="6">
        <f t="shared" si="20"/>
        <v>0</v>
      </c>
      <c r="S42" s="2"/>
      <c r="T42" s="7">
        <v>550</v>
      </c>
      <c r="U42" s="2"/>
      <c r="V42" s="6">
        <f t="shared" si="21"/>
        <v>0</v>
      </c>
      <c r="W42" s="2"/>
      <c r="X42" s="7">
        <f t="shared" si="22"/>
        <v>-537.5</v>
      </c>
      <c r="Y42" s="2"/>
      <c r="Z42" s="6">
        <f t="shared" si="23"/>
        <v>-0.97727272727272729</v>
      </c>
    </row>
    <row r="43" spans="1:26" s="27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6821.6399999999994</v>
      </c>
      <c r="E43" s="1"/>
      <c r="F43" s="5">
        <f t="shared" si="16"/>
        <v>0</v>
      </c>
      <c r="G43" s="1"/>
      <c r="H43" s="1">
        <f>SUM(OSRRefH22_3x_0)</f>
        <v>6131</v>
      </c>
      <c r="I43" s="1"/>
      <c r="J43" s="5">
        <f t="shared" si="17"/>
        <v>0</v>
      </c>
      <c r="K43" s="1"/>
      <c r="L43" s="1">
        <f t="shared" si="18"/>
        <v>690.63999999999942</v>
      </c>
      <c r="M43" s="1"/>
      <c r="N43" s="5">
        <f t="shared" si="19"/>
        <v>0.1126472027401728</v>
      </c>
      <c r="O43" s="14"/>
      <c r="P43" s="1">
        <f>SUM(OSRRefP22_3x_0)</f>
        <v>6821.6399999999994</v>
      </c>
      <c r="Q43" s="1"/>
      <c r="R43" s="5">
        <f t="shared" si="20"/>
        <v>0</v>
      </c>
      <c r="S43" s="1"/>
      <c r="T43" s="1">
        <f>SUM(OSRRefT22_3x_0)</f>
        <v>6131</v>
      </c>
      <c r="U43" s="1"/>
      <c r="V43" s="5">
        <f t="shared" si="21"/>
        <v>0</v>
      </c>
      <c r="W43" s="1"/>
      <c r="X43" s="1">
        <f t="shared" si="22"/>
        <v>690.63999999999942</v>
      </c>
      <c r="Y43" s="1"/>
      <c r="Z43" s="5">
        <f t="shared" si="23"/>
        <v>0.1126472027401728</v>
      </c>
    </row>
    <row r="44" spans="1:26" s="24" customFormat="1" hidden="1" outlineLevel="2" x14ac:dyDescent="0.25">
      <c r="A44" s="29"/>
      <c r="B44" s="11" t="str">
        <f>CONCATENATE("          ", "6321", " - ", "BUILDING DEPRECIATION")</f>
        <v xml:space="preserve">          6321 - BUILDING DEPRECIATION</v>
      </c>
      <c r="C44" s="11"/>
      <c r="D44" s="7">
        <v>2266.9499999999998</v>
      </c>
      <c r="E44" s="2"/>
      <c r="F44" s="6">
        <f t="shared" si="16"/>
        <v>0</v>
      </c>
      <c r="G44" s="2"/>
      <c r="H44" s="7">
        <v>805</v>
      </c>
      <c r="I44" s="2"/>
      <c r="J44" s="6">
        <f t="shared" si="17"/>
        <v>0</v>
      </c>
      <c r="K44" s="2"/>
      <c r="L44" s="7">
        <f t="shared" si="18"/>
        <v>1461.9499999999998</v>
      </c>
      <c r="M44" s="2"/>
      <c r="N44" s="6">
        <f t="shared" si="19"/>
        <v>1.816086956521739</v>
      </c>
      <c r="O44" s="11"/>
      <c r="P44" s="7">
        <v>2266.9499999999998</v>
      </c>
      <c r="Q44" s="2"/>
      <c r="R44" s="6">
        <f t="shared" si="20"/>
        <v>0</v>
      </c>
      <c r="S44" s="2"/>
      <c r="T44" s="7">
        <v>805</v>
      </c>
      <c r="U44" s="2"/>
      <c r="V44" s="6">
        <f t="shared" si="21"/>
        <v>0</v>
      </c>
      <c r="W44" s="2"/>
      <c r="X44" s="7">
        <f t="shared" si="22"/>
        <v>1461.9499999999998</v>
      </c>
      <c r="Y44" s="2"/>
      <c r="Z44" s="6">
        <f t="shared" si="23"/>
        <v>1.816086956521739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4130.4399999999996</v>
      </c>
      <c r="E45" s="2"/>
      <c r="F45" s="6">
        <f t="shared" si="16"/>
        <v>0</v>
      </c>
      <c r="G45" s="2"/>
      <c r="H45" s="7">
        <v>4902</v>
      </c>
      <c r="I45" s="2"/>
      <c r="J45" s="6">
        <f t="shared" si="17"/>
        <v>0</v>
      </c>
      <c r="K45" s="2"/>
      <c r="L45" s="7">
        <f t="shared" si="18"/>
        <v>-771.5600000000004</v>
      </c>
      <c r="M45" s="2"/>
      <c r="N45" s="6">
        <f t="shared" si="19"/>
        <v>-0.15739698082415349</v>
      </c>
      <c r="O45" s="11"/>
      <c r="P45" s="7">
        <v>4130.4399999999996</v>
      </c>
      <c r="Q45" s="2"/>
      <c r="R45" s="6">
        <f t="shared" si="20"/>
        <v>0</v>
      </c>
      <c r="S45" s="2"/>
      <c r="T45" s="7">
        <v>4902</v>
      </c>
      <c r="U45" s="2"/>
      <c r="V45" s="6">
        <f t="shared" si="21"/>
        <v>0</v>
      </c>
      <c r="W45" s="2"/>
      <c r="X45" s="7">
        <f t="shared" si="22"/>
        <v>-771.5600000000004</v>
      </c>
      <c r="Y45" s="2"/>
      <c r="Z45" s="6">
        <f t="shared" si="23"/>
        <v>-0.15739698082415349</v>
      </c>
    </row>
    <row r="46" spans="1:26" s="24" customFormat="1" hidden="1" outlineLevel="2" x14ac:dyDescent="0.25">
      <c r="A46" s="29"/>
      <c r="B46" s="11" t="str">
        <f>CONCATENATE("          ", "6326", " - ", "VEHICLES DEPRECIATION EXPENSE")</f>
        <v xml:space="preserve">          6326 - VEHICLES DEPRECIATION EXPENSE</v>
      </c>
      <c r="C46" s="11"/>
      <c r="D46" s="7">
        <v>424.25</v>
      </c>
      <c r="E46" s="2"/>
      <c r="F46" s="6">
        <f t="shared" si="16"/>
        <v>0</v>
      </c>
      <c r="G46" s="2"/>
      <c r="H46" s="7">
        <v>424</v>
      </c>
      <c r="I46" s="2"/>
      <c r="J46" s="6">
        <f t="shared" si="17"/>
        <v>0</v>
      </c>
      <c r="K46" s="2"/>
      <c r="L46" s="7">
        <f t="shared" si="18"/>
        <v>0.25</v>
      </c>
      <c r="M46" s="2"/>
      <c r="N46" s="6">
        <f t="shared" si="19"/>
        <v>5.8962264150943394E-4</v>
      </c>
      <c r="O46" s="11"/>
      <c r="P46" s="7">
        <v>424.25</v>
      </c>
      <c r="Q46" s="2"/>
      <c r="R46" s="6">
        <f t="shared" si="20"/>
        <v>0</v>
      </c>
      <c r="S46" s="2"/>
      <c r="T46" s="7">
        <v>424</v>
      </c>
      <c r="U46" s="2"/>
      <c r="V46" s="6">
        <f t="shared" si="21"/>
        <v>0</v>
      </c>
      <c r="W46" s="2"/>
      <c r="X46" s="7">
        <f t="shared" si="22"/>
        <v>0.25</v>
      </c>
      <c r="Y46" s="2"/>
      <c r="Z46" s="6">
        <f t="shared" si="23"/>
        <v>5.8962264150943394E-4</v>
      </c>
    </row>
    <row r="47" spans="1:26" s="27" customFormat="1" outlineLevel="1" collapsed="1" x14ac:dyDescent="0.25">
      <c r="A47" s="28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SUM(OSRRefD22_4x_0)</f>
        <v>45.86</v>
      </c>
      <c r="E47" s="1"/>
      <c r="F47" s="5">
        <f t="shared" ref="F47:F58" si="24">IF(D$12=0,0,D47/D$12)</f>
        <v>0</v>
      </c>
      <c r="G47" s="1"/>
      <c r="H47" s="1">
        <f>SUM(OSRRefH22_4x_0)</f>
        <v>200</v>
      </c>
      <c r="I47" s="1"/>
      <c r="J47" s="5">
        <f t="shared" ref="J47:J58" si="25">IF(H$12=0,0,H47/H$12)</f>
        <v>0</v>
      </c>
      <c r="K47" s="1"/>
      <c r="L47" s="1">
        <f t="shared" ref="L47:L58" si="26">+D47-H47</f>
        <v>-154.13999999999999</v>
      </c>
      <c r="M47" s="1"/>
      <c r="N47" s="5">
        <f t="shared" ref="N47:N58" si="27">IF(H47=0,0,L47/H47)</f>
        <v>-0.77069999999999994</v>
      </c>
      <c r="O47" s="14"/>
      <c r="P47" s="1">
        <f>SUM(OSRRefP22_4x_0)</f>
        <v>45.86</v>
      </c>
      <c r="Q47" s="1"/>
      <c r="R47" s="5">
        <f t="shared" ref="R47:R58" si="28">IF(P$12=0,0,P47/P$12)</f>
        <v>0</v>
      </c>
      <c r="S47" s="1"/>
      <c r="T47" s="1">
        <f>SUM(OSRRefT22_4x_0)</f>
        <v>200</v>
      </c>
      <c r="U47" s="1"/>
      <c r="V47" s="5">
        <f t="shared" ref="V47:V58" si="29">IF(T$12=0,0,T47/T$12)</f>
        <v>0</v>
      </c>
      <c r="W47" s="1"/>
      <c r="X47" s="1">
        <f t="shared" ref="X47:X58" si="30">+P47-T47</f>
        <v>-154.13999999999999</v>
      </c>
      <c r="Y47" s="1"/>
      <c r="Z47" s="5">
        <f t="shared" ref="Z47:Z58" si="31">IF(T47=0,0,X47/T47)</f>
        <v>-0.77069999999999994</v>
      </c>
    </row>
    <row r="48" spans="1:26" s="24" customFormat="1" hidden="1" outlineLevel="2" x14ac:dyDescent="0.25">
      <c r="A48" s="29"/>
      <c r="B48" s="11" t="str">
        <f>CONCATENATE("          ", "6277", " - ", "EMPLOYEE APPRECIATION")</f>
        <v xml:space="preserve">          6277 - EMPLOYEE APPRECIATION</v>
      </c>
      <c r="C48" s="11"/>
      <c r="D48" s="7">
        <v>45.86</v>
      </c>
      <c r="E48" s="2"/>
      <c r="F48" s="6">
        <f t="shared" si="24"/>
        <v>0</v>
      </c>
      <c r="G48" s="2"/>
      <c r="H48" s="7">
        <v>200</v>
      </c>
      <c r="I48" s="2"/>
      <c r="J48" s="6">
        <f t="shared" si="25"/>
        <v>0</v>
      </c>
      <c r="K48" s="2"/>
      <c r="L48" s="7">
        <f t="shared" si="26"/>
        <v>-154.13999999999999</v>
      </c>
      <c r="M48" s="2"/>
      <c r="N48" s="6">
        <f t="shared" si="27"/>
        <v>-0.77069999999999994</v>
      </c>
      <c r="O48" s="11"/>
      <c r="P48" s="7">
        <v>45.86</v>
      </c>
      <c r="Q48" s="2"/>
      <c r="R48" s="6">
        <f t="shared" si="28"/>
        <v>0</v>
      </c>
      <c r="S48" s="2"/>
      <c r="T48" s="7">
        <v>200</v>
      </c>
      <c r="U48" s="2"/>
      <c r="V48" s="6">
        <f t="shared" si="29"/>
        <v>0</v>
      </c>
      <c r="W48" s="2"/>
      <c r="X48" s="7">
        <f t="shared" si="30"/>
        <v>-154.13999999999999</v>
      </c>
      <c r="Y48" s="2"/>
      <c r="Z48" s="6">
        <f t="shared" si="31"/>
        <v>-0.77069999999999994</v>
      </c>
    </row>
    <row r="49" spans="1:26" s="27" customFormat="1" outlineLevel="1" collapsed="1" x14ac:dyDescent="0.25">
      <c r="A49" s="28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SUM(OSRRefD22_5x_0)</f>
        <v>863.98</v>
      </c>
      <c r="E49" s="1"/>
      <c r="F49" s="5">
        <f t="shared" si="24"/>
        <v>0</v>
      </c>
      <c r="G49" s="1"/>
      <c r="H49" s="1">
        <f>SUM(OSRRefH22_5x_0)</f>
        <v>1500</v>
      </c>
      <c r="I49" s="1"/>
      <c r="J49" s="5">
        <f t="shared" si="25"/>
        <v>0</v>
      </c>
      <c r="K49" s="1"/>
      <c r="L49" s="1">
        <f t="shared" si="26"/>
        <v>-636.02</v>
      </c>
      <c r="M49" s="1"/>
      <c r="N49" s="5">
        <f t="shared" si="27"/>
        <v>-0.4240133333333333</v>
      </c>
      <c r="O49" s="14"/>
      <c r="P49" s="1">
        <f>SUM(OSRRefP22_5x_0)</f>
        <v>863.98</v>
      </c>
      <c r="Q49" s="1"/>
      <c r="R49" s="5">
        <f t="shared" si="28"/>
        <v>0</v>
      </c>
      <c r="S49" s="1"/>
      <c r="T49" s="1">
        <f>SUM(OSRRefT22_5x_0)</f>
        <v>1500</v>
      </c>
      <c r="U49" s="1"/>
      <c r="V49" s="5">
        <f t="shared" si="29"/>
        <v>0</v>
      </c>
      <c r="W49" s="1"/>
      <c r="X49" s="1">
        <f t="shared" si="30"/>
        <v>-636.02</v>
      </c>
      <c r="Y49" s="1"/>
      <c r="Z49" s="5">
        <f t="shared" si="31"/>
        <v>-0.4240133333333333</v>
      </c>
    </row>
    <row r="50" spans="1:26" s="24" customFormat="1" hidden="1" outlineLevel="2" x14ac:dyDescent="0.25">
      <c r="A50" s="29"/>
      <c r="B50" s="11" t="str">
        <f>CONCATENATE("          ", "6351", " - ", "EQUIPMENT RENTAL")</f>
        <v xml:space="preserve">          6351 - EQUIPMENT RENTAL</v>
      </c>
      <c r="C50" s="11"/>
      <c r="D50" s="7">
        <v>863.98</v>
      </c>
      <c r="E50" s="2"/>
      <c r="F50" s="6">
        <f t="shared" si="24"/>
        <v>0</v>
      </c>
      <c r="G50" s="2"/>
      <c r="H50" s="7">
        <v>1500</v>
      </c>
      <c r="I50" s="2"/>
      <c r="J50" s="6">
        <f t="shared" si="25"/>
        <v>0</v>
      </c>
      <c r="K50" s="2"/>
      <c r="L50" s="7">
        <f t="shared" si="26"/>
        <v>-636.02</v>
      </c>
      <c r="M50" s="2"/>
      <c r="N50" s="6">
        <f t="shared" si="27"/>
        <v>-0.4240133333333333</v>
      </c>
      <c r="O50" s="11"/>
      <c r="P50" s="7">
        <v>863.98</v>
      </c>
      <c r="Q50" s="2"/>
      <c r="R50" s="6">
        <f t="shared" si="28"/>
        <v>0</v>
      </c>
      <c r="S50" s="2"/>
      <c r="T50" s="7">
        <v>1500</v>
      </c>
      <c r="U50" s="2"/>
      <c r="V50" s="6">
        <f t="shared" si="29"/>
        <v>0</v>
      </c>
      <c r="W50" s="2"/>
      <c r="X50" s="7">
        <f t="shared" si="30"/>
        <v>-636.02</v>
      </c>
      <c r="Y50" s="2"/>
      <c r="Z50" s="6">
        <f t="shared" si="31"/>
        <v>-0.4240133333333333</v>
      </c>
    </row>
    <row r="51" spans="1:26" s="27" customFormat="1" outlineLevel="1" collapsed="1" x14ac:dyDescent="0.25">
      <c r="A51" s="28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si="24"/>
        <v>0</v>
      </c>
      <c r="G51" s="1"/>
      <c r="H51" s="1">
        <f>SUM(OSRRefH22_6x_0)</f>
        <v>1000</v>
      </c>
      <c r="I51" s="1"/>
      <c r="J51" s="5">
        <f t="shared" si="25"/>
        <v>0</v>
      </c>
      <c r="K51" s="1"/>
      <c r="L51" s="1">
        <f t="shared" si="26"/>
        <v>-1000</v>
      </c>
      <c r="M51" s="1"/>
      <c r="N51" s="5">
        <f t="shared" si="27"/>
        <v>-1</v>
      </c>
      <c r="O51" s="14"/>
      <c r="P51" s="1">
        <f>SUM(OSRRefP22_6x_0)</f>
        <v>0</v>
      </c>
      <c r="Q51" s="1"/>
      <c r="R51" s="5">
        <f t="shared" si="28"/>
        <v>0</v>
      </c>
      <c r="S51" s="1"/>
      <c r="T51" s="1">
        <f>SUM(OSRRefT22_6x_0)</f>
        <v>1000</v>
      </c>
      <c r="U51" s="1"/>
      <c r="V51" s="5">
        <f t="shared" si="29"/>
        <v>0</v>
      </c>
      <c r="W51" s="1"/>
      <c r="X51" s="1">
        <f t="shared" si="30"/>
        <v>-1000</v>
      </c>
      <c r="Y51" s="1"/>
      <c r="Z51" s="5">
        <f t="shared" si="31"/>
        <v>-1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4"/>
        <v>0</v>
      </c>
      <c r="G52" s="2"/>
      <c r="H52" s="7">
        <v>1000</v>
      </c>
      <c r="I52" s="2"/>
      <c r="J52" s="6">
        <f t="shared" si="25"/>
        <v>0</v>
      </c>
      <c r="K52" s="2"/>
      <c r="L52" s="7">
        <f t="shared" si="26"/>
        <v>-1000</v>
      </c>
      <c r="M52" s="2"/>
      <c r="N52" s="6">
        <f t="shared" si="27"/>
        <v>-1</v>
      </c>
      <c r="O52" s="11"/>
      <c r="P52" s="7"/>
      <c r="Q52" s="2"/>
      <c r="R52" s="6">
        <f t="shared" si="28"/>
        <v>0</v>
      </c>
      <c r="S52" s="2"/>
      <c r="T52" s="7">
        <v>1000</v>
      </c>
      <c r="U52" s="2"/>
      <c r="V52" s="6">
        <f t="shared" si="29"/>
        <v>0</v>
      </c>
      <c r="W52" s="2"/>
      <c r="X52" s="7">
        <f t="shared" si="30"/>
        <v>-1000</v>
      </c>
      <c r="Y52" s="2"/>
      <c r="Z52" s="6">
        <f t="shared" si="31"/>
        <v>-1</v>
      </c>
    </row>
    <row r="53" spans="1:26" s="27" customFormat="1" outlineLevel="1" collapsed="1" x14ac:dyDescent="0.25">
      <c r="A53" s="28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3598.85</v>
      </c>
      <c r="E53" s="1"/>
      <c r="F53" s="5">
        <f t="shared" si="24"/>
        <v>0</v>
      </c>
      <c r="G53" s="1"/>
      <c r="H53" s="1">
        <f>SUM(OSRRefH22_7x_0)</f>
        <v>3400</v>
      </c>
      <c r="I53" s="1"/>
      <c r="J53" s="5">
        <f t="shared" si="25"/>
        <v>0</v>
      </c>
      <c r="K53" s="1"/>
      <c r="L53" s="1">
        <f t="shared" si="26"/>
        <v>198.84999999999991</v>
      </c>
      <c r="M53" s="1"/>
      <c r="N53" s="5">
        <f t="shared" si="27"/>
        <v>5.8485294117647031E-2</v>
      </c>
      <c r="O53" s="14"/>
      <c r="P53" s="1">
        <f>SUM(OSRRefP22_7x_0)</f>
        <v>3598.85</v>
      </c>
      <c r="Q53" s="1"/>
      <c r="R53" s="5">
        <f t="shared" si="28"/>
        <v>0</v>
      </c>
      <c r="S53" s="1"/>
      <c r="T53" s="1">
        <f>SUM(OSRRefT22_7x_0)</f>
        <v>3400</v>
      </c>
      <c r="U53" s="1"/>
      <c r="V53" s="5">
        <f t="shared" si="29"/>
        <v>0</v>
      </c>
      <c r="W53" s="1"/>
      <c r="X53" s="1">
        <f t="shared" si="30"/>
        <v>198.84999999999991</v>
      </c>
      <c r="Y53" s="1"/>
      <c r="Z53" s="5">
        <f t="shared" si="31"/>
        <v>5.8485294117647031E-2</v>
      </c>
    </row>
    <row r="54" spans="1:26" s="24" customFormat="1" hidden="1" outlineLevel="2" x14ac:dyDescent="0.25">
      <c r="A54" s="29"/>
      <c r="B54" s="11" t="str">
        <f>CONCATENATE("          ", "6314", " - ", "LIABILITY INSURANCE")</f>
        <v xml:space="preserve">          6314 - LIABILITY INSURANCE</v>
      </c>
      <c r="C54" s="11"/>
      <c r="D54" s="7">
        <v>3598.85</v>
      </c>
      <c r="E54" s="2"/>
      <c r="F54" s="6">
        <f t="shared" si="24"/>
        <v>0</v>
      </c>
      <c r="G54" s="2"/>
      <c r="H54" s="7">
        <v>3400</v>
      </c>
      <c r="I54" s="2"/>
      <c r="J54" s="6">
        <f t="shared" si="25"/>
        <v>0</v>
      </c>
      <c r="K54" s="2"/>
      <c r="L54" s="7">
        <f t="shared" si="26"/>
        <v>198.84999999999991</v>
      </c>
      <c r="M54" s="2"/>
      <c r="N54" s="6">
        <f t="shared" si="27"/>
        <v>5.8485294117647031E-2</v>
      </c>
      <c r="O54" s="11"/>
      <c r="P54" s="7">
        <v>3598.85</v>
      </c>
      <c r="Q54" s="2"/>
      <c r="R54" s="6">
        <f t="shared" si="28"/>
        <v>0</v>
      </c>
      <c r="S54" s="2"/>
      <c r="T54" s="7">
        <v>3400</v>
      </c>
      <c r="U54" s="2"/>
      <c r="V54" s="6">
        <f t="shared" si="29"/>
        <v>0</v>
      </c>
      <c r="W54" s="2"/>
      <c r="X54" s="7">
        <f t="shared" si="30"/>
        <v>198.84999999999991</v>
      </c>
      <c r="Y54" s="2"/>
      <c r="Z54" s="6">
        <f t="shared" si="31"/>
        <v>5.8485294117647031E-2</v>
      </c>
    </row>
    <row r="55" spans="1:26" s="27" customFormat="1" outlineLevel="1" collapsed="1" x14ac:dyDescent="0.25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11906.73</v>
      </c>
      <c r="E55" s="1"/>
      <c r="F55" s="5">
        <f t="shared" si="24"/>
        <v>0</v>
      </c>
      <c r="G55" s="1"/>
      <c r="H55" s="1">
        <f>SUM(OSRRefH22_8x_0)</f>
        <v>11700</v>
      </c>
      <c r="I55" s="1"/>
      <c r="J55" s="5">
        <f t="shared" si="25"/>
        <v>0</v>
      </c>
      <c r="K55" s="1"/>
      <c r="L55" s="1">
        <f t="shared" si="26"/>
        <v>206.72999999999956</v>
      </c>
      <c r="M55" s="1"/>
      <c r="N55" s="5">
        <f t="shared" si="27"/>
        <v>1.7669230769230732E-2</v>
      </c>
      <c r="O55" s="14"/>
      <c r="P55" s="1">
        <f>SUM(OSRRefP22_8x_0)</f>
        <v>11906.73</v>
      </c>
      <c r="Q55" s="1"/>
      <c r="R55" s="5">
        <f t="shared" si="28"/>
        <v>0</v>
      </c>
      <c r="S55" s="1"/>
      <c r="T55" s="1">
        <f>SUM(OSRRefT22_8x_0)</f>
        <v>11700</v>
      </c>
      <c r="U55" s="1"/>
      <c r="V55" s="5">
        <f t="shared" si="29"/>
        <v>0</v>
      </c>
      <c r="W55" s="1"/>
      <c r="X55" s="1">
        <f t="shared" si="30"/>
        <v>206.72999999999956</v>
      </c>
      <c r="Y55" s="1"/>
      <c r="Z55" s="5">
        <f t="shared" si="31"/>
        <v>1.7669230769230732E-2</v>
      </c>
    </row>
    <row r="56" spans="1:26" s="24" customFormat="1" hidden="1" outlineLevel="2" x14ac:dyDescent="0.25">
      <c r="A56" s="29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24"/>
        <v>0</v>
      </c>
      <c r="G56" s="2"/>
      <c r="H56" s="7">
        <v>500</v>
      </c>
      <c r="I56" s="2"/>
      <c r="J56" s="6">
        <f t="shared" si="25"/>
        <v>0</v>
      </c>
      <c r="K56" s="2"/>
      <c r="L56" s="7">
        <f t="shared" si="26"/>
        <v>-500</v>
      </c>
      <c r="M56" s="2"/>
      <c r="N56" s="6">
        <f t="shared" si="27"/>
        <v>-1</v>
      </c>
      <c r="O56" s="11"/>
      <c r="P56" s="7"/>
      <c r="Q56" s="2"/>
      <c r="R56" s="6">
        <f t="shared" si="28"/>
        <v>0</v>
      </c>
      <c r="S56" s="2"/>
      <c r="T56" s="7">
        <v>500</v>
      </c>
      <c r="U56" s="2"/>
      <c r="V56" s="6">
        <f t="shared" si="29"/>
        <v>0</v>
      </c>
      <c r="W56" s="2"/>
      <c r="X56" s="7">
        <f t="shared" si="30"/>
        <v>-500</v>
      </c>
      <c r="Y56" s="2"/>
      <c r="Z56" s="6">
        <f t="shared" si="31"/>
        <v>-1</v>
      </c>
    </row>
    <row r="57" spans="1:26" s="24" customFormat="1" hidden="1" outlineLevel="2" x14ac:dyDescent="0.25">
      <c r="A57" s="29"/>
      <c r="B57" s="11" t="str">
        <f>CONCATENATE("          ", "6373", " - ", "MAINTENANCE CONTRACTS")</f>
        <v xml:space="preserve">          6373 - MAINTENANCE CONTRACTS</v>
      </c>
      <c r="C57" s="11"/>
      <c r="D57" s="7">
        <v>5028.88</v>
      </c>
      <c r="E57" s="2"/>
      <c r="F57" s="6">
        <f t="shared" si="24"/>
        <v>0</v>
      </c>
      <c r="G57" s="2"/>
      <c r="H57" s="7">
        <v>1200</v>
      </c>
      <c r="I57" s="2"/>
      <c r="J57" s="6">
        <f t="shared" si="25"/>
        <v>0</v>
      </c>
      <c r="K57" s="2"/>
      <c r="L57" s="7">
        <f t="shared" si="26"/>
        <v>3828.88</v>
      </c>
      <c r="M57" s="2"/>
      <c r="N57" s="6">
        <f t="shared" si="27"/>
        <v>3.1907333333333336</v>
      </c>
      <c r="O57" s="11"/>
      <c r="P57" s="7">
        <v>5028.88</v>
      </c>
      <c r="Q57" s="2"/>
      <c r="R57" s="6">
        <f t="shared" si="28"/>
        <v>0</v>
      </c>
      <c r="S57" s="2"/>
      <c r="T57" s="7">
        <v>1200</v>
      </c>
      <c r="U57" s="2"/>
      <c r="V57" s="6">
        <f t="shared" si="29"/>
        <v>0</v>
      </c>
      <c r="W57" s="2"/>
      <c r="X57" s="7">
        <f t="shared" si="30"/>
        <v>3828.88</v>
      </c>
      <c r="Y57" s="2"/>
      <c r="Z57" s="6">
        <f t="shared" si="31"/>
        <v>3.1907333333333336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7">
        <v>6877.85</v>
      </c>
      <c r="E58" s="2"/>
      <c r="F58" s="6">
        <f t="shared" si="24"/>
        <v>0</v>
      </c>
      <c r="G58" s="2"/>
      <c r="H58" s="7">
        <v>10000</v>
      </c>
      <c r="I58" s="2"/>
      <c r="J58" s="6">
        <f t="shared" si="25"/>
        <v>0</v>
      </c>
      <c r="K58" s="2"/>
      <c r="L58" s="7">
        <f t="shared" si="26"/>
        <v>-3122.1499999999996</v>
      </c>
      <c r="M58" s="2"/>
      <c r="N58" s="6">
        <f t="shared" si="27"/>
        <v>-0.31221499999999996</v>
      </c>
      <c r="O58" s="11"/>
      <c r="P58" s="7">
        <v>6877.85</v>
      </c>
      <c r="Q58" s="2"/>
      <c r="R58" s="6">
        <f t="shared" si="28"/>
        <v>0</v>
      </c>
      <c r="S58" s="2"/>
      <c r="T58" s="7">
        <v>10000</v>
      </c>
      <c r="U58" s="2"/>
      <c r="V58" s="6">
        <f t="shared" si="29"/>
        <v>0</v>
      </c>
      <c r="W58" s="2"/>
      <c r="X58" s="7">
        <f t="shared" si="30"/>
        <v>-3122.1499999999996</v>
      </c>
      <c r="Y58" s="2"/>
      <c r="Z58" s="6">
        <f t="shared" si="31"/>
        <v>-0.31221499999999996</v>
      </c>
    </row>
    <row r="59" spans="1:26" s="27" customFormat="1" outlineLevel="1" collapsed="1" x14ac:dyDescent="0.25">
      <c r="A59" s="28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SUM(OSRRefD22_9x_0)</f>
        <v>14017.14</v>
      </c>
      <c r="E59" s="1"/>
      <c r="F59" s="5">
        <f t="shared" ref="F59:F64" si="32">IF(D$12=0,0,D59/D$12)</f>
        <v>0</v>
      </c>
      <c r="G59" s="1"/>
      <c r="H59" s="1">
        <f>SUM(OSRRefH22_9x_0)</f>
        <v>13650</v>
      </c>
      <c r="I59" s="1"/>
      <c r="J59" s="5">
        <f t="shared" ref="J59:J64" si="33">IF(H$12=0,0,H59/H$12)</f>
        <v>0</v>
      </c>
      <c r="K59" s="1"/>
      <c r="L59" s="1">
        <f t="shared" ref="L59:L64" si="34">+D59-H59</f>
        <v>367.13999999999942</v>
      </c>
      <c r="M59" s="1"/>
      <c r="N59" s="5">
        <f t="shared" ref="N59:N64" si="35">IF(H59=0,0,L59/H59)</f>
        <v>2.6896703296703253E-2</v>
      </c>
      <c r="O59" s="14"/>
      <c r="P59" s="1">
        <f>SUM(OSRRefP22_9x_0)</f>
        <v>14017.14</v>
      </c>
      <c r="Q59" s="1"/>
      <c r="R59" s="5">
        <f t="shared" ref="R59:R64" si="36">IF(P$12=0,0,P59/P$12)</f>
        <v>0</v>
      </c>
      <c r="S59" s="1"/>
      <c r="T59" s="1">
        <f>SUM(OSRRefT22_9x_0)</f>
        <v>13650</v>
      </c>
      <c r="U59" s="1"/>
      <c r="V59" s="5">
        <f t="shared" ref="V59:V64" si="37">IF(T$12=0,0,T59/T$12)</f>
        <v>0</v>
      </c>
      <c r="W59" s="1"/>
      <c r="X59" s="1">
        <f t="shared" ref="X59:X64" si="38">+P59-T59</f>
        <v>367.13999999999942</v>
      </c>
      <c r="Y59" s="1"/>
      <c r="Z59" s="5">
        <f t="shared" ref="Z59:Z64" si="39">IF(T59=0,0,X59/T59)</f>
        <v>2.6896703296703253E-2</v>
      </c>
    </row>
    <row r="60" spans="1:26" s="24" customFormat="1" hidden="1" outlineLevel="2" x14ac:dyDescent="0.25">
      <c r="A60" s="29"/>
      <c r="B60" s="11" t="str">
        <f>CONCATENATE("          ", "6282", " - ", "JANITORIAL/EXTERMINATOR EXPENS")</f>
        <v xml:space="preserve">          6282 - JANITORIAL/EXTERMINATOR EXPENS</v>
      </c>
      <c r="C60" s="11"/>
      <c r="D60" s="7">
        <v>626.26</v>
      </c>
      <c r="E60" s="2"/>
      <c r="F60" s="6">
        <f t="shared" si="32"/>
        <v>0</v>
      </c>
      <c r="G60" s="2"/>
      <c r="H60" s="7">
        <v>650</v>
      </c>
      <c r="I60" s="2"/>
      <c r="J60" s="6">
        <f t="shared" si="33"/>
        <v>0</v>
      </c>
      <c r="K60" s="2"/>
      <c r="L60" s="7">
        <f t="shared" si="34"/>
        <v>-23.740000000000009</v>
      </c>
      <c r="M60" s="2"/>
      <c r="N60" s="6">
        <f t="shared" si="35"/>
        <v>-3.6523076923076936E-2</v>
      </c>
      <c r="O60" s="11"/>
      <c r="P60" s="7">
        <v>626.26</v>
      </c>
      <c r="Q60" s="2"/>
      <c r="R60" s="6">
        <f t="shared" si="36"/>
        <v>0</v>
      </c>
      <c r="S60" s="2"/>
      <c r="T60" s="7">
        <v>650</v>
      </c>
      <c r="U60" s="2"/>
      <c r="V60" s="6">
        <f t="shared" si="37"/>
        <v>0</v>
      </c>
      <c r="W60" s="2"/>
      <c r="X60" s="7">
        <f t="shared" si="38"/>
        <v>-23.740000000000009</v>
      </c>
      <c r="Y60" s="2"/>
      <c r="Z60" s="6">
        <f t="shared" si="39"/>
        <v>-3.6523076923076936E-2</v>
      </c>
    </row>
    <row r="61" spans="1:26" s="24" customFormat="1" hidden="1" outlineLevel="2" x14ac:dyDescent="0.25">
      <c r="A61" s="29"/>
      <c r="B61" s="11" t="str">
        <f>CONCATENATE("          ", "6283", " - ", "PLANT SERVICE")</f>
        <v xml:space="preserve">          6283 - PLANT SERVICE</v>
      </c>
      <c r="C61" s="11"/>
      <c r="D61" s="7">
        <v>35.53</v>
      </c>
      <c r="E61" s="2"/>
      <c r="F61" s="6">
        <f t="shared" si="32"/>
        <v>0</v>
      </c>
      <c r="G61" s="2"/>
      <c r="H61" s="7"/>
      <c r="I61" s="2"/>
      <c r="J61" s="6">
        <f t="shared" si="33"/>
        <v>0</v>
      </c>
      <c r="K61" s="2"/>
      <c r="L61" s="7">
        <f t="shared" si="34"/>
        <v>35.53</v>
      </c>
      <c r="M61" s="2"/>
      <c r="N61" s="6">
        <f t="shared" si="35"/>
        <v>0</v>
      </c>
      <c r="O61" s="11"/>
      <c r="P61" s="7">
        <v>35.53</v>
      </c>
      <c r="Q61" s="2"/>
      <c r="R61" s="6">
        <f t="shared" si="36"/>
        <v>0</v>
      </c>
      <c r="S61" s="2"/>
      <c r="T61" s="7"/>
      <c r="U61" s="2"/>
      <c r="V61" s="6">
        <f t="shared" si="37"/>
        <v>0</v>
      </c>
      <c r="W61" s="2"/>
      <c r="X61" s="7">
        <f t="shared" si="38"/>
        <v>35.53</v>
      </c>
      <c r="Y61" s="2"/>
      <c r="Z61" s="6">
        <f t="shared" si="39"/>
        <v>0</v>
      </c>
    </row>
    <row r="62" spans="1:26" s="24" customFormat="1" hidden="1" outlineLevel="2" x14ac:dyDescent="0.25">
      <c r="A62" s="29"/>
      <c r="B62" s="11" t="str">
        <f>CONCATENATE("          ", "6284", " - ", "TRASH REMOVAL EXPENSE")</f>
        <v xml:space="preserve">          6284 - TRASH REMOVAL EXPENSE</v>
      </c>
      <c r="C62" s="11"/>
      <c r="D62" s="7">
        <v>3482</v>
      </c>
      <c r="E62" s="2"/>
      <c r="F62" s="6">
        <f t="shared" si="32"/>
        <v>0</v>
      </c>
      <c r="G62" s="2"/>
      <c r="H62" s="7">
        <v>3000</v>
      </c>
      <c r="I62" s="2"/>
      <c r="J62" s="6">
        <f t="shared" si="33"/>
        <v>0</v>
      </c>
      <c r="K62" s="2"/>
      <c r="L62" s="7">
        <f t="shared" si="34"/>
        <v>482</v>
      </c>
      <c r="M62" s="2"/>
      <c r="N62" s="6">
        <f t="shared" si="35"/>
        <v>0.16066666666666668</v>
      </c>
      <c r="O62" s="11"/>
      <c r="P62" s="7">
        <v>3482</v>
      </c>
      <c r="Q62" s="2"/>
      <c r="R62" s="6">
        <f t="shared" si="36"/>
        <v>0</v>
      </c>
      <c r="S62" s="2"/>
      <c r="T62" s="7">
        <v>3000</v>
      </c>
      <c r="U62" s="2"/>
      <c r="V62" s="6">
        <f t="shared" si="37"/>
        <v>0</v>
      </c>
      <c r="W62" s="2"/>
      <c r="X62" s="7">
        <f t="shared" si="38"/>
        <v>482</v>
      </c>
      <c r="Y62" s="2"/>
      <c r="Z62" s="6">
        <f t="shared" si="39"/>
        <v>0.16066666666666668</v>
      </c>
    </row>
    <row r="63" spans="1:26" s="24" customFormat="1" hidden="1" outlineLevel="2" x14ac:dyDescent="0.25">
      <c r="A63" s="29"/>
      <c r="B63" s="11" t="str">
        <f>CONCATENATE("          ", "6285", " - ", "JANITORIAL SERVICES")</f>
        <v xml:space="preserve">          6285 - JANITORIAL SERVICES</v>
      </c>
      <c r="C63" s="11"/>
      <c r="D63" s="7">
        <v>9853.51</v>
      </c>
      <c r="E63" s="2"/>
      <c r="F63" s="6">
        <f t="shared" si="32"/>
        <v>0</v>
      </c>
      <c r="G63" s="2"/>
      <c r="H63" s="7">
        <v>9500</v>
      </c>
      <c r="I63" s="2"/>
      <c r="J63" s="6">
        <f t="shared" si="33"/>
        <v>0</v>
      </c>
      <c r="K63" s="2"/>
      <c r="L63" s="7">
        <f t="shared" si="34"/>
        <v>353.51000000000022</v>
      </c>
      <c r="M63" s="2"/>
      <c r="N63" s="6">
        <f t="shared" si="35"/>
        <v>3.7211578947368443E-2</v>
      </c>
      <c r="O63" s="11"/>
      <c r="P63" s="7">
        <v>9853.51</v>
      </c>
      <c r="Q63" s="2"/>
      <c r="R63" s="6">
        <f t="shared" si="36"/>
        <v>0</v>
      </c>
      <c r="S63" s="2"/>
      <c r="T63" s="7">
        <v>9500</v>
      </c>
      <c r="U63" s="2"/>
      <c r="V63" s="6">
        <f t="shared" si="37"/>
        <v>0</v>
      </c>
      <c r="W63" s="2"/>
      <c r="X63" s="7">
        <f t="shared" si="38"/>
        <v>353.51000000000022</v>
      </c>
      <c r="Y63" s="2"/>
      <c r="Z63" s="6">
        <f t="shared" si="39"/>
        <v>3.7211578947368443E-2</v>
      </c>
    </row>
    <row r="64" spans="1:26" s="24" customFormat="1" hidden="1" outlineLevel="2" x14ac:dyDescent="0.25">
      <c r="A64" s="29"/>
      <c r="B64" s="11" t="str">
        <f>CONCATENATE("          ", "6286", " - ", "LAUNDRY EXPENSE")</f>
        <v xml:space="preserve">          6286 - LAUNDRY EXPENSE</v>
      </c>
      <c r="C64" s="11"/>
      <c r="D64" s="7">
        <v>19.84</v>
      </c>
      <c r="E64" s="2"/>
      <c r="F64" s="6">
        <f t="shared" si="32"/>
        <v>0</v>
      </c>
      <c r="G64" s="2"/>
      <c r="H64" s="7">
        <v>500</v>
      </c>
      <c r="I64" s="2"/>
      <c r="J64" s="6">
        <f t="shared" si="33"/>
        <v>0</v>
      </c>
      <c r="K64" s="2"/>
      <c r="L64" s="7">
        <f t="shared" si="34"/>
        <v>-480.16</v>
      </c>
      <c r="M64" s="2"/>
      <c r="N64" s="6">
        <f t="shared" si="35"/>
        <v>-0.96032000000000006</v>
      </c>
      <c r="O64" s="11"/>
      <c r="P64" s="7">
        <v>19.84</v>
      </c>
      <c r="Q64" s="2"/>
      <c r="R64" s="6">
        <f t="shared" si="36"/>
        <v>0</v>
      </c>
      <c r="S64" s="2"/>
      <c r="T64" s="7">
        <v>500</v>
      </c>
      <c r="U64" s="2"/>
      <c r="V64" s="6">
        <f t="shared" si="37"/>
        <v>0</v>
      </c>
      <c r="W64" s="2"/>
      <c r="X64" s="7">
        <f t="shared" si="38"/>
        <v>-480.16</v>
      </c>
      <c r="Y64" s="2"/>
      <c r="Z64" s="6">
        <f t="shared" si="39"/>
        <v>-0.96032000000000006</v>
      </c>
    </row>
    <row r="65" spans="1:26" s="27" customFormat="1" outlineLevel="1" collapsed="1" x14ac:dyDescent="0.25">
      <c r="A65" s="28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SUM(OSRRefD22_10x_0)</f>
        <v>2755.94</v>
      </c>
      <c r="E65" s="1"/>
      <c r="F65" s="5">
        <f t="shared" ref="F65:F70" si="40">IF(D$12=0,0,D65/D$12)</f>
        <v>0</v>
      </c>
      <c r="G65" s="1"/>
      <c r="H65" s="1">
        <f>SUM(OSRRefH22_10x_0)</f>
        <v>5400</v>
      </c>
      <c r="I65" s="1"/>
      <c r="J65" s="5">
        <f t="shared" ref="J65:J70" si="41">IF(H$12=0,0,H65/H$12)</f>
        <v>0</v>
      </c>
      <c r="K65" s="1"/>
      <c r="L65" s="1">
        <f t="shared" ref="L65:L70" si="42">+D65-H65</f>
        <v>-2644.06</v>
      </c>
      <c r="M65" s="1"/>
      <c r="N65" s="5">
        <f t="shared" ref="N65:N70" si="43">IF(H65=0,0,L65/H65)</f>
        <v>-0.48964074074074071</v>
      </c>
      <c r="O65" s="14"/>
      <c r="P65" s="1">
        <f>SUM(OSRRefP22_10x_0)</f>
        <v>2755.94</v>
      </c>
      <c r="Q65" s="1"/>
      <c r="R65" s="5">
        <f t="shared" ref="R65:R70" si="44">IF(P$12=0,0,P65/P$12)</f>
        <v>0</v>
      </c>
      <c r="S65" s="1"/>
      <c r="T65" s="1">
        <f>SUM(OSRRefT22_10x_0)</f>
        <v>5400</v>
      </c>
      <c r="U65" s="1"/>
      <c r="V65" s="5">
        <f t="shared" ref="V65:V70" si="45">IF(T$12=0,0,T65/T$12)</f>
        <v>0</v>
      </c>
      <c r="W65" s="1"/>
      <c r="X65" s="1">
        <f t="shared" ref="X65:X70" si="46">+P65-T65</f>
        <v>-2644.06</v>
      </c>
      <c r="Y65" s="1"/>
      <c r="Z65" s="5">
        <f t="shared" ref="Z65:Z70" si="47">IF(T65=0,0,X65/T65)</f>
        <v>-0.48964074074074071</v>
      </c>
    </row>
    <row r="66" spans="1:26" s="24" customFormat="1" hidden="1" outlineLevel="2" x14ac:dyDescent="0.25">
      <c r="A66" s="29"/>
      <c r="B66" s="11" t="str">
        <f>CONCATENATE("          ", "6237", " - ", "JANITORIAL SUPPLIES")</f>
        <v xml:space="preserve">          6237 - JANITORIAL SUPPLIES</v>
      </c>
      <c r="C66" s="11"/>
      <c r="D66" s="7">
        <v>3210.12</v>
      </c>
      <c r="E66" s="2"/>
      <c r="F66" s="6">
        <f t="shared" si="40"/>
        <v>0</v>
      </c>
      <c r="G66" s="2"/>
      <c r="H66" s="7">
        <v>3000</v>
      </c>
      <c r="I66" s="2"/>
      <c r="J66" s="6">
        <f t="shared" si="41"/>
        <v>0</v>
      </c>
      <c r="K66" s="2"/>
      <c r="L66" s="7">
        <f t="shared" si="42"/>
        <v>210.11999999999989</v>
      </c>
      <c r="M66" s="2"/>
      <c r="N66" s="6">
        <f t="shared" si="43"/>
        <v>7.0039999999999963E-2</v>
      </c>
      <c r="O66" s="11"/>
      <c r="P66" s="7">
        <v>3210.12</v>
      </c>
      <c r="Q66" s="2"/>
      <c r="R66" s="6">
        <f t="shared" si="44"/>
        <v>0</v>
      </c>
      <c r="S66" s="2"/>
      <c r="T66" s="7">
        <v>3000</v>
      </c>
      <c r="U66" s="2"/>
      <c r="V66" s="6">
        <f t="shared" si="45"/>
        <v>0</v>
      </c>
      <c r="W66" s="2"/>
      <c r="X66" s="7">
        <f t="shared" si="46"/>
        <v>210.11999999999989</v>
      </c>
      <c r="Y66" s="2"/>
      <c r="Z66" s="6">
        <f t="shared" si="47"/>
        <v>7.0039999999999963E-2</v>
      </c>
    </row>
    <row r="67" spans="1:26" s="24" customFormat="1" hidden="1" outlineLevel="2" x14ac:dyDescent="0.25">
      <c r="A67" s="29"/>
      <c r="B67" s="11" t="str">
        <f>CONCATENATE("          ", "6239", " - ", "KITCHEN SUPPLIES")</f>
        <v xml:space="preserve">          6239 - KITCHEN SUPPLIES</v>
      </c>
      <c r="C67" s="11"/>
      <c r="D67" s="7">
        <v>445.73</v>
      </c>
      <c r="E67" s="2"/>
      <c r="F67" s="6">
        <f t="shared" si="40"/>
        <v>0</v>
      </c>
      <c r="G67" s="2"/>
      <c r="H67" s="7">
        <v>1500</v>
      </c>
      <c r="I67" s="2"/>
      <c r="J67" s="6">
        <f t="shared" si="41"/>
        <v>0</v>
      </c>
      <c r="K67" s="2"/>
      <c r="L67" s="7">
        <f t="shared" si="42"/>
        <v>-1054.27</v>
      </c>
      <c r="M67" s="2"/>
      <c r="N67" s="6">
        <f t="shared" si="43"/>
        <v>-0.70284666666666662</v>
      </c>
      <c r="O67" s="11"/>
      <c r="P67" s="7">
        <v>445.73</v>
      </c>
      <c r="Q67" s="2"/>
      <c r="R67" s="6">
        <f t="shared" si="44"/>
        <v>0</v>
      </c>
      <c r="S67" s="2"/>
      <c r="T67" s="7">
        <v>1500</v>
      </c>
      <c r="U67" s="2"/>
      <c r="V67" s="6">
        <f t="shared" si="45"/>
        <v>0</v>
      </c>
      <c r="W67" s="2"/>
      <c r="X67" s="7">
        <f t="shared" si="46"/>
        <v>-1054.27</v>
      </c>
      <c r="Y67" s="2"/>
      <c r="Z67" s="6">
        <f t="shared" si="47"/>
        <v>-0.70284666666666662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7">
        <v>-1132.72</v>
      </c>
      <c r="E68" s="2"/>
      <c r="F68" s="6">
        <f t="shared" si="40"/>
        <v>0</v>
      </c>
      <c r="G68" s="2"/>
      <c r="H68" s="7">
        <v>500</v>
      </c>
      <c r="I68" s="2"/>
      <c r="J68" s="6">
        <f t="shared" si="41"/>
        <v>0</v>
      </c>
      <c r="K68" s="2"/>
      <c r="L68" s="7">
        <f t="shared" si="42"/>
        <v>-1632.72</v>
      </c>
      <c r="M68" s="2"/>
      <c r="N68" s="6">
        <f t="shared" si="43"/>
        <v>-3.2654399999999999</v>
      </c>
      <c r="O68" s="11"/>
      <c r="P68" s="7">
        <v>-1132.72</v>
      </c>
      <c r="Q68" s="2"/>
      <c r="R68" s="6">
        <f t="shared" si="44"/>
        <v>0</v>
      </c>
      <c r="S68" s="2"/>
      <c r="T68" s="7">
        <v>500</v>
      </c>
      <c r="U68" s="2"/>
      <c r="V68" s="6">
        <f t="shared" si="45"/>
        <v>0</v>
      </c>
      <c r="W68" s="2"/>
      <c r="X68" s="7">
        <f t="shared" si="46"/>
        <v>-1632.72</v>
      </c>
      <c r="Y68" s="2"/>
      <c r="Z68" s="6">
        <f t="shared" si="47"/>
        <v>-3.2654399999999999</v>
      </c>
    </row>
    <row r="69" spans="1:26" s="24" customFormat="1" hidden="1" outlineLevel="2" x14ac:dyDescent="0.25">
      <c r="A69" s="29"/>
      <c r="B69" s="11" t="str">
        <f>CONCATENATE("          ", "6243", " - ", "PAPER SUPPLIES")</f>
        <v xml:space="preserve">          6243 - PAPER SUPPLIES</v>
      </c>
      <c r="C69" s="11"/>
      <c r="D69" s="7"/>
      <c r="E69" s="2"/>
      <c r="F69" s="6">
        <f t="shared" si="40"/>
        <v>0</v>
      </c>
      <c r="G69" s="2"/>
      <c r="H69" s="7">
        <v>400</v>
      </c>
      <c r="I69" s="2"/>
      <c r="J69" s="6">
        <f t="shared" si="41"/>
        <v>0</v>
      </c>
      <c r="K69" s="2"/>
      <c r="L69" s="7">
        <f t="shared" si="42"/>
        <v>-400</v>
      </c>
      <c r="M69" s="2"/>
      <c r="N69" s="6">
        <f t="shared" si="43"/>
        <v>-1</v>
      </c>
      <c r="O69" s="11"/>
      <c r="P69" s="7"/>
      <c r="Q69" s="2"/>
      <c r="R69" s="6">
        <f t="shared" si="44"/>
        <v>0</v>
      </c>
      <c r="S69" s="2"/>
      <c r="T69" s="7">
        <v>400</v>
      </c>
      <c r="U69" s="2"/>
      <c r="V69" s="6">
        <f t="shared" si="45"/>
        <v>0</v>
      </c>
      <c r="W69" s="2"/>
      <c r="X69" s="7">
        <f t="shared" si="46"/>
        <v>-400</v>
      </c>
      <c r="Y69" s="2"/>
      <c r="Z69" s="6">
        <f t="shared" si="47"/>
        <v>-1</v>
      </c>
    </row>
    <row r="70" spans="1:26" s="24" customFormat="1" hidden="1" outlineLevel="2" x14ac:dyDescent="0.25">
      <c r="A70" s="29"/>
      <c r="B70" s="11" t="str">
        <f>CONCATENATE("          ", "6248", " - ", "UNIFORMS")</f>
        <v xml:space="preserve">          6248 - UNIFORMS</v>
      </c>
      <c r="C70" s="11"/>
      <c r="D70" s="7">
        <v>232.81</v>
      </c>
      <c r="E70" s="2"/>
      <c r="F70" s="6">
        <f t="shared" si="40"/>
        <v>0</v>
      </c>
      <c r="G70" s="2"/>
      <c r="H70" s="7"/>
      <c r="I70" s="2"/>
      <c r="J70" s="6">
        <f t="shared" si="41"/>
        <v>0</v>
      </c>
      <c r="K70" s="2"/>
      <c r="L70" s="7">
        <f t="shared" si="42"/>
        <v>232.81</v>
      </c>
      <c r="M70" s="2"/>
      <c r="N70" s="6">
        <f t="shared" si="43"/>
        <v>0</v>
      </c>
      <c r="O70" s="11"/>
      <c r="P70" s="7">
        <v>232.81</v>
      </c>
      <c r="Q70" s="2"/>
      <c r="R70" s="6">
        <f t="shared" si="44"/>
        <v>0</v>
      </c>
      <c r="S70" s="2"/>
      <c r="T70" s="7"/>
      <c r="U70" s="2"/>
      <c r="V70" s="6">
        <f t="shared" si="45"/>
        <v>0</v>
      </c>
      <c r="W70" s="2"/>
      <c r="X70" s="7">
        <f t="shared" si="46"/>
        <v>232.81</v>
      </c>
      <c r="Y70" s="2"/>
      <c r="Z70" s="6">
        <f t="shared" si="47"/>
        <v>0</v>
      </c>
    </row>
    <row r="71" spans="1:26" s="27" customFormat="1" outlineLevel="1" collapsed="1" x14ac:dyDescent="0.25">
      <c r="A71" s="28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SUM(OSRRefD22_11x_0)</f>
        <v>434.05</v>
      </c>
      <c r="E71" s="1"/>
      <c r="F71" s="5">
        <f t="shared" ref="F71:F78" si="48">IF(D$12=0,0,D71/D$12)</f>
        <v>0</v>
      </c>
      <c r="G71" s="1"/>
      <c r="H71" s="1">
        <f>SUM(OSRRefH22_11x_0)</f>
        <v>500</v>
      </c>
      <c r="I71" s="1"/>
      <c r="J71" s="5">
        <f t="shared" ref="J71:J78" si="49">IF(H$12=0,0,H71/H$12)</f>
        <v>0</v>
      </c>
      <c r="K71" s="1"/>
      <c r="L71" s="1">
        <f t="shared" ref="L71:L78" si="50">+D71-H71</f>
        <v>-65.949999999999989</v>
      </c>
      <c r="M71" s="1"/>
      <c r="N71" s="5">
        <f t="shared" ref="N71:N78" si="51">IF(H71=0,0,L71/H71)</f>
        <v>-0.13189999999999999</v>
      </c>
      <c r="O71" s="14"/>
      <c r="P71" s="1">
        <f>SUM(OSRRefP22_11x_0)</f>
        <v>434.05</v>
      </c>
      <c r="Q71" s="1"/>
      <c r="R71" s="5">
        <f t="shared" ref="R71:R78" si="52">IF(P$12=0,0,P71/P$12)</f>
        <v>0</v>
      </c>
      <c r="S71" s="1"/>
      <c r="T71" s="1">
        <f>SUM(OSRRefT22_11x_0)</f>
        <v>500</v>
      </c>
      <c r="U71" s="1"/>
      <c r="V71" s="5">
        <f t="shared" ref="V71:V78" si="53">IF(T$12=0,0,T71/T$12)</f>
        <v>0</v>
      </c>
      <c r="W71" s="1"/>
      <c r="X71" s="1">
        <f t="shared" ref="X71:X78" si="54">+P71-T71</f>
        <v>-65.949999999999989</v>
      </c>
      <c r="Y71" s="1"/>
      <c r="Z71" s="5">
        <f t="shared" ref="Z71:Z78" si="55">IF(T71=0,0,X71/T71)</f>
        <v>-0.13189999999999999</v>
      </c>
    </row>
    <row r="72" spans="1:26" s="24" customFormat="1" hidden="1" outlineLevel="2" x14ac:dyDescent="0.25">
      <c r="A72" s="29"/>
      <c r="B72" s="11" t="str">
        <f>CONCATENATE("          ", "6309", " - ", "TELEPHONE")</f>
        <v xml:space="preserve">          6309 - TELEPHONE</v>
      </c>
      <c r="C72" s="11"/>
      <c r="D72" s="7">
        <v>434.05</v>
      </c>
      <c r="E72" s="2"/>
      <c r="F72" s="6">
        <f t="shared" si="48"/>
        <v>0</v>
      </c>
      <c r="G72" s="2"/>
      <c r="H72" s="7">
        <v>500</v>
      </c>
      <c r="I72" s="2"/>
      <c r="J72" s="6">
        <f t="shared" si="49"/>
        <v>0</v>
      </c>
      <c r="K72" s="2"/>
      <c r="L72" s="7">
        <f t="shared" si="50"/>
        <v>-65.949999999999989</v>
      </c>
      <c r="M72" s="2"/>
      <c r="N72" s="6">
        <f t="shared" si="51"/>
        <v>-0.13189999999999999</v>
      </c>
      <c r="O72" s="11"/>
      <c r="P72" s="7">
        <v>434.05</v>
      </c>
      <c r="Q72" s="2"/>
      <c r="R72" s="6">
        <f t="shared" si="52"/>
        <v>0</v>
      </c>
      <c r="S72" s="2"/>
      <c r="T72" s="7">
        <v>500</v>
      </c>
      <c r="U72" s="2"/>
      <c r="V72" s="6">
        <f t="shared" si="53"/>
        <v>0</v>
      </c>
      <c r="W72" s="2"/>
      <c r="X72" s="7">
        <f t="shared" si="54"/>
        <v>-65.949999999999989</v>
      </c>
      <c r="Y72" s="2"/>
      <c r="Z72" s="6">
        <f t="shared" si="55"/>
        <v>-0.13189999999999999</v>
      </c>
    </row>
    <row r="73" spans="1:26" s="27" customFormat="1" outlineLevel="1" collapsed="1" x14ac:dyDescent="0.25">
      <c r="A73" s="28"/>
      <c r="B73" s="14" t="str">
        <f>CONCATENATE("     ","Training                                          ")</f>
        <v xml:space="preserve">     Training                                          </v>
      </c>
      <c r="C73" s="14"/>
      <c r="D73" s="1">
        <f>SUM(OSRRefD22_12x_0)</f>
        <v>240</v>
      </c>
      <c r="E73" s="1"/>
      <c r="F73" s="5">
        <f t="shared" si="48"/>
        <v>0</v>
      </c>
      <c r="G73" s="1"/>
      <c r="H73" s="1">
        <f>SUM(OSRRefH22_12x_0)</f>
        <v>0</v>
      </c>
      <c r="I73" s="1"/>
      <c r="J73" s="5">
        <f t="shared" si="49"/>
        <v>0</v>
      </c>
      <c r="K73" s="1"/>
      <c r="L73" s="1">
        <f t="shared" si="50"/>
        <v>240</v>
      </c>
      <c r="M73" s="1"/>
      <c r="N73" s="5">
        <f t="shared" si="51"/>
        <v>0</v>
      </c>
      <c r="O73" s="14"/>
      <c r="P73" s="1">
        <f>SUM(OSRRefP22_12x_0)</f>
        <v>240</v>
      </c>
      <c r="Q73" s="1"/>
      <c r="R73" s="5">
        <f t="shared" si="52"/>
        <v>0</v>
      </c>
      <c r="S73" s="1"/>
      <c r="T73" s="1">
        <f>SUM(OSRRefT22_12x_0)</f>
        <v>0</v>
      </c>
      <c r="U73" s="1"/>
      <c r="V73" s="5">
        <f t="shared" si="53"/>
        <v>0</v>
      </c>
      <c r="W73" s="1"/>
      <c r="X73" s="1">
        <f t="shared" si="54"/>
        <v>240</v>
      </c>
      <c r="Y73" s="1"/>
      <c r="Z73" s="5">
        <f t="shared" si="55"/>
        <v>0</v>
      </c>
    </row>
    <row r="74" spans="1:26" s="24" customFormat="1" hidden="1" outlineLevel="2" x14ac:dyDescent="0.25">
      <c r="A74" s="29"/>
      <c r="B74" s="11" t="str">
        <f>CONCATENATE("          ", "6376", " - ", "TRAINING")</f>
        <v xml:space="preserve">          6376 - TRAINING</v>
      </c>
      <c r="C74" s="11"/>
      <c r="D74" s="7">
        <v>240</v>
      </c>
      <c r="E74" s="2"/>
      <c r="F74" s="6">
        <f t="shared" si="48"/>
        <v>0</v>
      </c>
      <c r="G74" s="2"/>
      <c r="H74" s="7"/>
      <c r="I74" s="2"/>
      <c r="J74" s="6">
        <f t="shared" si="49"/>
        <v>0</v>
      </c>
      <c r="K74" s="2"/>
      <c r="L74" s="7">
        <f t="shared" si="50"/>
        <v>240</v>
      </c>
      <c r="M74" s="2"/>
      <c r="N74" s="6">
        <f t="shared" si="51"/>
        <v>0</v>
      </c>
      <c r="O74" s="11"/>
      <c r="P74" s="7">
        <v>240</v>
      </c>
      <c r="Q74" s="2"/>
      <c r="R74" s="6">
        <f t="shared" si="52"/>
        <v>0</v>
      </c>
      <c r="S74" s="2"/>
      <c r="T74" s="7"/>
      <c r="U74" s="2"/>
      <c r="V74" s="6">
        <f t="shared" si="53"/>
        <v>0</v>
      </c>
      <c r="W74" s="2"/>
      <c r="X74" s="7">
        <f t="shared" si="54"/>
        <v>240</v>
      </c>
      <c r="Y74" s="2"/>
      <c r="Z74" s="6">
        <f t="shared" si="55"/>
        <v>0</v>
      </c>
    </row>
    <row r="75" spans="1:26" s="27" customFormat="1" outlineLevel="1" collapsed="1" x14ac:dyDescent="0.25">
      <c r="A75" s="28"/>
      <c r="B75" s="14" t="str">
        <f>CONCATENATE("     ","Travel                                            ")</f>
        <v xml:space="preserve">     Travel                                            </v>
      </c>
      <c r="C75" s="14"/>
      <c r="D75" s="1">
        <f>SUM(OSRRefD22_13x_0)</f>
        <v>764.32</v>
      </c>
      <c r="E75" s="1"/>
      <c r="F75" s="5">
        <f t="shared" si="48"/>
        <v>0</v>
      </c>
      <c r="G75" s="1"/>
      <c r="H75" s="1">
        <f>SUM(OSRRefH22_13x_0)</f>
        <v>0</v>
      </c>
      <c r="I75" s="1"/>
      <c r="J75" s="5">
        <f t="shared" si="49"/>
        <v>0</v>
      </c>
      <c r="K75" s="1"/>
      <c r="L75" s="1">
        <f t="shared" si="50"/>
        <v>764.32</v>
      </c>
      <c r="M75" s="1"/>
      <c r="N75" s="5">
        <f t="shared" si="51"/>
        <v>0</v>
      </c>
      <c r="O75" s="14"/>
      <c r="P75" s="1">
        <f>SUM(OSRRefP22_13x_0)</f>
        <v>764.32</v>
      </c>
      <c r="Q75" s="1"/>
      <c r="R75" s="5">
        <f t="shared" si="52"/>
        <v>0</v>
      </c>
      <c r="S75" s="1"/>
      <c r="T75" s="1">
        <f>SUM(OSRRefT22_13x_0)</f>
        <v>0</v>
      </c>
      <c r="U75" s="1"/>
      <c r="V75" s="5">
        <f t="shared" si="53"/>
        <v>0</v>
      </c>
      <c r="W75" s="1"/>
      <c r="X75" s="1">
        <f t="shared" si="54"/>
        <v>764.32</v>
      </c>
      <c r="Y75" s="1"/>
      <c r="Z75" s="5">
        <f t="shared" si="55"/>
        <v>0</v>
      </c>
    </row>
    <row r="76" spans="1:26" s="24" customFormat="1" hidden="1" outlineLevel="2" x14ac:dyDescent="0.25">
      <c r="A76" s="29"/>
      <c r="B76" s="11" t="str">
        <f>CONCATENATE("          ", "6292", " - ", "TRAVEL/CONFERENCE")</f>
        <v xml:space="preserve">          6292 - TRAVEL/CONFERENCE</v>
      </c>
      <c r="C76" s="11"/>
      <c r="D76" s="7">
        <v>505.23</v>
      </c>
      <c r="E76" s="2"/>
      <c r="F76" s="6">
        <f t="shared" si="48"/>
        <v>0</v>
      </c>
      <c r="G76" s="2"/>
      <c r="H76" s="7"/>
      <c r="I76" s="2"/>
      <c r="J76" s="6">
        <f t="shared" si="49"/>
        <v>0</v>
      </c>
      <c r="K76" s="2"/>
      <c r="L76" s="7">
        <f t="shared" si="50"/>
        <v>505.23</v>
      </c>
      <c r="M76" s="2"/>
      <c r="N76" s="6">
        <f t="shared" si="51"/>
        <v>0</v>
      </c>
      <c r="O76" s="11"/>
      <c r="P76" s="7">
        <v>505.23</v>
      </c>
      <c r="Q76" s="2"/>
      <c r="R76" s="6">
        <f t="shared" si="52"/>
        <v>0</v>
      </c>
      <c r="S76" s="2"/>
      <c r="T76" s="7"/>
      <c r="U76" s="2"/>
      <c r="V76" s="6">
        <f t="shared" si="53"/>
        <v>0</v>
      </c>
      <c r="W76" s="2"/>
      <c r="X76" s="7">
        <f t="shared" si="54"/>
        <v>505.23</v>
      </c>
      <c r="Y76" s="2"/>
      <c r="Z76" s="6">
        <f t="shared" si="55"/>
        <v>0</v>
      </c>
    </row>
    <row r="77" spans="1:26" s="24" customFormat="1" hidden="1" outlineLevel="2" x14ac:dyDescent="0.25">
      <c r="A77" s="29"/>
      <c r="B77" s="11" t="str">
        <f>CONCATENATE("          ", "6294", " - ", "TRAVEL OPERATIONAL")</f>
        <v xml:space="preserve">          6294 - TRAVEL OPERATIONAL</v>
      </c>
      <c r="C77" s="11"/>
      <c r="D77" s="7">
        <v>45.49</v>
      </c>
      <c r="E77" s="2"/>
      <c r="F77" s="6">
        <f t="shared" si="48"/>
        <v>0</v>
      </c>
      <c r="G77" s="2"/>
      <c r="H77" s="7"/>
      <c r="I77" s="2"/>
      <c r="J77" s="6">
        <f t="shared" si="49"/>
        <v>0</v>
      </c>
      <c r="K77" s="2"/>
      <c r="L77" s="7">
        <f t="shared" si="50"/>
        <v>45.49</v>
      </c>
      <c r="M77" s="2"/>
      <c r="N77" s="6">
        <f t="shared" si="51"/>
        <v>0</v>
      </c>
      <c r="O77" s="11"/>
      <c r="P77" s="7">
        <v>45.49</v>
      </c>
      <c r="Q77" s="2"/>
      <c r="R77" s="6">
        <f t="shared" si="52"/>
        <v>0</v>
      </c>
      <c r="S77" s="2"/>
      <c r="T77" s="7"/>
      <c r="U77" s="2"/>
      <c r="V77" s="6">
        <f t="shared" si="53"/>
        <v>0</v>
      </c>
      <c r="W77" s="2"/>
      <c r="X77" s="7">
        <f t="shared" si="54"/>
        <v>45.49</v>
      </c>
      <c r="Y77" s="2"/>
      <c r="Z77" s="6">
        <f t="shared" si="55"/>
        <v>0</v>
      </c>
    </row>
    <row r="78" spans="1:26" s="24" customFormat="1" hidden="1" outlineLevel="2" x14ac:dyDescent="0.25">
      <c r="A78" s="29"/>
      <c r="B78" s="11" t="str">
        <f>CONCATENATE("          ", "6298", " - ", "VEHICLE MILEAGE")</f>
        <v xml:space="preserve">          6298 - VEHICLE MILEAGE</v>
      </c>
      <c r="C78" s="11"/>
      <c r="D78" s="7">
        <v>213.6</v>
      </c>
      <c r="E78" s="2"/>
      <c r="F78" s="6">
        <f t="shared" si="48"/>
        <v>0</v>
      </c>
      <c r="G78" s="2"/>
      <c r="H78" s="7"/>
      <c r="I78" s="2"/>
      <c r="J78" s="6">
        <f t="shared" si="49"/>
        <v>0</v>
      </c>
      <c r="K78" s="2"/>
      <c r="L78" s="7">
        <f t="shared" si="50"/>
        <v>213.6</v>
      </c>
      <c r="M78" s="2"/>
      <c r="N78" s="6">
        <f t="shared" si="51"/>
        <v>0</v>
      </c>
      <c r="O78" s="11"/>
      <c r="P78" s="7">
        <v>213.6</v>
      </c>
      <c r="Q78" s="2"/>
      <c r="R78" s="6">
        <f t="shared" si="52"/>
        <v>0</v>
      </c>
      <c r="S78" s="2"/>
      <c r="T78" s="7"/>
      <c r="U78" s="2"/>
      <c r="V78" s="6">
        <f t="shared" si="53"/>
        <v>0</v>
      </c>
      <c r="W78" s="2"/>
      <c r="X78" s="7">
        <f t="shared" si="54"/>
        <v>213.6</v>
      </c>
      <c r="Y78" s="2"/>
      <c r="Z78" s="6">
        <f t="shared" si="55"/>
        <v>0</v>
      </c>
    </row>
    <row r="79" spans="1:26" s="27" customFormat="1" outlineLevel="1" collapsed="1" x14ac:dyDescent="0.25">
      <c r="A79" s="28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SUM(OSRRefD22_14x_0)</f>
        <v>11354</v>
      </c>
      <c r="E79" s="1"/>
      <c r="F79" s="5">
        <f t="shared" ref="F79:F80" si="56">IF(D$12=0,0,D79/D$12)</f>
        <v>0</v>
      </c>
      <c r="G79" s="1"/>
      <c r="H79" s="1">
        <f>SUM(OSRRefH22_14x_0)</f>
        <v>15000</v>
      </c>
      <c r="I79" s="1"/>
      <c r="J79" s="5">
        <f t="shared" ref="J79:J80" si="57">IF(H$12=0,0,H79/H$12)</f>
        <v>0</v>
      </c>
      <c r="K79" s="1"/>
      <c r="L79" s="1">
        <f t="shared" ref="L79:L80" si="58">+D79-H79</f>
        <v>-3646</v>
      </c>
      <c r="M79" s="1"/>
      <c r="N79" s="5">
        <f t="shared" ref="N79:N80" si="59">IF(H79=0,0,L79/H79)</f>
        <v>-0.24306666666666665</v>
      </c>
      <c r="O79" s="14"/>
      <c r="P79" s="1">
        <f>SUM(OSRRefP22_14x_0)</f>
        <v>11354</v>
      </c>
      <c r="Q79" s="1"/>
      <c r="R79" s="5">
        <f t="shared" ref="R79:R80" si="60">IF(P$12=0,0,P79/P$12)</f>
        <v>0</v>
      </c>
      <c r="S79" s="1"/>
      <c r="T79" s="1">
        <f>SUM(OSRRefT22_14x_0)</f>
        <v>15000</v>
      </c>
      <c r="U79" s="1"/>
      <c r="V79" s="5">
        <f t="shared" ref="V79:V80" si="61">IF(T$12=0,0,T79/T$12)</f>
        <v>0</v>
      </c>
      <c r="W79" s="1"/>
      <c r="X79" s="1">
        <f t="shared" ref="X79:X80" si="62">+P79-T79</f>
        <v>-3646</v>
      </c>
      <c r="Y79" s="1"/>
      <c r="Z79" s="5">
        <f t="shared" ref="Z79:Z80" si="63">IF(T79=0,0,X79/T79)</f>
        <v>-0.24306666666666665</v>
      </c>
    </row>
    <row r="80" spans="1:26" s="24" customFormat="1" hidden="1" outlineLevel="2" x14ac:dyDescent="0.25">
      <c r="A80" s="29"/>
      <c r="B80" s="11" t="str">
        <f>CONCATENATE("          ", "6274", " - ", "UTILITIES")</f>
        <v xml:space="preserve">          6274 - UTILITIES</v>
      </c>
      <c r="C80" s="11"/>
      <c r="D80" s="7">
        <v>11354</v>
      </c>
      <c r="E80" s="2"/>
      <c r="F80" s="6">
        <f t="shared" si="56"/>
        <v>0</v>
      </c>
      <c r="G80" s="2"/>
      <c r="H80" s="7">
        <v>15000</v>
      </c>
      <c r="I80" s="2"/>
      <c r="J80" s="6">
        <f t="shared" si="57"/>
        <v>0</v>
      </c>
      <c r="K80" s="2"/>
      <c r="L80" s="7">
        <f t="shared" si="58"/>
        <v>-3646</v>
      </c>
      <c r="M80" s="2"/>
      <c r="N80" s="6">
        <f t="shared" si="59"/>
        <v>-0.24306666666666665</v>
      </c>
      <c r="O80" s="11"/>
      <c r="P80" s="7">
        <v>11354</v>
      </c>
      <c r="Q80" s="2"/>
      <c r="R80" s="6">
        <f t="shared" si="60"/>
        <v>0</v>
      </c>
      <c r="S80" s="2"/>
      <c r="T80" s="7">
        <v>15000</v>
      </c>
      <c r="U80" s="2"/>
      <c r="V80" s="6">
        <f t="shared" si="61"/>
        <v>0</v>
      </c>
      <c r="W80" s="2"/>
      <c r="X80" s="7">
        <f t="shared" si="62"/>
        <v>-3646</v>
      </c>
      <c r="Y80" s="2"/>
      <c r="Z80" s="6">
        <f t="shared" si="63"/>
        <v>-0.24306666666666665</v>
      </c>
    </row>
    <row r="81" spans="1:26" s="57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5" t="s">
        <v>0</v>
      </c>
      <c r="C82" s="10"/>
      <c r="D82" s="4">
        <f>SUM(OSRRefD25x_0)</f>
        <v>2412.86</v>
      </c>
      <c r="E82" s="4"/>
      <c r="F82" s="12">
        <f t="shared" ref="F82:F84" si="64">IF(D$12=0,0,D82/D$12)</f>
        <v>0</v>
      </c>
      <c r="G82" s="4"/>
      <c r="H82" s="4">
        <f>SUM(OSRRefH25x_0)</f>
        <v>1288</v>
      </c>
      <c r="I82" s="4"/>
      <c r="J82" s="12">
        <f t="shared" ref="J82:J84" si="65">IF(H$12=0,0,H82/H$12)</f>
        <v>0</v>
      </c>
      <c r="K82" s="4"/>
      <c r="L82" s="4">
        <f t="shared" ref="L82:L84" si="66">+D82-H82</f>
        <v>1124.8600000000001</v>
      </c>
      <c r="M82" s="4"/>
      <c r="N82" s="12">
        <f t="shared" ref="N82:N84" si="67">IF(H82=0,0,L82/H82)</f>
        <v>0.87333850931677026</v>
      </c>
      <c r="O82" s="10"/>
      <c r="P82" s="4">
        <f>SUM(OSRRefP25x_0)</f>
        <v>2412.86</v>
      </c>
      <c r="Q82" s="4"/>
      <c r="R82" s="12">
        <f t="shared" ref="R82:R84" si="68">IF(P$12=0,0,P82/P$12)</f>
        <v>0</v>
      </c>
      <c r="S82" s="4"/>
      <c r="T82" s="4">
        <f>SUM(OSRRefT25x_0)</f>
        <v>1288</v>
      </c>
      <c r="U82" s="4"/>
      <c r="V82" s="12">
        <f t="shared" ref="V82:V84" si="69">IF(T$12=0,0,T82/T$12)</f>
        <v>0</v>
      </c>
      <c r="W82" s="4"/>
      <c r="X82" s="4">
        <f t="shared" ref="X82:X84" si="70">+P82-T82</f>
        <v>1124.8600000000001</v>
      </c>
      <c r="Y82" s="4"/>
      <c r="Z82" s="12">
        <f t="shared" ref="Z82:Z84" si="71">IF(T82=0,0,X82/T82)</f>
        <v>0.87333850931677026</v>
      </c>
    </row>
    <row r="83" spans="1:26" s="24" customFormat="1" hidden="1" outlineLevel="1" x14ac:dyDescent="0.25">
      <c r="A83" s="51"/>
      <c r="B83" s="11" t="str">
        <f>CONCATENATE("          ", "9150", " - ", "MISC. INCOME")</f>
        <v xml:space="preserve">          9150 - MISC. INCOME</v>
      </c>
      <c r="C83" s="11"/>
      <c r="D83" s="2">
        <f>--1401.93</f>
        <v>1401.93</v>
      </c>
      <c r="E83" s="2"/>
      <c r="F83" s="22">
        <f t="shared" si="64"/>
        <v>0</v>
      </c>
      <c r="G83" s="2"/>
      <c r="H83" s="2">
        <v>1288</v>
      </c>
      <c r="I83" s="2"/>
      <c r="J83" s="22">
        <f t="shared" si="65"/>
        <v>0</v>
      </c>
      <c r="K83" s="2"/>
      <c r="L83" s="2">
        <f t="shared" si="66"/>
        <v>113.93000000000006</v>
      </c>
      <c r="M83" s="2"/>
      <c r="N83" s="22">
        <f t="shared" si="67"/>
        <v>8.8454968944099432E-2</v>
      </c>
      <c r="O83" s="11"/>
      <c r="P83" s="2">
        <f>--1401.93</f>
        <v>1401.93</v>
      </c>
      <c r="Q83" s="2"/>
      <c r="R83" s="22">
        <f t="shared" si="68"/>
        <v>0</v>
      </c>
      <c r="S83" s="2"/>
      <c r="T83" s="2">
        <v>1288</v>
      </c>
      <c r="U83" s="2"/>
      <c r="V83" s="22">
        <f t="shared" si="69"/>
        <v>0</v>
      </c>
      <c r="W83" s="2"/>
      <c r="X83" s="2">
        <f t="shared" si="70"/>
        <v>113.93000000000006</v>
      </c>
      <c r="Y83" s="2"/>
      <c r="Z83" s="22">
        <f t="shared" si="71"/>
        <v>8.8454968944099432E-2</v>
      </c>
    </row>
    <row r="84" spans="1:26" s="24" customFormat="1" hidden="1" outlineLevel="1" x14ac:dyDescent="0.25">
      <c r="A84" s="51"/>
      <c r="B84" s="11" t="str">
        <f>CONCATENATE("          ", "9160", " - ", "MISC. INCOME")</f>
        <v xml:space="preserve">          9160 - MISC. INCOME</v>
      </c>
      <c r="C84" s="11"/>
      <c r="D84" s="2">
        <f>--1010.93</f>
        <v>1010.93</v>
      </c>
      <c r="E84" s="2"/>
      <c r="F84" s="22">
        <f t="shared" si="64"/>
        <v>0</v>
      </c>
      <c r="G84" s="2"/>
      <c r="H84" s="2"/>
      <c r="I84" s="2"/>
      <c r="J84" s="22">
        <f t="shared" si="65"/>
        <v>0</v>
      </c>
      <c r="K84" s="2"/>
      <c r="L84" s="2">
        <f t="shared" si="66"/>
        <v>1010.93</v>
      </c>
      <c r="M84" s="2"/>
      <c r="N84" s="22">
        <f t="shared" si="67"/>
        <v>0</v>
      </c>
      <c r="O84" s="11"/>
      <c r="P84" s="2">
        <f>--1010.93</f>
        <v>1010.93</v>
      </c>
      <c r="Q84" s="2"/>
      <c r="R84" s="22">
        <f t="shared" si="68"/>
        <v>0</v>
      </c>
      <c r="S84" s="2"/>
      <c r="T84" s="2"/>
      <c r="U84" s="2"/>
      <c r="V84" s="22">
        <f t="shared" si="69"/>
        <v>0</v>
      </c>
      <c r="W84" s="2"/>
      <c r="X84" s="2">
        <f t="shared" si="70"/>
        <v>1010.93</v>
      </c>
      <c r="Y84" s="2"/>
      <c r="Z84" s="22">
        <f t="shared" si="71"/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6" t="s">
        <v>3</v>
      </c>
      <c r="C86" s="26"/>
      <c r="D86" s="21">
        <f>+D16-D18+D82</f>
        <v>-93959.119999999981</v>
      </c>
      <c r="E86" s="13"/>
      <c r="F86" s="19">
        <f>IF(D$12=0,0,D86/D$12)</f>
        <v>0</v>
      </c>
      <c r="G86" s="13"/>
      <c r="H86" s="21">
        <f>+H16-H18+H82</f>
        <v>-99028.945616961544</v>
      </c>
      <c r="I86" s="13"/>
      <c r="J86" s="19">
        <f>IF(H$12=0,0,H86/H$12)</f>
        <v>0</v>
      </c>
      <c r="K86" s="15"/>
      <c r="L86" s="21">
        <f>+D86-H86</f>
        <v>5069.8256169615634</v>
      </c>
      <c r="M86" s="15"/>
      <c r="N86" s="19">
        <f>IF(H86=0,0,L86/H86)</f>
        <v>-5.1195391260363078E-2</v>
      </c>
      <c r="O86" s="25"/>
      <c r="P86" s="21">
        <f>+P16-P18+P82</f>
        <v>-93959.119999999981</v>
      </c>
      <c r="Q86" s="13"/>
      <c r="R86" s="19">
        <f>IF(P$12=0,0,P86/P$12)</f>
        <v>0</v>
      </c>
      <c r="S86" s="13"/>
      <c r="T86" s="21">
        <f>+T16-T18+T82</f>
        <v>-99028.945616961544</v>
      </c>
      <c r="U86" s="13"/>
      <c r="V86" s="19">
        <f>IF(T$12=0,0,T86/T$12)</f>
        <v>0</v>
      </c>
      <c r="W86" s="15"/>
      <c r="X86" s="21">
        <f>+P86-T86</f>
        <v>5069.8256169615634</v>
      </c>
      <c r="Y86" s="15"/>
      <c r="Z86" s="19">
        <f>IF(T86=0,0,X86/T86)</f>
        <v>-5.1195391260363078E-2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/>
      <c r="E88" s="4"/>
      <c r="F88" s="12">
        <f>IF(D$12=0,0,D88/D$12)</f>
        <v>0</v>
      </c>
      <c r="G88" s="4"/>
      <c r="H88" s="4"/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/>
      <c r="Q88" s="4"/>
      <c r="R88" s="12">
        <f>IF(P$12=0,0,P88/P$12)</f>
        <v>0</v>
      </c>
      <c r="S88" s="4"/>
      <c r="T88" s="4"/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4</v>
      </c>
      <c r="C90" s="26"/>
      <c r="D90" s="32">
        <f>+D86-D88</f>
        <v>-93959.119999999981</v>
      </c>
      <c r="E90" s="13"/>
      <c r="F90" s="31">
        <f>IF(D$12=0,0,D90/D$12)</f>
        <v>0</v>
      </c>
      <c r="G90" s="13"/>
      <c r="H90" s="32">
        <f>+H86-H88</f>
        <v>-99028.945616961544</v>
      </c>
      <c r="I90" s="13"/>
      <c r="J90" s="31">
        <f>IF(H$12=0,0,H90/H$12)</f>
        <v>0</v>
      </c>
      <c r="K90" s="15"/>
      <c r="L90" s="32">
        <f>D90-H90</f>
        <v>5069.8256169615634</v>
      </c>
      <c r="M90" s="15"/>
      <c r="N90" s="31">
        <f>IF(H90=0,0,L90/H90)</f>
        <v>-5.1195391260363078E-2</v>
      </c>
      <c r="O90" s="25"/>
      <c r="P90" s="32">
        <f>+P86-P88</f>
        <v>-93959.119999999981</v>
      </c>
      <c r="Q90" s="13"/>
      <c r="R90" s="31">
        <f>IF(P$12=0,0,P90/P$12)</f>
        <v>0</v>
      </c>
      <c r="S90" s="13"/>
      <c r="T90" s="32">
        <f>+T86-T88</f>
        <v>-99028.945616961544</v>
      </c>
      <c r="U90" s="13"/>
      <c r="V90" s="31">
        <f>IF(T$12=0,0,T90/T$12)</f>
        <v>0</v>
      </c>
      <c r="W90" s="15"/>
      <c r="X90" s="32">
        <f>P90-T90</f>
        <v>5069.8256169615634</v>
      </c>
      <c r="Y90" s="15"/>
      <c r="Z90" s="31">
        <f>IF(T90=0,0,X90/T90)</f>
        <v>-5.1195391260363078E-2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5</v>
      </c>
      <c r="C93" s="26"/>
      <c r="D93" s="33">
        <f>SUM(D90:D92)</f>
        <v>-93959.119999999981</v>
      </c>
      <c r="E93" s="13"/>
      <c r="F93" s="34">
        <f>IF(D$12=0,0,D93/D$12)</f>
        <v>0</v>
      </c>
      <c r="G93" s="13"/>
      <c r="H93" s="33">
        <f>SUM(H90:H92)</f>
        <v>-99028.945616961544</v>
      </c>
      <c r="I93" s="13"/>
      <c r="J93" s="34">
        <f>IF(H$12=0,0,H93/H$12)</f>
        <v>0</v>
      </c>
      <c r="K93" s="15"/>
      <c r="L93" s="33">
        <f>+D93-H93</f>
        <v>5069.8256169615634</v>
      </c>
      <c r="M93" s="15"/>
      <c r="N93" s="34">
        <f>IF(H93=0,0,L93/H93)</f>
        <v>-5.1195391260363078E-2</v>
      </c>
      <c r="O93" s="25"/>
      <c r="P93" s="33">
        <f>SUM(P90:P92)</f>
        <v>-93959.119999999981</v>
      </c>
      <c r="Q93" s="13"/>
      <c r="R93" s="34">
        <f>IF(P$12=0,0,P93/P$12)</f>
        <v>0</v>
      </c>
      <c r="S93" s="13"/>
      <c r="T93" s="33">
        <f>SUM(T90:T92)</f>
        <v>-99028.945616961544</v>
      </c>
      <c r="U93" s="13"/>
      <c r="V93" s="34">
        <f>IF(T$12=0,0,T93/T$12)</f>
        <v>0</v>
      </c>
      <c r="W93" s="15"/>
      <c r="X93" s="33">
        <f>+P93-T93</f>
        <v>5069.8256169615634</v>
      </c>
      <c r="Y93" s="15"/>
      <c r="Z93" s="34">
        <f>IF(T93=0,0,X93/T93)</f>
        <v>-5.1195391260363078E-2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1">
        <v>43726.67897739583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6" t="s">
        <v>314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3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","412", " - ", "Chartroom")</f>
        <v>Department 412 - Chartroom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47209.649999999994</v>
      </c>
      <c r="E12" s="4"/>
      <c r="F12" s="12"/>
      <c r="G12" s="4"/>
      <c r="H12" s="4">
        <f>SUM(OSRRefH13x_0)</f>
        <v>100000</v>
      </c>
      <c r="I12" s="4"/>
      <c r="J12" s="12"/>
      <c r="K12" s="4"/>
      <c r="L12" s="4">
        <f t="shared" ref="L12:L16" si="0">+D12-H12</f>
        <v>-52790.350000000006</v>
      </c>
      <c r="M12" s="4"/>
      <c r="N12" s="12">
        <f t="shared" ref="N12:N16" si="1">IF(H12=0,0,L12/H12)</f>
        <v>-0.52790350000000008</v>
      </c>
      <c r="O12" s="10"/>
      <c r="P12" s="4">
        <f>SUM(OSRRefP13x_0)</f>
        <v>47209.649999999994</v>
      </c>
      <c r="Q12" s="4"/>
      <c r="R12" s="12"/>
      <c r="S12" s="4"/>
      <c r="T12" s="4">
        <f>SUM(OSRRefT13x_0)</f>
        <v>100000</v>
      </c>
      <c r="U12" s="4"/>
      <c r="V12" s="12"/>
      <c r="W12" s="4"/>
      <c r="X12" s="4">
        <f t="shared" ref="X12:X16" si="2">+P12-T12</f>
        <v>-52790.350000000006</v>
      </c>
      <c r="Y12" s="4"/>
      <c r="Z12" s="12">
        <f t="shared" ref="Z12:Z16" si="3">IF(T12=0,0,X12/T12)</f>
        <v>-0.52790350000000008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99000</v>
      </c>
      <c r="I13" s="2"/>
      <c r="J13" s="22"/>
      <c r="K13" s="2"/>
      <c r="L13" s="2">
        <f t="shared" si="0"/>
        <v>-99000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99000</v>
      </c>
      <c r="U13" s="2"/>
      <c r="V13" s="22"/>
      <c r="W13" s="2"/>
      <c r="X13" s="2">
        <f t="shared" si="2"/>
        <v>-99000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"4052", " - ", "TAXABLE SALES-FOOD")</f>
        <v xml:space="preserve">          4052 - TAXABLE SALES-FOOD</v>
      </c>
      <c r="C14" s="11"/>
      <c r="D14" s="2">
        <f>--43542.56</f>
        <v>43542.559999999998</v>
      </c>
      <c r="E14" s="2"/>
      <c r="F14" s="22"/>
      <c r="G14" s="2"/>
      <c r="H14" s="2"/>
      <c r="I14" s="2"/>
      <c r="J14" s="22"/>
      <c r="K14" s="2"/>
      <c r="L14" s="2">
        <f t="shared" si="0"/>
        <v>43542.559999999998</v>
      </c>
      <c r="M14" s="2"/>
      <c r="N14" s="22">
        <f t="shared" si="1"/>
        <v>0</v>
      </c>
      <c r="O14" s="11"/>
      <c r="P14" s="2">
        <f>--43542.56</f>
        <v>43542.559999999998</v>
      </c>
      <c r="Q14" s="2"/>
      <c r="R14" s="22"/>
      <c r="S14" s="2"/>
      <c r="T14" s="2"/>
      <c r="U14" s="2"/>
      <c r="V14" s="22"/>
      <c r="W14" s="2"/>
      <c r="X14" s="2">
        <f t="shared" si="2"/>
        <v>43542.559999999998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2"/>
      <c r="G15" s="2"/>
      <c r="H15" s="2">
        <v>1000</v>
      </c>
      <c r="I15" s="2"/>
      <c r="J15" s="22"/>
      <c r="K15" s="2"/>
      <c r="L15" s="2">
        <f t="shared" si="0"/>
        <v>-1000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1000</v>
      </c>
      <c r="U15" s="2"/>
      <c r="V15" s="22"/>
      <c r="W15" s="2"/>
      <c r="X15" s="2">
        <f t="shared" si="2"/>
        <v>-1000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"4152", " - ", "NON-TAXABLE SALES-FOOD")</f>
        <v xml:space="preserve">          4152 - NON-TAXABLE SALES-FOOD</v>
      </c>
      <c r="C16" s="11"/>
      <c r="D16" s="2">
        <f>--3667.09</f>
        <v>3667.09</v>
      </c>
      <c r="E16" s="2"/>
      <c r="F16" s="22"/>
      <c r="G16" s="2"/>
      <c r="H16" s="2"/>
      <c r="I16" s="2"/>
      <c r="J16" s="22"/>
      <c r="K16" s="2"/>
      <c r="L16" s="2">
        <f t="shared" si="0"/>
        <v>3667.09</v>
      </c>
      <c r="M16" s="2"/>
      <c r="N16" s="22">
        <f t="shared" si="1"/>
        <v>0</v>
      </c>
      <c r="O16" s="11"/>
      <c r="P16" s="2">
        <f>--3667.09</f>
        <v>3667.09</v>
      </c>
      <c r="Q16" s="2"/>
      <c r="R16" s="22"/>
      <c r="S16" s="2"/>
      <c r="T16" s="2"/>
      <c r="U16" s="2"/>
      <c r="V16" s="22"/>
      <c r="W16" s="2"/>
      <c r="X16" s="2">
        <f t="shared" si="2"/>
        <v>3667.09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19774.28</v>
      </c>
      <c r="E18" s="4"/>
      <c r="F18" s="12">
        <f t="shared" ref="F18:F20" si="4">IF(D$12=0,0,D18/D$12)</f>
        <v>0.41886097439824277</v>
      </c>
      <c r="G18" s="4"/>
      <c r="H18" s="4">
        <f>SUM(OSRRefH16x_0)</f>
        <v>31000</v>
      </c>
      <c r="I18" s="4"/>
      <c r="J18" s="12">
        <f t="shared" ref="J18:J20" si="5">IF(H$12=0,0,H18/H$12)</f>
        <v>0.31</v>
      </c>
      <c r="K18" s="4"/>
      <c r="L18" s="4">
        <f t="shared" ref="L18:L20" si="6">+D18-H18</f>
        <v>-11225.720000000001</v>
      </c>
      <c r="M18" s="4"/>
      <c r="N18" s="12">
        <f t="shared" ref="N18:N20" si="7">IF(H18=0,0,L18/H18)</f>
        <v>-0.36212000000000005</v>
      </c>
      <c r="O18" s="10"/>
      <c r="P18" s="4">
        <f>SUM(OSRRefP16x_0)</f>
        <v>19774.28</v>
      </c>
      <c r="Q18" s="4"/>
      <c r="R18" s="12">
        <f t="shared" ref="R18:R20" si="8">IF(P$12=0,0,P18/P$12)</f>
        <v>0.41886097439824277</v>
      </c>
      <c r="S18" s="4"/>
      <c r="T18" s="4">
        <f>SUM(OSRRefT16x_0)</f>
        <v>31000</v>
      </c>
      <c r="U18" s="4"/>
      <c r="V18" s="12">
        <f t="shared" ref="V18:V20" si="9">IF(T$12=0,0,T18/T$12)</f>
        <v>0.31</v>
      </c>
      <c r="W18" s="4"/>
      <c r="X18" s="4">
        <f t="shared" ref="X18:X20" si="10">+P18-T18</f>
        <v>-11225.720000000001</v>
      </c>
      <c r="Y18" s="4"/>
      <c r="Z18" s="12">
        <f t="shared" ref="Z18:Z20" si="11">IF(T18=0,0,X18/T18)</f>
        <v>-0.36212000000000005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31000</v>
      </c>
      <c r="I19" s="2"/>
      <c r="J19" s="22">
        <f t="shared" si="5"/>
        <v>0.31</v>
      </c>
      <c r="K19" s="2"/>
      <c r="L19" s="2">
        <f t="shared" si="6"/>
        <v>-31000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31000</v>
      </c>
      <c r="U19" s="2"/>
      <c r="V19" s="22">
        <f t="shared" si="9"/>
        <v>0.31</v>
      </c>
      <c r="W19" s="2"/>
      <c r="X19" s="2">
        <f t="shared" si="10"/>
        <v>-31000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19774.28</v>
      </c>
      <c r="E20" s="2"/>
      <c r="F20" s="22">
        <f t="shared" si="4"/>
        <v>0.41886097439824277</v>
      </c>
      <c r="G20" s="2"/>
      <c r="H20" s="2"/>
      <c r="I20" s="2"/>
      <c r="J20" s="22">
        <f t="shared" si="5"/>
        <v>0</v>
      </c>
      <c r="K20" s="2"/>
      <c r="L20" s="2">
        <f t="shared" si="6"/>
        <v>19774.28</v>
      </c>
      <c r="M20" s="2"/>
      <c r="N20" s="22">
        <f t="shared" si="7"/>
        <v>0</v>
      </c>
      <c r="O20" s="11"/>
      <c r="P20" s="2">
        <v>19774.28</v>
      </c>
      <c r="Q20" s="2"/>
      <c r="R20" s="22">
        <f t="shared" si="8"/>
        <v>0.41886097439824277</v>
      </c>
      <c r="S20" s="2"/>
      <c r="T20" s="2"/>
      <c r="U20" s="2"/>
      <c r="V20" s="22">
        <f t="shared" si="9"/>
        <v>0</v>
      </c>
      <c r="W20" s="2"/>
      <c r="X20" s="2">
        <f t="shared" si="10"/>
        <v>19774.28</v>
      </c>
      <c r="Y20" s="2"/>
      <c r="Z20" s="22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6</v>
      </c>
      <c r="C22" s="26"/>
      <c r="D22" s="21">
        <f>D12-D18</f>
        <v>27435.369999999995</v>
      </c>
      <c r="E22" s="13"/>
      <c r="F22" s="19">
        <f>IF(D$12=0,0,D22/D$12)</f>
        <v>0.58113902560175723</v>
      </c>
      <c r="G22" s="13"/>
      <c r="H22" s="21">
        <f>H12-H18</f>
        <v>69000</v>
      </c>
      <c r="I22" s="13"/>
      <c r="J22" s="19">
        <f>IF(H$12=0,0,H22/H$12)</f>
        <v>0.69</v>
      </c>
      <c r="K22" s="15"/>
      <c r="L22" s="21">
        <f>+D22-H22</f>
        <v>-41564.630000000005</v>
      </c>
      <c r="M22" s="15"/>
      <c r="N22" s="19">
        <f>IF(H22=0,0,L22/H22)</f>
        <v>-0.60238594202898554</v>
      </c>
      <c r="O22" s="25"/>
      <c r="P22" s="21">
        <f>P12-P18</f>
        <v>27435.369999999995</v>
      </c>
      <c r="Q22" s="13"/>
      <c r="R22" s="19">
        <f>IF(P$12=0,0,P22/P$12)</f>
        <v>0.58113902560175723</v>
      </c>
      <c r="S22" s="13"/>
      <c r="T22" s="21">
        <f>T12-T18</f>
        <v>69000</v>
      </c>
      <c r="U22" s="13"/>
      <c r="V22" s="19">
        <f>IF(T$12=0,0,T22/T$12)</f>
        <v>0.69</v>
      </c>
      <c r="W22" s="15"/>
      <c r="X22" s="21">
        <f>+P22-T22</f>
        <v>-41564.630000000005</v>
      </c>
      <c r="Y22" s="15"/>
      <c r="Z22" s="19">
        <f>IF(T22=0,0,X22/T22)</f>
        <v>-0.60238594202898554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9</v>
      </c>
      <c r="C24" s="10"/>
      <c r="D24" s="20">
        <f>SUM(OSRRefD22x_0)</f>
        <v>55040.149999999987</v>
      </c>
      <c r="E24" s="20"/>
      <c r="F24" s="30">
        <f t="shared" ref="F24:F34" si="12">IF(D$12=0,0,D24/D$12)</f>
        <v>1.1658665124609056</v>
      </c>
      <c r="G24" s="20"/>
      <c r="H24" s="20">
        <f>SUM(OSRRefH22x_0)</f>
        <v>69691.320060153797</v>
      </c>
      <c r="I24" s="20"/>
      <c r="J24" s="30">
        <f t="shared" ref="J24:J34" si="13">IF(H$12=0,0,H24/H$12)</f>
        <v>0.69691320060153794</v>
      </c>
      <c r="K24" s="4"/>
      <c r="L24" s="20">
        <f t="shared" ref="L24:L34" si="14">+D24-H24</f>
        <v>-14651.17006015381</v>
      </c>
      <c r="M24" s="4"/>
      <c r="N24" s="30">
        <f t="shared" ref="N24:N34" si="15">IF(H24=0,0,L24/H24)</f>
        <v>-0.21022948119662116</v>
      </c>
      <c r="O24" s="10"/>
      <c r="P24" s="20">
        <f>SUM(OSRRefP22x_0)</f>
        <v>55040.149999999987</v>
      </c>
      <c r="Q24" s="20"/>
      <c r="R24" s="30">
        <f t="shared" ref="R24:R34" si="16">IF(P$12=0,0,P24/P$12)</f>
        <v>1.1658665124609056</v>
      </c>
      <c r="S24" s="20"/>
      <c r="T24" s="20">
        <f>SUM(OSRRefT22x_0)</f>
        <v>69691.320060153797</v>
      </c>
      <c r="U24" s="20"/>
      <c r="V24" s="30">
        <f t="shared" ref="V24:V34" si="17">IF(T$12=0,0,T24/T$12)</f>
        <v>0.69691320060153794</v>
      </c>
      <c r="W24" s="4"/>
      <c r="X24" s="20">
        <f t="shared" ref="X24:X34" si="18">+P24-T24</f>
        <v>-14651.17006015381</v>
      </c>
      <c r="Y24" s="4"/>
      <c r="Z24" s="30">
        <f t="shared" ref="Z24:Z34" si="19">IF(T24=0,0,X24/T24)</f>
        <v>-0.21022948119662116</v>
      </c>
    </row>
    <row r="25" spans="1:26" s="27" customFormat="1" outlineLevel="1" collapsed="1" x14ac:dyDescent="0.25">
      <c r="A25" s="28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13891.939999999999</v>
      </c>
      <c r="E25" s="1"/>
      <c r="F25" s="5">
        <f t="shared" si="12"/>
        <v>0.2942606013812854</v>
      </c>
      <c r="G25" s="1"/>
      <c r="H25" s="1">
        <f>SUM(OSRRefH22_0x_0)</f>
        <v>15113.726214000002</v>
      </c>
      <c r="I25" s="1"/>
      <c r="J25" s="5">
        <f t="shared" si="13"/>
        <v>0.15113726214000003</v>
      </c>
      <c r="K25" s="1"/>
      <c r="L25" s="1">
        <f t="shared" si="14"/>
        <v>-1221.7862140000034</v>
      </c>
      <c r="M25" s="1"/>
      <c r="N25" s="5">
        <f t="shared" si="15"/>
        <v>-8.0839509509458368E-2</v>
      </c>
      <c r="O25" s="14"/>
      <c r="P25" s="1">
        <f>SUM(OSRRefP22_0x_0)</f>
        <v>13891.939999999999</v>
      </c>
      <c r="Q25" s="1"/>
      <c r="R25" s="5">
        <f t="shared" si="16"/>
        <v>0.2942606013812854</v>
      </c>
      <c r="S25" s="1"/>
      <c r="T25" s="1">
        <f>SUM(OSRRefT22_0x_0)</f>
        <v>15113.726214000002</v>
      </c>
      <c r="U25" s="1"/>
      <c r="V25" s="5">
        <f t="shared" si="17"/>
        <v>0.15113726214000003</v>
      </c>
      <c r="W25" s="1"/>
      <c r="X25" s="1">
        <f t="shared" si="18"/>
        <v>-1221.7862140000034</v>
      </c>
      <c r="Y25" s="1"/>
      <c r="Z25" s="5">
        <f t="shared" si="19"/>
        <v>-8.0839509509458368E-2</v>
      </c>
    </row>
    <row r="26" spans="1:26" s="24" customFormat="1" hidden="1" outlineLevel="2" x14ac:dyDescent="0.25">
      <c r="A26" s="29"/>
      <c r="B26" s="11" t="str">
        <f>CONCATENATE("          ", "6111", " - ", "F.I.C.A.")</f>
        <v xml:space="preserve">          6111 - F.I.C.A.</v>
      </c>
      <c r="C26" s="11"/>
      <c r="D26" s="7">
        <v>2344.46</v>
      </c>
      <c r="E26" s="2"/>
      <c r="F26" s="6">
        <f t="shared" si="12"/>
        <v>4.9660609642308305E-2</v>
      </c>
      <c r="G26" s="2"/>
      <c r="H26" s="7">
        <v>3452.5473401538502</v>
      </c>
      <c r="I26" s="2"/>
      <c r="J26" s="6">
        <f t="shared" si="13"/>
        <v>3.4525473401538505E-2</v>
      </c>
      <c r="K26" s="2"/>
      <c r="L26" s="7">
        <f t="shared" si="14"/>
        <v>-1108.0873401538502</v>
      </c>
      <c r="M26" s="2"/>
      <c r="N26" s="6">
        <f t="shared" si="15"/>
        <v>-0.32094776145907161</v>
      </c>
      <c r="O26" s="11"/>
      <c r="P26" s="7">
        <v>2344.46</v>
      </c>
      <c r="Q26" s="2"/>
      <c r="R26" s="6">
        <f t="shared" si="16"/>
        <v>4.9660609642308305E-2</v>
      </c>
      <c r="S26" s="2"/>
      <c r="T26" s="7">
        <v>3452.5473401538502</v>
      </c>
      <c r="U26" s="2"/>
      <c r="V26" s="6">
        <f t="shared" si="17"/>
        <v>3.4525473401538505E-2</v>
      </c>
      <c r="W26" s="2"/>
      <c r="X26" s="7">
        <f t="shared" si="18"/>
        <v>-1108.0873401538502</v>
      </c>
      <c r="Y26" s="2"/>
      <c r="Z26" s="6">
        <f t="shared" si="19"/>
        <v>-0.32094776145907161</v>
      </c>
    </row>
    <row r="27" spans="1:26" s="24" customFormat="1" hidden="1" outlineLevel="2" x14ac:dyDescent="0.25">
      <c r="A27" s="29"/>
      <c r="B27" s="11" t="str">
        <f>CONCATENATE("          ", "6112", " - ", "COMPENSATION INSURANCE")</f>
        <v xml:space="preserve">          6112 - COMPENSATION INSURANCE</v>
      </c>
      <c r="C27" s="11"/>
      <c r="D27" s="7">
        <v>991.19</v>
      </c>
      <c r="E27" s="2"/>
      <c r="F27" s="6">
        <f t="shared" si="12"/>
        <v>2.0995495624305627E-2</v>
      </c>
      <c r="G27" s="2"/>
      <c r="H27" s="7">
        <v>1750.40947076923</v>
      </c>
      <c r="I27" s="2"/>
      <c r="J27" s="6">
        <f t="shared" si="13"/>
        <v>1.7504094707692298E-2</v>
      </c>
      <c r="K27" s="2"/>
      <c r="L27" s="7">
        <f t="shared" si="14"/>
        <v>-759.21947076922993</v>
      </c>
      <c r="M27" s="2"/>
      <c r="N27" s="6">
        <f t="shared" si="15"/>
        <v>-0.43373821008611518</v>
      </c>
      <c r="O27" s="11"/>
      <c r="P27" s="7">
        <v>991.19</v>
      </c>
      <c r="Q27" s="2"/>
      <c r="R27" s="6">
        <f t="shared" si="16"/>
        <v>2.0995495624305627E-2</v>
      </c>
      <c r="S27" s="2"/>
      <c r="T27" s="7">
        <v>1750.40947076923</v>
      </c>
      <c r="U27" s="2"/>
      <c r="V27" s="6">
        <f t="shared" si="17"/>
        <v>1.7504094707692298E-2</v>
      </c>
      <c r="W27" s="2"/>
      <c r="X27" s="7">
        <f t="shared" si="18"/>
        <v>-759.21947076922993</v>
      </c>
      <c r="Y27" s="2"/>
      <c r="Z27" s="6">
        <f t="shared" si="19"/>
        <v>-0.43373821008611518</v>
      </c>
    </row>
    <row r="28" spans="1:26" s="24" customFormat="1" hidden="1" outlineLevel="2" x14ac:dyDescent="0.25">
      <c r="A28" s="29"/>
      <c r="B28" s="11" t="str">
        <f>CONCATENATE("          ", "6113", " - ", "GROUP INSURANCE")</f>
        <v xml:space="preserve">          6113 - GROUP INSURANCE</v>
      </c>
      <c r="C28" s="11"/>
      <c r="D28" s="7">
        <v>5334.36</v>
      </c>
      <c r="E28" s="2"/>
      <c r="F28" s="6">
        <f t="shared" si="12"/>
        <v>0.11299300037174603</v>
      </c>
      <c r="G28" s="2"/>
      <c r="H28" s="7">
        <v>5639.1538461538503</v>
      </c>
      <c r="I28" s="2"/>
      <c r="J28" s="6">
        <f t="shared" si="13"/>
        <v>5.63915384615385E-2</v>
      </c>
      <c r="K28" s="2"/>
      <c r="L28" s="7">
        <f t="shared" si="14"/>
        <v>-304.79384615385061</v>
      </c>
      <c r="M28" s="2"/>
      <c r="N28" s="6">
        <f t="shared" si="15"/>
        <v>-5.4049570994012398E-2</v>
      </c>
      <c r="O28" s="11"/>
      <c r="P28" s="7">
        <v>5334.36</v>
      </c>
      <c r="Q28" s="2"/>
      <c r="R28" s="6">
        <f t="shared" si="16"/>
        <v>0.11299300037174603</v>
      </c>
      <c r="S28" s="2"/>
      <c r="T28" s="7">
        <v>5639.1538461538503</v>
      </c>
      <c r="U28" s="2"/>
      <c r="V28" s="6">
        <f t="shared" si="17"/>
        <v>5.63915384615385E-2</v>
      </c>
      <c r="W28" s="2"/>
      <c r="X28" s="7">
        <f t="shared" si="18"/>
        <v>-304.79384615385061</v>
      </c>
      <c r="Y28" s="2"/>
      <c r="Z28" s="6">
        <f t="shared" si="19"/>
        <v>-5.4049570994012398E-2</v>
      </c>
    </row>
    <row r="29" spans="1:26" s="24" customFormat="1" hidden="1" outlineLevel="2" x14ac:dyDescent="0.25">
      <c r="A29" s="29"/>
      <c r="B29" s="11" t="str">
        <f>CONCATENATE("          ", "6114", " - ", "STATE UNEMPLOYMENT INSURANCE")</f>
        <v xml:space="preserve">          6114 - STATE UNEMPLOYMENT INSURANCE</v>
      </c>
      <c r="C29" s="11"/>
      <c r="D29" s="7">
        <v>70.930000000000007</v>
      </c>
      <c r="E29" s="2"/>
      <c r="F29" s="6">
        <f t="shared" si="12"/>
        <v>1.5024470632593128E-3</v>
      </c>
      <c r="G29" s="2"/>
      <c r="H29" s="7">
        <v>117.29548</v>
      </c>
      <c r="I29" s="2"/>
      <c r="J29" s="6">
        <f t="shared" si="13"/>
        <v>1.1729548E-3</v>
      </c>
      <c r="K29" s="2"/>
      <c r="L29" s="7">
        <f t="shared" si="14"/>
        <v>-46.365479999999991</v>
      </c>
      <c r="M29" s="2"/>
      <c r="N29" s="6">
        <f t="shared" si="15"/>
        <v>-0.39528786616500478</v>
      </c>
      <c r="O29" s="11"/>
      <c r="P29" s="7">
        <v>70.930000000000007</v>
      </c>
      <c r="Q29" s="2"/>
      <c r="R29" s="6">
        <f t="shared" si="16"/>
        <v>1.5024470632593128E-3</v>
      </c>
      <c r="S29" s="2"/>
      <c r="T29" s="7">
        <v>117.29548</v>
      </c>
      <c r="U29" s="2"/>
      <c r="V29" s="6">
        <f t="shared" si="17"/>
        <v>1.1729548E-3</v>
      </c>
      <c r="W29" s="2"/>
      <c r="X29" s="7">
        <f t="shared" si="18"/>
        <v>-46.365479999999991</v>
      </c>
      <c r="Y29" s="2"/>
      <c r="Z29" s="6">
        <f t="shared" si="19"/>
        <v>-0.39528786616500478</v>
      </c>
    </row>
    <row r="30" spans="1:26" s="24" customFormat="1" hidden="1" outlineLevel="2" x14ac:dyDescent="0.25">
      <c r="A30" s="29"/>
      <c r="B30" s="11" t="str">
        <f>CONCATENATE("          ", "6115", " - ", "P.E.R.S.")</f>
        <v xml:space="preserve">          6115 - P.E.R.S.</v>
      </c>
      <c r="C30" s="11"/>
      <c r="D30" s="7">
        <v>1165.79</v>
      </c>
      <c r="E30" s="2"/>
      <c r="F30" s="6">
        <f t="shared" si="12"/>
        <v>2.4693892032667052E-2</v>
      </c>
      <c r="G30" s="2"/>
      <c r="H30" s="7">
        <v>1555.94176923077</v>
      </c>
      <c r="I30" s="2"/>
      <c r="J30" s="6">
        <f t="shared" si="13"/>
        <v>1.55594176923077E-2</v>
      </c>
      <c r="K30" s="2"/>
      <c r="L30" s="7">
        <f t="shared" si="14"/>
        <v>-390.15176923077001</v>
      </c>
      <c r="M30" s="2"/>
      <c r="N30" s="6">
        <f t="shared" si="15"/>
        <v>-0.25074959548367554</v>
      </c>
      <c r="O30" s="11"/>
      <c r="P30" s="7">
        <v>1165.79</v>
      </c>
      <c r="Q30" s="2"/>
      <c r="R30" s="6">
        <f t="shared" si="16"/>
        <v>2.4693892032667052E-2</v>
      </c>
      <c r="S30" s="2"/>
      <c r="T30" s="7">
        <v>1555.94176923077</v>
      </c>
      <c r="U30" s="2"/>
      <c r="V30" s="6">
        <f t="shared" si="17"/>
        <v>1.55594176923077E-2</v>
      </c>
      <c r="W30" s="2"/>
      <c r="X30" s="7">
        <f t="shared" si="18"/>
        <v>-390.15176923077001</v>
      </c>
      <c r="Y30" s="2"/>
      <c r="Z30" s="6">
        <f t="shared" si="19"/>
        <v>-0.25074959548367554</v>
      </c>
    </row>
    <row r="31" spans="1:26" s="24" customFormat="1" hidden="1" outlineLevel="2" x14ac:dyDescent="0.25">
      <c r="A31" s="29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1432.07</v>
      </c>
      <c r="E32" s="2"/>
      <c r="F32" s="6">
        <f t="shared" si="12"/>
        <v>3.0334264287068431E-2</v>
      </c>
      <c r="G32" s="2"/>
      <c r="H32" s="7">
        <v>1244.9689230769202</v>
      </c>
      <c r="I32" s="2"/>
      <c r="J32" s="6">
        <f t="shared" si="13"/>
        <v>1.2449689230769202E-2</v>
      </c>
      <c r="K32" s="2"/>
      <c r="L32" s="7">
        <f t="shared" si="14"/>
        <v>187.10107692307975</v>
      </c>
      <c r="M32" s="2"/>
      <c r="N32" s="6">
        <f t="shared" si="15"/>
        <v>0.15028574083653631</v>
      </c>
      <c r="O32" s="11"/>
      <c r="P32" s="7">
        <v>1432.07</v>
      </c>
      <c r="Q32" s="2"/>
      <c r="R32" s="6">
        <f t="shared" si="16"/>
        <v>3.0334264287068431E-2</v>
      </c>
      <c r="S32" s="2"/>
      <c r="T32" s="7">
        <v>1244.9689230769202</v>
      </c>
      <c r="U32" s="2"/>
      <c r="V32" s="6">
        <f t="shared" si="17"/>
        <v>1.2449689230769202E-2</v>
      </c>
      <c r="W32" s="2"/>
      <c r="X32" s="7">
        <f t="shared" si="18"/>
        <v>187.10107692307975</v>
      </c>
      <c r="Y32" s="2"/>
      <c r="Z32" s="6">
        <f t="shared" si="19"/>
        <v>0.15028574083653631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2064.3000000000002</v>
      </c>
      <c r="E33" s="2"/>
      <c r="F33" s="6">
        <f t="shared" si="12"/>
        <v>4.372622970091921E-2</v>
      </c>
      <c r="G33" s="2"/>
      <c r="H33" s="7">
        <v>1353.4093846153801</v>
      </c>
      <c r="I33" s="2"/>
      <c r="J33" s="6">
        <f t="shared" si="13"/>
        <v>1.35340938461538E-2</v>
      </c>
      <c r="K33" s="2"/>
      <c r="L33" s="7">
        <f t="shared" si="14"/>
        <v>710.89061538462011</v>
      </c>
      <c r="M33" s="2"/>
      <c r="N33" s="6">
        <f t="shared" si="15"/>
        <v>0.52525911484398735</v>
      </c>
      <c r="O33" s="11"/>
      <c r="P33" s="7">
        <v>2064.3000000000002</v>
      </c>
      <c r="Q33" s="2"/>
      <c r="R33" s="6">
        <f t="shared" si="16"/>
        <v>4.372622970091921E-2</v>
      </c>
      <c r="S33" s="2"/>
      <c r="T33" s="7">
        <v>1353.4093846153801</v>
      </c>
      <c r="U33" s="2"/>
      <c r="V33" s="6">
        <f t="shared" si="17"/>
        <v>1.35340938461538E-2</v>
      </c>
      <c r="W33" s="2"/>
      <c r="X33" s="7">
        <f t="shared" si="18"/>
        <v>710.89061538462011</v>
      </c>
      <c r="Y33" s="2"/>
      <c r="Z33" s="6">
        <f t="shared" si="19"/>
        <v>0.52525911484398735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488.84</v>
      </c>
      <c r="E34" s="2"/>
      <c r="F34" s="6">
        <f t="shared" si="12"/>
        <v>1.0354662659011454E-2</v>
      </c>
      <c r="G34" s="2"/>
      <c r="H34" s="7"/>
      <c r="I34" s="2"/>
      <c r="J34" s="6">
        <f t="shared" si="13"/>
        <v>0</v>
      </c>
      <c r="K34" s="2"/>
      <c r="L34" s="7">
        <f t="shared" si="14"/>
        <v>488.84</v>
      </c>
      <c r="M34" s="2"/>
      <c r="N34" s="6">
        <f t="shared" si="15"/>
        <v>0</v>
      </c>
      <c r="O34" s="11"/>
      <c r="P34" s="7">
        <v>488.84</v>
      </c>
      <c r="Q34" s="2"/>
      <c r="R34" s="6">
        <f t="shared" si="16"/>
        <v>1.0354662659011454E-2</v>
      </c>
      <c r="S34" s="2"/>
      <c r="T34" s="7"/>
      <c r="U34" s="2"/>
      <c r="V34" s="6">
        <f t="shared" si="17"/>
        <v>0</v>
      </c>
      <c r="W34" s="2"/>
      <c r="X34" s="7">
        <f t="shared" si="18"/>
        <v>488.84</v>
      </c>
      <c r="Y34" s="2"/>
      <c r="Z34" s="6">
        <f t="shared" si="19"/>
        <v>0</v>
      </c>
    </row>
    <row r="35" spans="1:26" s="27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34836.99</v>
      </c>
      <c r="E35" s="1"/>
      <c r="F35" s="5">
        <f t="shared" ref="F35:F45" si="20">IF(D$12=0,0,D35/D$12)</f>
        <v>0.73792095472006258</v>
      </c>
      <c r="G35" s="1"/>
      <c r="H35" s="1">
        <f>SUM(OSRRefH22_1x_0)</f>
        <v>40687.693846153801</v>
      </c>
      <c r="I35" s="1"/>
      <c r="J35" s="5">
        <f t="shared" ref="J35:J45" si="21">IF(H$12=0,0,H35/H$12)</f>
        <v>0.406876938461538</v>
      </c>
      <c r="K35" s="1"/>
      <c r="L35" s="1">
        <f t="shared" ref="L35:L45" si="22">+D35-H35</f>
        <v>-5850.7038461538032</v>
      </c>
      <c r="M35" s="1"/>
      <c r="N35" s="5">
        <f t="shared" ref="N35:N45" si="23">IF(H35=0,0,L35/H35)</f>
        <v>-0.14379541559362349</v>
      </c>
      <c r="O35" s="14"/>
      <c r="P35" s="1">
        <f>SUM(OSRRefP22_1x_0)</f>
        <v>34836.99</v>
      </c>
      <c r="Q35" s="1"/>
      <c r="R35" s="5">
        <f t="shared" ref="R35:R45" si="24">IF(P$12=0,0,P35/P$12)</f>
        <v>0.73792095472006258</v>
      </c>
      <c r="S35" s="1"/>
      <c r="T35" s="1">
        <f>SUM(OSRRefT22_1x_0)</f>
        <v>40687.693846153801</v>
      </c>
      <c r="U35" s="1"/>
      <c r="V35" s="5">
        <f t="shared" ref="V35:V45" si="25">IF(T$12=0,0,T35/T$12)</f>
        <v>0.406876938461538</v>
      </c>
      <c r="W35" s="1"/>
      <c r="X35" s="1">
        <f t="shared" ref="X35:X45" si="26">+P35-T35</f>
        <v>-5850.7038461538032</v>
      </c>
      <c r="Y35" s="1"/>
      <c r="Z35" s="5">
        <f t="shared" ref="Z35:Z45" si="27">IF(T35=0,0,X35/T35)</f>
        <v>-0.14379541559362349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15800.9</v>
      </c>
      <c r="E37" s="2"/>
      <c r="F37" s="6">
        <f t="shared" si="20"/>
        <v>0.33469640211270368</v>
      </c>
      <c r="G37" s="2"/>
      <c r="H37" s="7">
        <v>16457.458846153801</v>
      </c>
      <c r="I37" s="2"/>
      <c r="J37" s="6">
        <f t="shared" si="21"/>
        <v>0.164574588461538</v>
      </c>
      <c r="K37" s="2"/>
      <c r="L37" s="7">
        <f t="shared" si="22"/>
        <v>-656.55884615380091</v>
      </c>
      <c r="M37" s="2"/>
      <c r="N37" s="6">
        <f t="shared" si="23"/>
        <v>-3.9894302777323511E-2</v>
      </c>
      <c r="O37" s="11"/>
      <c r="P37" s="7">
        <v>15800.9</v>
      </c>
      <c r="Q37" s="2"/>
      <c r="R37" s="6">
        <f t="shared" si="24"/>
        <v>0.33469640211270368</v>
      </c>
      <c r="S37" s="2"/>
      <c r="T37" s="7">
        <v>16457.458846153801</v>
      </c>
      <c r="U37" s="2"/>
      <c r="V37" s="6">
        <f t="shared" si="25"/>
        <v>0.164574588461538</v>
      </c>
      <c r="W37" s="2"/>
      <c r="X37" s="7">
        <f t="shared" si="26"/>
        <v>-656.55884615380091</v>
      </c>
      <c r="Y37" s="2"/>
      <c r="Z37" s="6">
        <f t="shared" si="27"/>
        <v>-3.9894302777323511E-2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>
        <v>4400.6499999999996</v>
      </c>
      <c r="E39" s="2"/>
      <c r="F39" s="6">
        <f t="shared" si="20"/>
        <v>9.3215052431017811E-2</v>
      </c>
      <c r="G39" s="2"/>
      <c r="H39" s="7">
        <v>24230.235000000001</v>
      </c>
      <c r="I39" s="2"/>
      <c r="J39" s="6">
        <f t="shared" si="21"/>
        <v>0.24230235</v>
      </c>
      <c r="K39" s="2"/>
      <c r="L39" s="7">
        <f t="shared" si="22"/>
        <v>-19829.584999999999</v>
      </c>
      <c r="M39" s="2"/>
      <c r="N39" s="6">
        <f t="shared" si="23"/>
        <v>-0.81838186876850338</v>
      </c>
      <c r="O39" s="11"/>
      <c r="P39" s="7">
        <v>4400.6499999999996</v>
      </c>
      <c r="Q39" s="2"/>
      <c r="R39" s="6">
        <f t="shared" si="24"/>
        <v>9.3215052431017811E-2</v>
      </c>
      <c r="S39" s="2"/>
      <c r="T39" s="7">
        <v>24230.235000000001</v>
      </c>
      <c r="U39" s="2"/>
      <c r="V39" s="6">
        <f t="shared" si="25"/>
        <v>0.24230235</v>
      </c>
      <c r="W39" s="2"/>
      <c r="X39" s="7">
        <f t="shared" si="26"/>
        <v>-19829.584999999999</v>
      </c>
      <c r="Y39" s="2"/>
      <c r="Z39" s="6">
        <f t="shared" si="27"/>
        <v>-0.81838186876850338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>
        <v>6195.25</v>
      </c>
      <c r="E40" s="2"/>
      <c r="F40" s="6">
        <f t="shared" si="20"/>
        <v>0.13122846706128941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6195.25</v>
      </c>
      <c r="M40" s="2"/>
      <c r="N40" s="6">
        <f t="shared" si="23"/>
        <v>0</v>
      </c>
      <c r="O40" s="11"/>
      <c r="P40" s="7">
        <v>6195.25</v>
      </c>
      <c r="Q40" s="2"/>
      <c r="R40" s="6">
        <f t="shared" si="24"/>
        <v>0.13122846706128941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6195.25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>
        <v>329.88</v>
      </c>
      <c r="E41" s="2"/>
      <c r="F41" s="6">
        <f t="shared" si="20"/>
        <v>6.9875544512615542E-3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329.88</v>
      </c>
      <c r="M41" s="2"/>
      <c r="N41" s="6">
        <f t="shared" si="23"/>
        <v>0</v>
      </c>
      <c r="O41" s="11"/>
      <c r="P41" s="7">
        <v>329.88</v>
      </c>
      <c r="Q41" s="2"/>
      <c r="R41" s="6">
        <f t="shared" si="24"/>
        <v>6.9875544512615542E-3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329.88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7424.89</v>
      </c>
      <c r="E42" s="2"/>
      <c r="F42" s="6">
        <f t="shared" si="20"/>
        <v>0.15727483681832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7424.89</v>
      </c>
      <c r="M42" s="2"/>
      <c r="N42" s="6">
        <f t="shared" si="23"/>
        <v>0</v>
      </c>
      <c r="O42" s="11"/>
      <c r="P42" s="7">
        <v>7424.89</v>
      </c>
      <c r="Q42" s="2"/>
      <c r="R42" s="6">
        <f t="shared" si="24"/>
        <v>0.15727483681832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7424.89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>
        <v>685.42</v>
      </c>
      <c r="E43" s="2"/>
      <c r="F43" s="6">
        <f t="shared" si="20"/>
        <v>1.4518641845470154E-2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685.42</v>
      </c>
      <c r="M43" s="2"/>
      <c r="N43" s="6">
        <f t="shared" si="23"/>
        <v>0</v>
      </c>
      <c r="O43" s="11"/>
      <c r="P43" s="7">
        <v>685.42</v>
      </c>
      <c r="Q43" s="2"/>
      <c r="R43" s="6">
        <f t="shared" si="24"/>
        <v>1.4518641845470154E-2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685.42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12.52</v>
      </c>
      <c r="E46" s="1"/>
      <c r="F46" s="5">
        <f t="shared" ref="F46:F64" si="28">IF(D$12=0,0,D46/D$12)</f>
        <v>2.6520001736933025E-4</v>
      </c>
      <c r="G46" s="1"/>
      <c r="H46" s="1">
        <f>SUM(OSRRefH22_2x_0)</f>
        <v>500</v>
      </c>
      <c r="I46" s="1"/>
      <c r="J46" s="5">
        <f t="shared" ref="J46:J64" si="29">IF(H$12=0,0,H46/H$12)</f>
        <v>5.0000000000000001E-3</v>
      </c>
      <c r="K46" s="1"/>
      <c r="L46" s="1">
        <f t="shared" ref="L46:L64" si="30">+D46-H46</f>
        <v>-487.48</v>
      </c>
      <c r="M46" s="1"/>
      <c r="N46" s="5">
        <f t="shared" ref="N46:N64" si="31">IF(H46=0,0,L46/H46)</f>
        <v>-0.97496000000000005</v>
      </c>
      <c r="O46" s="14"/>
      <c r="P46" s="1">
        <f>SUM(OSRRefP22_2x_0)</f>
        <v>12.52</v>
      </c>
      <c r="Q46" s="1"/>
      <c r="R46" s="5">
        <f t="shared" ref="R46:R64" si="32">IF(P$12=0,0,P46/P$12)</f>
        <v>2.6520001736933025E-4</v>
      </c>
      <c r="S46" s="1"/>
      <c r="T46" s="1">
        <f>SUM(OSRRefT22_2x_0)</f>
        <v>500</v>
      </c>
      <c r="U46" s="1"/>
      <c r="V46" s="5">
        <f t="shared" ref="V46:V64" si="33">IF(T$12=0,0,T46/T$12)</f>
        <v>5.0000000000000001E-3</v>
      </c>
      <c r="W46" s="1"/>
      <c r="X46" s="1">
        <f t="shared" ref="X46:X64" si="34">+P46-T46</f>
        <v>-487.48</v>
      </c>
      <c r="Y46" s="1"/>
      <c r="Z46" s="5">
        <f t="shared" ref="Z46:Z64" si="35">IF(T46=0,0,X46/T46)</f>
        <v>-0.97496000000000005</v>
      </c>
    </row>
    <row r="47" spans="1:26" s="24" customFormat="1" hidden="1" outlineLevel="2" x14ac:dyDescent="0.25">
      <c r="A47" s="29"/>
      <c r="B47" s="11" t="str">
        <f>CONCATENATE("          ", "6362", " - ", "ADVERTISING EXPENSE")</f>
        <v xml:space="preserve">          6362 - ADVERTISING EXPENSE</v>
      </c>
      <c r="C47" s="11"/>
      <c r="D47" s="7">
        <v>12.52</v>
      </c>
      <c r="E47" s="2"/>
      <c r="F47" s="6">
        <f t="shared" si="28"/>
        <v>2.6520001736933025E-4</v>
      </c>
      <c r="G47" s="2"/>
      <c r="H47" s="7">
        <v>500</v>
      </c>
      <c r="I47" s="2"/>
      <c r="J47" s="6">
        <f t="shared" si="29"/>
        <v>5.0000000000000001E-3</v>
      </c>
      <c r="K47" s="2"/>
      <c r="L47" s="7">
        <f t="shared" si="30"/>
        <v>-487.48</v>
      </c>
      <c r="M47" s="2"/>
      <c r="N47" s="6">
        <f t="shared" si="31"/>
        <v>-0.97496000000000005</v>
      </c>
      <c r="O47" s="11"/>
      <c r="P47" s="7">
        <v>12.52</v>
      </c>
      <c r="Q47" s="2"/>
      <c r="R47" s="6">
        <f t="shared" si="32"/>
        <v>2.6520001736933025E-4</v>
      </c>
      <c r="S47" s="2"/>
      <c r="T47" s="7">
        <v>500</v>
      </c>
      <c r="U47" s="2"/>
      <c r="V47" s="6">
        <f t="shared" si="33"/>
        <v>5.0000000000000001E-3</v>
      </c>
      <c r="W47" s="2"/>
      <c r="X47" s="7">
        <f t="shared" si="34"/>
        <v>-487.48</v>
      </c>
      <c r="Y47" s="2"/>
      <c r="Z47" s="6">
        <f t="shared" si="35"/>
        <v>-0.97496000000000005</v>
      </c>
    </row>
    <row r="48" spans="1:26" s="27" customFormat="1" outlineLevel="1" collapsed="1" x14ac:dyDescent="0.25">
      <c r="A48" s="28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0.49</v>
      </c>
      <c r="E48" s="1"/>
      <c r="F48" s="5">
        <f t="shared" si="28"/>
        <v>1.0379233906627142E-5</v>
      </c>
      <c r="G48" s="1"/>
      <c r="H48" s="1">
        <f>SUM(OSRRefH22_3x_0)</f>
        <v>-1</v>
      </c>
      <c r="I48" s="1"/>
      <c r="J48" s="5">
        <f t="shared" si="29"/>
        <v>-1.0000000000000001E-5</v>
      </c>
      <c r="K48" s="1"/>
      <c r="L48" s="1">
        <f t="shared" si="30"/>
        <v>1.49</v>
      </c>
      <c r="M48" s="1"/>
      <c r="N48" s="5">
        <f t="shared" si="31"/>
        <v>-1.49</v>
      </c>
      <c r="O48" s="14"/>
      <c r="P48" s="1">
        <f>SUM(OSRRefP22_3x_0)</f>
        <v>0.49</v>
      </c>
      <c r="Q48" s="1"/>
      <c r="R48" s="5">
        <f t="shared" si="32"/>
        <v>1.0379233906627142E-5</v>
      </c>
      <c r="S48" s="1"/>
      <c r="T48" s="1">
        <f>SUM(OSRRefT22_3x_0)</f>
        <v>-1</v>
      </c>
      <c r="U48" s="1"/>
      <c r="V48" s="5">
        <f t="shared" si="33"/>
        <v>-1.0000000000000001E-5</v>
      </c>
      <c r="W48" s="1"/>
      <c r="X48" s="1">
        <f t="shared" si="34"/>
        <v>1.49</v>
      </c>
      <c r="Y48" s="1"/>
      <c r="Z48" s="5">
        <f t="shared" si="35"/>
        <v>-1.49</v>
      </c>
    </row>
    <row r="49" spans="1:26" s="24" customFormat="1" hidden="1" outlineLevel="2" x14ac:dyDescent="0.25">
      <c r="A49" s="29"/>
      <c r="B49" s="11" t="str">
        <f>CONCATENATE("          ", "6272", " - ", "CASH (OVER/SHORT)")</f>
        <v xml:space="preserve">          6272 - CASH (OVER/SHORT)</v>
      </c>
      <c r="C49" s="11"/>
      <c r="D49" s="7">
        <v>0.49</v>
      </c>
      <c r="E49" s="2"/>
      <c r="F49" s="6">
        <f t="shared" si="28"/>
        <v>1.0379233906627142E-5</v>
      </c>
      <c r="G49" s="2"/>
      <c r="H49" s="7">
        <v>-1</v>
      </c>
      <c r="I49" s="2"/>
      <c r="J49" s="6">
        <f t="shared" si="29"/>
        <v>-1.0000000000000001E-5</v>
      </c>
      <c r="K49" s="2"/>
      <c r="L49" s="7">
        <f t="shared" si="30"/>
        <v>1.49</v>
      </c>
      <c r="M49" s="2"/>
      <c r="N49" s="6">
        <f t="shared" si="31"/>
        <v>-1.49</v>
      </c>
      <c r="O49" s="11"/>
      <c r="P49" s="7">
        <v>0.49</v>
      </c>
      <c r="Q49" s="2"/>
      <c r="R49" s="6">
        <f t="shared" si="32"/>
        <v>1.0379233906627142E-5</v>
      </c>
      <c r="S49" s="2"/>
      <c r="T49" s="7">
        <v>-1</v>
      </c>
      <c r="U49" s="2"/>
      <c r="V49" s="6">
        <f t="shared" si="33"/>
        <v>-1.0000000000000001E-5</v>
      </c>
      <c r="W49" s="2"/>
      <c r="X49" s="7">
        <f t="shared" si="34"/>
        <v>1.49</v>
      </c>
      <c r="Y49" s="2"/>
      <c r="Z49" s="6">
        <f t="shared" si="35"/>
        <v>-1.49</v>
      </c>
    </row>
    <row r="50" spans="1:26" s="27" customFormat="1" outlineLevel="1" collapsed="1" x14ac:dyDescent="0.25">
      <c r="A50" s="28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529.75</v>
      </c>
      <c r="E50" s="1"/>
      <c r="F50" s="5">
        <f t="shared" si="28"/>
        <v>1.1221222779664752E-2</v>
      </c>
      <c r="G50" s="1"/>
      <c r="H50" s="1">
        <f>SUM(OSRRefH22_4x_0)</f>
        <v>850</v>
      </c>
      <c r="I50" s="1"/>
      <c r="J50" s="5">
        <f t="shared" si="29"/>
        <v>8.5000000000000006E-3</v>
      </c>
      <c r="K50" s="1"/>
      <c r="L50" s="1">
        <f t="shared" si="30"/>
        <v>-320.25</v>
      </c>
      <c r="M50" s="1"/>
      <c r="N50" s="5">
        <f t="shared" si="31"/>
        <v>-0.37676470588235295</v>
      </c>
      <c r="O50" s="14"/>
      <c r="P50" s="1">
        <f>SUM(OSRRefP22_4x_0)</f>
        <v>529.75</v>
      </c>
      <c r="Q50" s="1"/>
      <c r="R50" s="5">
        <f t="shared" si="32"/>
        <v>1.1221222779664752E-2</v>
      </c>
      <c r="S50" s="1"/>
      <c r="T50" s="1">
        <f>SUM(OSRRefT22_4x_0)</f>
        <v>850</v>
      </c>
      <c r="U50" s="1"/>
      <c r="V50" s="5">
        <f t="shared" si="33"/>
        <v>8.5000000000000006E-3</v>
      </c>
      <c r="W50" s="1"/>
      <c r="X50" s="1">
        <f t="shared" si="34"/>
        <v>-320.25</v>
      </c>
      <c r="Y50" s="1"/>
      <c r="Z50" s="5">
        <f t="shared" si="35"/>
        <v>-0.37676470588235295</v>
      </c>
    </row>
    <row r="51" spans="1:26" s="24" customFormat="1" hidden="1" outlineLevel="2" x14ac:dyDescent="0.25">
      <c r="A51" s="29"/>
      <c r="B51" s="11" t="str">
        <f>CONCATENATE("          ", "6381", " - ", "BANK/CREDIT CARD FEES")</f>
        <v xml:space="preserve">          6381 - BANK/CREDIT CARD FEES</v>
      </c>
      <c r="C51" s="11"/>
      <c r="D51" s="7">
        <v>529.75</v>
      </c>
      <c r="E51" s="2"/>
      <c r="F51" s="6">
        <f t="shared" si="28"/>
        <v>1.1221222779664752E-2</v>
      </c>
      <c r="G51" s="2"/>
      <c r="H51" s="7">
        <v>850</v>
      </c>
      <c r="I51" s="2"/>
      <c r="J51" s="6">
        <f t="shared" si="29"/>
        <v>8.5000000000000006E-3</v>
      </c>
      <c r="K51" s="2"/>
      <c r="L51" s="7">
        <f t="shared" si="30"/>
        <v>-320.25</v>
      </c>
      <c r="M51" s="2"/>
      <c r="N51" s="6">
        <f t="shared" si="31"/>
        <v>-0.37676470588235295</v>
      </c>
      <c r="O51" s="11"/>
      <c r="P51" s="7">
        <v>529.75</v>
      </c>
      <c r="Q51" s="2"/>
      <c r="R51" s="6">
        <f t="shared" si="32"/>
        <v>1.1221222779664752E-2</v>
      </c>
      <c r="S51" s="2"/>
      <c r="T51" s="7">
        <v>850</v>
      </c>
      <c r="U51" s="2"/>
      <c r="V51" s="6">
        <f t="shared" si="33"/>
        <v>8.5000000000000006E-3</v>
      </c>
      <c r="W51" s="2"/>
      <c r="X51" s="7">
        <f t="shared" si="34"/>
        <v>-320.25</v>
      </c>
      <c r="Y51" s="2"/>
      <c r="Z51" s="6">
        <f t="shared" si="35"/>
        <v>-0.37676470588235295</v>
      </c>
    </row>
    <row r="52" spans="1:26" s="27" customFormat="1" outlineLevel="1" collapsed="1" x14ac:dyDescent="0.25">
      <c r="A52" s="28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297.99</v>
      </c>
      <c r="E52" s="1"/>
      <c r="F52" s="5">
        <f t="shared" si="28"/>
        <v>6.3120569629302493E-3</v>
      </c>
      <c r="G52" s="1"/>
      <c r="H52" s="1">
        <f>SUM(OSRRefH22_5x_0)</f>
        <v>298</v>
      </c>
      <c r="I52" s="1"/>
      <c r="J52" s="5">
        <f t="shared" si="29"/>
        <v>2.98E-3</v>
      </c>
      <c r="K52" s="1"/>
      <c r="L52" s="1">
        <f t="shared" si="30"/>
        <v>-9.9999999999909051E-3</v>
      </c>
      <c r="M52" s="1"/>
      <c r="N52" s="5">
        <f t="shared" si="31"/>
        <v>-3.3557046979835255E-5</v>
      </c>
      <c r="O52" s="14"/>
      <c r="P52" s="1">
        <f>SUM(OSRRefP22_5x_0)</f>
        <v>297.99</v>
      </c>
      <c r="Q52" s="1"/>
      <c r="R52" s="5">
        <f t="shared" si="32"/>
        <v>6.3120569629302493E-3</v>
      </c>
      <c r="S52" s="1"/>
      <c r="T52" s="1">
        <f>SUM(OSRRefT22_5x_0)</f>
        <v>298</v>
      </c>
      <c r="U52" s="1"/>
      <c r="V52" s="5">
        <f t="shared" si="33"/>
        <v>2.98E-3</v>
      </c>
      <c r="W52" s="1"/>
      <c r="X52" s="1">
        <f t="shared" si="34"/>
        <v>-9.9999999999909051E-3</v>
      </c>
      <c r="Y52" s="1"/>
      <c r="Z52" s="5">
        <f t="shared" si="35"/>
        <v>-3.3557046979835255E-5</v>
      </c>
    </row>
    <row r="53" spans="1:26" s="24" customFormat="1" hidden="1" outlineLevel="2" x14ac:dyDescent="0.25">
      <c r="A53" s="29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297.99</v>
      </c>
      <c r="E53" s="2"/>
      <c r="F53" s="6">
        <f t="shared" si="28"/>
        <v>6.3120569629302493E-3</v>
      </c>
      <c r="G53" s="2"/>
      <c r="H53" s="7">
        <v>298</v>
      </c>
      <c r="I53" s="2"/>
      <c r="J53" s="6">
        <f t="shared" si="29"/>
        <v>2.98E-3</v>
      </c>
      <c r="K53" s="2"/>
      <c r="L53" s="7">
        <f t="shared" si="30"/>
        <v>-9.9999999999909051E-3</v>
      </c>
      <c r="M53" s="2"/>
      <c r="N53" s="6">
        <f t="shared" si="31"/>
        <v>-3.3557046979835255E-5</v>
      </c>
      <c r="O53" s="11"/>
      <c r="P53" s="7">
        <v>297.99</v>
      </c>
      <c r="Q53" s="2"/>
      <c r="R53" s="6">
        <f t="shared" si="32"/>
        <v>6.3120569629302493E-3</v>
      </c>
      <c r="S53" s="2"/>
      <c r="T53" s="7">
        <v>298</v>
      </c>
      <c r="U53" s="2"/>
      <c r="V53" s="6">
        <f t="shared" si="33"/>
        <v>2.98E-3</v>
      </c>
      <c r="W53" s="2"/>
      <c r="X53" s="7">
        <f t="shared" si="34"/>
        <v>-9.9999999999909051E-3</v>
      </c>
      <c r="Y53" s="2"/>
      <c r="Z53" s="6">
        <f t="shared" si="35"/>
        <v>-3.3557046979835255E-5</v>
      </c>
    </row>
    <row r="54" spans="1:26" s="27" customFormat="1" outlineLevel="1" collapsed="1" x14ac:dyDescent="0.25">
      <c r="A54" s="28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SUM(OSRRefD22_6x_0)</f>
        <v>0</v>
      </c>
      <c r="E54" s="1"/>
      <c r="F54" s="5">
        <f t="shared" si="28"/>
        <v>0</v>
      </c>
      <c r="G54" s="1"/>
      <c r="H54" s="1">
        <f>SUM(OSRRefH22_6x_0)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SUM(OSRRefP22_6x_0)</f>
        <v>0</v>
      </c>
      <c r="Q54" s="1"/>
      <c r="R54" s="5">
        <f t="shared" si="32"/>
        <v>0</v>
      </c>
      <c r="S54" s="1"/>
      <c r="T54" s="1">
        <f>SUM(OSRRefT22_6x_0)</f>
        <v>0</v>
      </c>
      <c r="U54" s="1"/>
      <c r="V54" s="5">
        <f t="shared" si="33"/>
        <v>0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9"/>
      <c r="B55" s="11" t="str">
        <f>CONCATENATE("          ", "6351", " - ", "EQUIPMENT RENTAL")</f>
        <v xml:space="preserve">          6351 - EQUIPMENT RENTAL</v>
      </c>
      <c r="C55" s="11"/>
      <c r="D55" s="7"/>
      <c r="E55" s="2"/>
      <c r="F55" s="6">
        <f t="shared" si="28"/>
        <v>0</v>
      </c>
      <c r="G55" s="2"/>
      <c r="H55" s="7">
        <v>0</v>
      </c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/>
      <c r="Q55" s="2"/>
      <c r="R55" s="6">
        <f t="shared" si="32"/>
        <v>0</v>
      </c>
      <c r="S55" s="2"/>
      <c r="T55" s="7">
        <v>0</v>
      </c>
      <c r="U55" s="2"/>
      <c r="V55" s="6">
        <f t="shared" si="33"/>
        <v>0</v>
      </c>
      <c r="W55" s="2"/>
      <c r="X55" s="7">
        <f t="shared" si="34"/>
        <v>0</v>
      </c>
      <c r="Y55" s="2"/>
      <c r="Z55" s="6">
        <f t="shared" si="35"/>
        <v>0</v>
      </c>
    </row>
    <row r="56" spans="1:26" s="27" customFormat="1" outlineLevel="1" collapsed="1" x14ac:dyDescent="0.25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SUM(OSRRefD22_7x_0)</f>
        <v>1794.55</v>
      </c>
      <c r="E56" s="1"/>
      <c r="F56" s="5">
        <f t="shared" si="28"/>
        <v>3.8012355524770891E-2</v>
      </c>
      <c r="G56" s="1"/>
      <c r="H56" s="1">
        <f>SUM(OSRRefH22_7x_0)</f>
        <v>3600</v>
      </c>
      <c r="I56" s="1"/>
      <c r="J56" s="5">
        <f t="shared" si="29"/>
        <v>3.5999999999999997E-2</v>
      </c>
      <c r="K56" s="1"/>
      <c r="L56" s="1">
        <f t="shared" si="30"/>
        <v>-1805.45</v>
      </c>
      <c r="M56" s="1"/>
      <c r="N56" s="5">
        <f t="shared" si="31"/>
        <v>-0.50151388888888893</v>
      </c>
      <c r="O56" s="14"/>
      <c r="P56" s="1">
        <f>SUM(OSRRefP22_7x_0)</f>
        <v>1794.55</v>
      </c>
      <c r="Q56" s="1"/>
      <c r="R56" s="5">
        <f t="shared" si="32"/>
        <v>3.8012355524770891E-2</v>
      </c>
      <c r="S56" s="1"/>
      <c r="T56" s="1">
        <f>SUM(OSRRefT22_7x_0)</f>
        <v>3600</v>
      </c>
      <c r="U56" s="1"/>
      <c r="V56" s="5">
        <f t="shared" si="33"/>
        <v>3.5999999999999997E-2</v>
      </c>
      <c r="W56" s="1"/>
      <c r="X56" s="1">
        <f t="shared" si="34"/>
        <v>-1805.45</v>
      </c>
      <c r="Y56" s="1"/>
      <c r="Z56" s="5">
        <f t="shared" si="35"/>
        <v>-0.50151388888888893</v>
      </c>
    </row>
    <row r="57" spans="1:26" s="24" customFormat="1" hidden="1" outlineLevel="2" x14ac:dyDescent="0.25">
      <c r="A57" s="29"/>
      <c r="B57" s="11" t="str">
        <f>CONCATENATE("          ", "6279", " - ", "GENERAL EXPENSE")</f>
        <v xml:space="preserve">          6279 - GENERAL EXPENSE</v>
      </c>
      <c r="C57" s="11"/>
      <c r="D57" s="7">
        <v>1794.55</v>
      </c>
      <c r="E57" s="2"/>
      <c r="F57" s="6">
        <f t="shared" si="28"/>
        <v>3.8012355524770891E-2</v>
      </c>
      <c r="G57" s="2"/>
      <c r="H57" s="7">
        <v>3600</v>
      </c>
      <c r="I57" s="2"/>
      <c r="J57" s="6">
        <f t="shared" si="29"/>
        <v>3.5999999999999997E-2</v>
      </c>
      <c r="K57" s="2"/>
      <c r="L57" s="7">
        <f t="shared" si="30"/>
        <v>-1805.45</v>
      </c>
      <c r="M57" s="2"/>
      <c r="N57" s="6">
        <f t="shared" si="31"/>
        <v>-0.50151388888888893</v>
      </c>
      <c r="O57" s="11"/>
      <c r="P57" s="7">
        <v>1794.55</v>
      </c>
      <c r="Q57" s="2"/>
      <c r="R57" s="6">
        <f t="shared" si="32"/>
        <v>3.8012355524770891E-2</v>
      </c>
      <c r="S57" s="2"/>
      <c r="T57" s="7">
        <v>3600</v>
      </c>
      <c r="U57" s="2"/>
      <c r="V57" s="6">
        <f t="shared" si="33"/>
        <v>3.5999999999999997E-2</v>
      </c>
      <c r="W57" s="2"/>
      <c r="X57" s="7">
        <f t="shared" si="34"/>
        <v>-1805.45</v>
      </c>
      <c r="Y57" s="2"/>
      <c r="Z57" s="6">
        <f t="shared" si="35"/>
        <v>-0.50151388888888893</v>
      </c>
    </row>
    <row r="58" spans="1:26" s="27" customFormat="1" outlineLevel="1" collapsed="1" x14ac:dyDescent="0.25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SUM(OSRRefD22_8x_0)</f>
        <v>265.87</v>
      </c>
      <c r="E58" s="1"/>
      <c r="F58" s="5">
        <f t="shared" si="28"/>
        <v>5.6316875892958333E-3</v>
      </c>
      <c r="G58" s="1"/>
      <c r="H58" s="1">
        <f>SUM(OSRRefH22_8x_0)</f>
        <v>1000</v>
      </c>
      <c r="I58" s="1"/>
      <c r="J58" s="5">
        <f t="shared" si="29"/>
        <v>0.01</v>
      </c>
      <c r="K58" s="1"/>
      <c r="L58" s="1">
        <f t="shared" si="30"/>
        <v>-734.13</v>
      </c>
      <c r="M58" s="1"/>
      <c r="N58" s="5">
        <f t="shared" si="31"/>
        <v>-0.73412999999999995</v>
      </c>
      <c r="O58" s="14"/>
      <c r="P58" s="1">
        <f>SUM(OSRRefP22_8x_0)</f>
        <v>265.87</v>
      </c>
      <c r="Q58" s="1"/>
      <c r="R58" s="5">
        <f t="shared" si="32"/>
        <v>5.6316875892958333E-3</v>
      </c>
      <c r="S58" s="1"/>
      <c r="T58" s="1">
        <f>SUM(OSRRefT22_8x_0)</f>
        <v>1000</v>
      </c>
      <c r="U58" s="1"/>
      <c r="V58" s="5">
        <f t="shared" si="33"/>
        <v>0.01</v>
      </c>
      <c r="W58" s="1"/>
      <c r="X58" s="1">
        <f t="shared" si="34"/>
        <v>-734.13</v>
      </c>
      <c r="Y58" s="1"/>
      <c r="Z58" s="5">
        <f t="shared" si="35"/>
        <v>-0.73412999999999995</v>
      </c>
    </row>
    <row r="59" spans="1:26" s="24" customFormat="1" hidden="1" outlineLevel="2" x14ac:dyDescent="0.25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7">
        <v>265.87</v>
      </c>
      <c r="E59" s="2"/>
      <c r="F59" s="6">
        <f t="shared" si="28"/>
        <v>5.6316875892958333E-3</v>
      </c>
      <c r="G59" s="2"/>
      <c r="H59" s="7">
        <v>1000</v>
      </c>
      <c r="I59" s="2"/>
      <c r="J59" s="6">
        <f t="shared" si="29"/>
        <v>0.01</v>
      </c>
      <c r="K59" s="2"/>
      <c r="L59" s="7">
        <f t="shared" si="30"/>
        <v>-734.13</v>
      </c>
      <c r="M59" s="2"/>
      <c r="N59" s="6">
        <f t="shared" si="31"/>
        <v>-0.73412999999999995</v>
      </c>
      <c r="O59" s="11"/>
      <c r="P59" s="7">
        <v>265.87</v>
      </c>
      <c r="Q59" s="2"/>
      <c r="R59" s="6">
        <f t="shared" si="32"/>
        <v>5.6316875892958333E-3</v>
      </c>
      <c r="S59" s="2"/>
      <c r="T59" s="7">
        <v>1000</v>
      </c>
      <c r="U59" s="2"/>
      <c r="V59" s="6">
        <f t="shared" si="33"/>
        <v>0.01</v>
      </c>
      <c r="W59" s="2"/>
      <c r="X59" s="7">
        <f t="shared" si="34"/>
        <v>-734.13</v>
      </c>
      <c r="Y59" s="2"/>
      <c r="Z59" s="6">
        <f t="shared" si="35"/>
        <v>-0.73412999999999995</v>
      </c>
    </row>
    <row r="60" spans="1:26" s="27" customFormat="1" outlineLevel="1" collapsed="1" x14ac:dyDescent="0.25">
      <c r="A60" s="28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SUM(OSRRefD22_9x_0)</f>
        <v>0</v>
      </c>
      <c r="E60" s="1"/>
      <c r="F60" s="5">
        <f t="shared" si="28"/>
        <v>0</v>
      </c>
      <c r="G60" s="1"/>
      <c r="H60" s="1">
        <f>SUM(OSRRefH22_9x_0)</f>
        <v>3000</v>
      </c>
      <c r="I60" s="1"/>
      <c r="J60" s="5">
        <f t="shared" si="29"/>
        <v>0.03</v>
      </c>
      <c r="K60" s="1"/>
      <c r="L60" s="1">
        <f t="shared" si="30"/>
        <v>-3000</v>
      </c>
      <c r="M60" s="1"/>
      <c r="N60" s="5">
        <f t="shared" si="31"/>
        <v>-1</v>
      </c>
      <c r="O60" s="14"/>
      <c r="P60" s="1">
        <f>SUM(OSRRefP22_9x_0)</f>
        <v>0</v>
      </c>
      <c r="Q60" s="1"/>
      <c r="R60" s="5">
        <f t="shared" si="32"/>
        <v>0</v>
      </c>
      <c r="S60" s="1"/>
      <c r="T60" s="1">
        <f>SUM(OSRRefT22_9x_0)</f>
        <v>3000</v>
      </c>
      <c r="U60" s="1"/>
      <c r="V60" s="5">
        <f t="shared" si="33"/>
        <v>0.03</v>
      </c>
      <c r="W60" s="1"/>
      <c r="X60" s="1">
        <f t="shared" si="34"/>
        <v>-3000</v>
      </c>
      <c r="Y60" s="1"/>
      <c r="Z60" s="5">
        <f t="shared" si="35"/>
        <v>-1</v>
      </c>
    </row>
    <row r="61" spans="1:26" s="24" customFormat="1" hidden="1" outlineLevel="2" x14ac:dyDescent="0.25">
      <c r="A61" s="29"/>
      <c r="B61" s="11" t="str">
        <f>CONCATENATE("          ", "6254", " - ", "ROYALTY &amp; COMMISSIONS")</f>
        <v xml:space="preserve">          6254 - ROYALTY &amp; COMMISSIONS</v>
      </c>
      <c r="C61" s="11"/>
      <c r="D61" s="7"/>
      <c r="E61" s="2"/>
      <c r="F61" s="6">
        <f t="shared" si="28"/>
        <v>0</v>
      </c>
      <c r="G61" s="2"/>
      <c r="H61" s="7">
        <v>3000</v>
      </c>
      <c r="I61" s="2"/>
      <c r="J61" s="6">
        <f t="shared" si="29"/>
        <v>0.03</v>
      </c>
      <c r="K61" s="2"/>
      <c r="L61" s="7">
        <f t="shared" si="30"/>
        <v>-3000</v>
      </c>
      <c r="M61" s="2"/>
      <c r="N61" s="6">
        <f t="shared" si="31"/>
        <v>-1</v>
      </c>
      <c r="O61" s="11"/>
      <c r="P61" s="7"/>
      <c r="Q61" s="2"/>
      <c r="R61" s="6">
        <f t="shared" si="32"/>
        <v>0</v>
      </c>
      <c r="S61" s="2"/>
      <c r="T61" s="7">
        <v>3000</v>
      </c>
      <c r="U61" s="2"/>
      <c r="V61" s="6">
        <f t="shared" si="33"/>
        <v>0.03</v>
      </c>
      <c r="W61" s="2"/>
      <c r="X61" s="7">
        <f t="shared" si="34"/>
        <v>-3000</v>
      </c>
      <c r="Y61" s="2"/>
      <c r="Z61" s="6">
        <f t="shared" si="35"/>
        <v>-1</v>
      </c>
    </row>
    <row r="62" spans="1:26" s="27" customFormat="1" outlineLevel="1" collapsed="1" x14ac:dyDescent="0.25">
      <c r="A62" s="28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SUM(OSRRefD22_10x_0)</f>
        <v>2434.0499999999997</v>
      </c>
      <c r="E62" s="1"/>
      <c r="F62" s="5">
        <f t="shared" si="28"/>
        <v>5.1558314878419984E-2</v>
      </c>
      <c r="G62" s="1"/>
      <c r="H62" s="1">
        <f>SUM(OSRRefH22_10x_0)</f>
        <v>2960</v>
      </c>
      <c r="I62" s="1"/>
      <c r="J62" s="5">
        <f t="shared" si="29"/>
        <v>2.9600000000000001E-2</v>
      </c>
      <c r="K62" s="1"/>
      <c r="L62" s="1">
        <f t="shared" si="30"/>
        <v>-525.95000000000027</v>
      </c>
      <c r="M62" s="1"/>
      <c r="N62" s="5">
        <f t="shared" si="31"/>
        <v>-0.17768581081081089</v>
      </c>
      <c r="O62" s="14"/>
      <c r="P62" s="1">
        <f>SUM(OSRRefP22_10x_0)</f>
        <v>2434.0499999999997</v>
      </c>
      <c r="Q62" s="1"/>
      <c r="R62" s="5">
        <f t="shared" si="32"/>
        <v>5.1558314878419984E-2</v>
      </c>
      <c r="S62" s="1"/>
      <c r="T62" s="1">
        <f>SUM(OSRRefT22_10x_0)</f>
        <v>2960</v>
      </c>
      <c r="U62" s="1"/>
      <c r="V62" s="5">
        <f t="shared" si="33"/>
        <v>2.9600000000000001E-2</v>
      </c>
      <c r="W62" s="1"/>
      <c r="X62" s="1">
        <f t="shared" si="34"/>
        <v>-525.95000000000027</v>
      </c>
      <c r="Y62" s="1"/>
      <c r="Z62" s="5">
        <f t="shared" si="35"/>
        <v>-0.17768581081081089</v>
      </c>
    </row>
    <row r="63" spans="1:26" s="24" customFormat="1" hidden="1" outlineLevel="2" x14ac:dyDescent="0.25">
      <c r="A63" s="29"/>
      <c r="B63" s="11" t="str">
        <f>CONCATENATE("          ", "6283", " - ", "PLANT SERVICE")</f>
        <v xml:space="preserve">          6283 - PLANT SERVICE</v>
      </c>
      <c r="C63" s="11"/>
      <c r="D63" s="7">
        <v>62.95</v>
      </c>
      <c r="E63" s="2"/>
      <c r="F63" s="6">
        <f t="shared" si="28"/>
        <v>1.333413825351385E-3</v>
      </c>
      <c r="G63" s="2"/>
      <c r="H63" s="7">
        <v>60</v>
      </c>
      <c r="I63" s="2"/>
      <c r="J63" s="6">
        <f t="shared" si="29"/>
        <v>5.9999999999999995E-4</v>
      </c>
      <c r="K63" s="2"/>
      <c r="L63" s="7">
        <f t="shared" si="30"/>
        <v>2.9500000000000028</v>
      </c>
      <c r="M63" s="2"/>
      <c r="N63" s="6">
        <f t="shared" si="31"/>
        <v>4.9166666666666713E-2</v>
      </c>
      <c r="O63" s="11"/>
      <c r="P63" s="7">
        <v>62.95</v>
      </c>
      <c r="Q63" s="2"/>
      <c r="R63" s="6">
        <f t="shared" si="32"/>
        <v>1.333413825351385E-3</v>
      </c>
      <c r="S63" s="2"/>
      <c r="T63" s="7">
        <v>60</v>
      </c>
      <c r="U63" s="2"/>
      <c r="V63" s="6">
        <f t="shared" si="33"/>
        <v>5.9999999999999995E-4</v>
      </c>
      <c r="W63" s="2"/>
      <c r="X63" s="7">
        <f t="shared" si="34"/>
        <v>2.9500000000000028</v>
      </c>
      <c r="Y63" s="2"/>
      <c r="Z63" s="6">
        <f t="shared" si="35"/>
        <v>4.9166666666666713E-2</v>
      </c>
    </row>
    <row r="64" spans="1:26" s="24" customFormat="1" hidden="1" outlineLevel="2" x14ac:dyDescent="0.25">
      <c r="A64" s="29"/>
      <c r="B64" s="11" t="str">
        <f>CONCATENATE("          ", "6286", " - ", "LAUNDRY EXPENSE")</f>
        <v xml:space="preserve">          6286 - LAUNDRY EXPENSE</v>
      </c>
      <c r="C64" s="11"/>
      <c r="D64" s="7">
        <v>2371.1</v>
      </c>
      <c r="E64" s="2"/>
      <c r="F64" s="6">
        <f t="shared" si="28"/>
        <v>5.02249010530686E-2</v>
      </c>
      <c r="G64" s="2"/>
      <c r="H64" s="7">
        <v>2900</v>
      </c>
      <c r="I64" s="2"/>
      <c r="J64" s="6">
        <f t="shared" si="29"/>
        <v>2.9000000000000001E-2</v>
      </c>
      <c r="K64" s="2"/>
      <c r="L64" s="7">
        <f t="shared" si="30"/>
        <v>-528.90000000000009</v>
      </c>
      <c r="M64" s="2"/>
      <c r="N64" s="6">
        <f t="shared" si="31"/>
        <v>-0.18237931034482763</v>
      </c>
      <c r="O64" s="11"/>
      <c r="P64" s="7">
        <v>2371.1</v>
      </c>
      <c r="Q64" s="2"/>
      <c r="R64" s="6">
        <f t="shared" si="32"/>
        <v>5.02249010530686E-2</v>
      </c>
      <c r="S64" s="2"/>
      <c r="T64" s="7">
        <v>2900</v>
      </c>
      <c r="U64" s="2"/>
      <c r="V64" s="6">
        <f t="shared" si="33"/>
        <v>2.9000000000000001E-2</v>
      </c>
      <c r="W64" s="2"/>
      <c r="X64" s="7">
        <f t="shared" si="34"/>
        <v>-528.90000000000009</v>
      </c>
      <c r="Y64" s="2"/>
      <c r="Z64" s="6">
        <f t="shared" si="35"/>
        <v>-0.18237931034482763</v>
      </c>
    </row>
    <row r="65" spans="1:26" s="27" customFormat="1" outlineLevel="1" collapsed="1" x14ac:dyDescent="0.25">
      <c r="A65" s="28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SUM(OSRRefD22_11x_0)</f>
        <v>945.75</v>
      </c>
      <c r="E65" s="1"/>
      <c r="F65" s="5">
        <f t="shared" ref="F65:F71" si="36">IF(D$12=0,0,D65/D$12)</f>
        <v>2.0032980545291061E-2</v>
      </c>
      <c r="G65" s="1"/>
      <c r="H65" s="1">
        <f>SUM(OSRRefH22_11x_0)</f>
        <v>1682.9</v>
      </c>
      <c r="I65" s="1"/>
      <c r="J65" s="5">
        <f t="shared" ref="J65:J71" si="37">IF(H$12=0,0,H65/H$12)</f>
        <v>1.6829E-2</v>
      </c>
      <c r="K65" s="1"/>
      <c r="L65" s="1">
        <f t="shared" ref="L65:L71" si="38">+D65-H65</f>
        <v>-737.15000000000009</v>
      </c>
      <c r="M65" s="1"/>
      <c r="N65" s="5">
        <f t="shared" ref="N65:N71" si="39">IF(H65=0,0,L65/H65)</f>
        <v>-0.43802364965238577</v>
      </c>
      <c r="O65" s="14"/>
      <c r="P65" s="1">
        <f>SUM(OSRRefP22_11x_0)</f>
        <v>945.75</v>
      </c>
      <c r="Q65" s="1"/>
      <c r="R65" s="5">
        <f t="shared" ref="R65:R71" si="40">IF(P$12=0,0,P65/P$12)</f>
        <v>2.0032980545291061E-2</v>
      </c>
      <c r="S65" s="1"/>
      <c r="T65" s="1">
        <f>SUM(OSRRefT22_11x_0)</f>
        <v>1682.9</v>
      </c>
      <c r="U65" s="1"/>
      <c r="V65" s="5">
        <f t="shared" ref="V65:V71" si="41">IF(T$12=0,0,T65/T$12)</f>
        <v>1.6829E-2</v>
      </c>
      <c r="W65" s="1"/>
      <c r="X65" s="1">
        <f t="shared" ref="X65:X71" si="42">+P65-T65</f>
        <v>-737.15000000000009</v>
      </c>
      <c r="Y65" s="1"/>
      <c r="Z65" s="5">
        <f t="shared" ref="Z65:Z71" si="43">IF(T65=0,0,X65/T65)</f>
        <v>-0.43802364965238577</v>
      </c>
    </row>
    <row r="66" spans="1:26" s="24" customFormat="1" hidden="1" outlineLevel="2" x14ac:dyDescent="0.25">
      <c r="A66" s="29"/>
      <c r="B66" s="11" t="str">
        <f>CONCATENATE("          ", "6234", " - ", "EXPENDABLE SUPPLIES &amp; EQUIPMEN")</f>
        <v xml:space="preserve">          6234 - EXPENDABLE SUPPLIES &amp; EQUIPMEN</v>
      </c>
      <c r="C66" s="11"/>
      <c r="D66" s="7"/>
      <c r="E66" s="2"/>
      <c r="F66" s="6">
        <f t="shared" si="36"/>
        <v>0</v>
      </c>
      <c r="G66" s="2"/>
      <c r="H66" s="7">
        <v>500</v>
      </c>
      <c r="I66" s="2"/>
      <c r="J66" s="6">
        <f t="shared" si="37"/>
        <v>5.0000000000000001E-3</v>
      </c>
      <c r="K66" s="2"/>
      <c r="L66" s="7">
        <f t="shared" si="38"/>
        <v>-500</v>
      </c>
      <c r="M66" s="2"/>
      <c r="N66" s="6">
        <f t="shared" si="39"/>
        <v>-1</v>
      </c>
      <c r="O66" s="11"/>
      <c r="P66" s="7"/>
      <c r="Q66" s="2"/>
      <c r="R66" s="6">
        <f t="shared" si="40"/>
        <v>0</v>
      </c>
      <c r="S66" s="2"/>
      <c r="T66" s="7">
        <v>500</v>
      </c>
      <c r="U66" s="2"/>
      <c r="V66" s="6">
        <f t="shared" si="41"/>
        <v>5.0000000000000001E-3</v>
      </c>
      <c r="W66" s="2"/>
      <c r="X66" s="7">
        <f t="shared" si="42"/>
        <v>-500</v>
      </c>
      <c r="Y66" s="2"/>
      <c r="Z66" s="6">
        <f t="shared" si="43"/>
        <v>-1</v>
      </c>
    </row>
    <row r="67" spans="1:26" s="24" customFormat="1" hidden="1" outlineLevel="2" x14ac:dyDescent="0.25">
      <c r="A67" s="29"/>
      <c r="B67" s="11" t="str">
        <f>CONCATENATE("          ", "6239", " - ", "KITCHEN SUPPLIES")</f>
        <v xml:space="preserve">          6239 - KITCHEN SUPPLIES</v>
      </c>
      <c r="C67" s="11"/>
      <c r="D67" s="7">
        <v>116.54</v>
      </c>
      <c r="E67" s="2"/>
      <c r="F67" s="6">
        <f t="shared" si="36"/>
        <v>2.4685631009761779E-3</v>
      </c>
      <c r="G67" s="2"/>
      <c r="H67" s="7"/>
      <c r="I67" s="2"/>
      <c r="J67" s="6">
        <f t="shared" si="37"/>
        <v>0</v>
      </c>
      <c r="K67" s="2"/>
      <c r="L67" s="7">
        <f t="shared" si="38"/>
        <v>116.54</v>
      </c>
      <c r="M67" s="2"/>
      <c r="N67" s="6">
        <f t="shared" si="39"/>
        <v>0</v>
      </c>
      <c r="O67" s="11"/>
      <c r="P67" s="7">
        <v>116.54</v>
      </c>
      <c r="Q67" s="2"/>
      <c r="R67" s="6">
        <f t="shared" si="40"/>
        <v>2.4685631009761779E-3</v>
      </c>
      <c r="S67" s="2"/>
      <c r="T67" s="7"/>
      <c r="U67" s="2"/>
      <c r="V67" s="6">
        <f t="shared" si="41"/>
        <v>0</v>
      </c>
      <c r="W67" s="2"/>
      <c r="X67" s="7">
        <f t="shared" si="42"/>
        <v>116.54</v>
      </c>
      <c r="Y67" s="2"/>
      <c r="Z67" s="6">
        <f t="shared" si="43"/>
        <v>0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7">
        <v>104.92</v>
      </c>
      <c r="E68" s="2"/>
      <c r="F68" s="6">
        <f t="shared" si="36"/>
        <v>2.22242698261902E-3</v>
      </c>
      <c r="G68" s="2"/>
      <c r="H68" s="7">
        <v>306.25</v>
      </c>
      <c r="I68" s="2"/>
      <c r="J68" s="6">
        <f t="shared" si="37"/>
        <v>3.0625000000000001E-3</v>
      </c>
      <c r="K68" s="2"/>
      <c r="L68" s="7">
        <f t="shared" si="38"/>
        <v>-201.32999999999998</v>
      </c>
      <c r="M68" s="2"/>
      <c r="N68" s="6">
        <f t="shared" si="39"/>
        <v>-0.65740408163265296</v>
      </c>
      <c r="O68" s="11"/>
      <c r="P68" s="7">
        <v>104.92</v>
      </c>
      <c r="Q68" s="2"/>
      <c r="R68" s="6">
        <f t="shared" si="40"/>
        <v>2.22242698261902E-3</v>
      </c>
      <c r="S68" s="2"/>
      <c r="T68" s="7">
        <v>306.25</v>
      </c>
      <c r="U68" s="2"/>
      <c r="V68" s="6">
        <f t="shared" si="41"/>
        <v>3.0625000000000001E-3</v>
      </c>
      <c r="W68" s="2"/>
      <c r="X68" s="7">
        <f t="shared" si="42"/>
        <v>-201.32999999999998</v>
      </c>
      <c r="Y68" s="2"/>
      <c r="Z68" s="6">
        <f t="shared" si="43"/>
        <v>-0.65740408163265296</v>
      </c>
    </row>
    <row r="69" spans="1:26" s="24" customFormat="1" hidden="1" outlineLevel="2" x14ac:dyDescent="0.25">
      <c r="A69" s="29"/>
      <c r="B69" s="11" t="str">
        <f>CONCATENATE("          ", "6243", " - ", "PAPER SUPPLIES")</f>
        <v xml:space="preserve">          6243 - PAPER SUPPLIES</v>
      </c>
      <c r="C69" s="11"/>
      <c r="D69" s="7">
        <v>513.75</v>
      </c>
      <c r="E69" s="2"/>
      <c r="F69" s="6">
        <f t="shared" si="36"/>
        <v>1.0882309019448356E-2</v>
      </c>
      <c r="G69" s="2"/>
      <c r="H69" s="7">
        <v>500</v>
      </c>
      <c r="I69" s="2"/>
      <c r="J69" s="6">
        <f t="shared" si="37"/>
        <v>5.0000000000000001E-3</v>
      </c>
      <c r="K69" s="2"/>
      <c r="L69" s="7">
        <f t="shared" si="38"/>
        <v>13.75</v>
      </c>
      <c r="M69" s="2"/>
      <c r="N69" s="6">
        <f t="shared" si="39"/>
        <v>2.75E-2</v>
      </c>
      <c r="O69" s="11"/>
      <c r="P69" s="7">
        <v>513.75</v>
      </c>
      <c r="Q69" s="2"/>
      <c r="R69" s="6">
        <f t="shared" si="40"/>
        <v>1.0882309019448356E-2</v>
      </c>
      <c r="S69" s="2"/>
      <c r="T69" s="7">
        <v>500</v>
      </c>
      <c r="U69" s="2"/>
      <c r="V69" s="6">
        <f t="shared" si="41"/>
        <v>5.0000000000000001E-3</v>
      </c>
      <c r="W69" s="2"/>
      <c r="X69" s="7">
        <f t="shared" si="42"/>
        <v>13.75</v>
      </c>
      <c r="Y69" s="2"/>
      <c r="Z69" s="6">
        <f t="shared" si="43"/>
        <v>2.75E-2</v>
      </c>
    </row>
    <row r="70" spans="1:26" s="24" customFormat="1" hidden="1" outlineLevel="2" x14ac:dyDescent="0.25">
      <c r="A70" s="29"/>
      <c r="B70" s="11" t="str">
        <f>CONCATENATE("          ", "6247", " - ", "STORE SUPPLIES")</f>
        <v xml:space="preserve">          6247 - STORE SUPPLIES</v>
      </c>
      <c r="C70" s="11"/>
      <c r="D70" s="7">
        <v>210.54</v>
      </c>
      <c r="E70" s="2"/>
      <c r="F70" s="6">
        <f t="shared" si="36"/>
        <v>4.4596814422475069E-3</v>
      </c>
      <c r="G70" s="2"/>
      <c r="H70" s="7">
        <v>76.650000000000006</v>
      </c>
      <c r="I70" s="2"/>
      <c r="J70" s="6">
        <f t="shared" si="37"/>
        <v>7.6650000000000004E-4</v>
      </c>
      <c r="K70" s="2"/>
      <c r="L70" s="7">
        <f t="shared" si="38"/>
        <v>133.88999999999999</v>
      </c>
      <c r="M70" s="2"/>
      <c r="N70" s="6">
        <f t="shared" si="39"/>
        <v>1.7467710371819958</v>
      </c>
      <c r="O70" s="11"/>
      <c r="P70" s="7">
        <v>210.54</v>
      </c>
      <c r="Q70" s="2"/>
      <c r="R70" s="6">
        <f t="shared" si="40"/>
        <v>4.4596814422475069E-3</v>
      </c>
      <c r="S70" s="2"/>
      <c r="T70" s="7">
        <v>76.650000000000006</v>
      </c>
      <c r="U70" s="2"/>
      <c r="V70" s="6">
        <f t="shared" si="41"/>
        <v>7.6650000000000004E-4</v>
      </c>
      <c r="W70" s="2"/>
      <c r="X70" s="7">
        <f t="shared" si="42"/>
        <v>133.88999999999999</v>
      </c>
      <c r="Y70" s="2"/>
      <c r="Z70" s="6">
        <f t="shared" si="43"/>
        <v>1.7467710371819958</v>
      </c>
    </row>
    <row r="71" spans="1:26" s="24" customFormat="1" hidden="1" outlineLevel="2" x14ac:dyDescent="0.25">
      <c r="A71" s="29"/>
      <c r="B71" s="11" t="str">
        <f>CONCATENATE("          ", "6248", " - ", "UNIFORMS")</f>
        <v xml:space="preserve">          6248 - UNIFORMS</v>
      </c>
      <c r="C71" s="11"/>
      <c r="D71" s="7"/>
      <c r="E71" s="2"/>
      <c r="F71" s="6">
        <f t="shared" si="36"/>
        <v>0</v>
      </c>
      <c r="G71" s="2"/>
      <c r="H71" s="7">
        <v>300</v>
      </c>
      <c r="I71" s="2"/>
      <c r="J71" s="6">
        <f t="shared" si="37"/>
        <v>3.0000000000000001E-3</v>
      </c>
      <c r="K71" s="2"/>
      <c r="L71" s="7">
        <f t="shared" si="38"/>
        <v>-300</v>
      </c>
      <c r="M71" s="2"/>
      <c r="N71" s="6">
        <f t="shared" si="39"/>
        <v>-1</v>
      </c>
      <c r="O71" s="11"/>
      <c r="P71" s="7"/>
      <c r="Q71" s="2"/>
      <c r="R71" s="6">
        <f t="shared" si="40"/>
        <v>0</v>
      </c>
      <c r="S71" s="2"/>
      <c r="T71" s="7">
        <v>300</v>
      </c>
      <c r="U71" s="2"/>
      <c r="V71" s="6">
        <f t="shared" si="41"/>
        <v>3.0000000000000001E-3</v>
      </c>
      <c r="W71" s="2"/>
      <c r="X71" s="7">
        <f t="shared" si="42"/>
        <v>-300</v>
      </c>
      <c r="Y71" s="2"/>
      <c r="Z71" s="6">
        <f t="shared" si="43"/>
        <v>-1</v>
      </c>
    </row>
    <row r="72" spans="1:26" s="27" customFormat="1" outlineLevel="1" collapsed="1" x14ac:dyDescent="0.25">
      <c r="A72" s="28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SUM(OSRRefD22_12x_0)</f>
        <v>30.25</v>
      </c>
      <c r="E72" s="1"/>
      <c r="F72" s="5">
        <f t="shared" ref="F72:F73" si="44">IF(D$12=0,0,D72/D$12)</f>
        <v>6.4075882790912456E-4</v>
      </c>
      <c r="G72" s="1"/>
      <c r="H72" s="1">
        <f>SUM(OSRRefH22_12x_0)</f>
        <v>0</v>
      </c>
      <c r="I72" s="1"/>
      <c r="J72" s="5">
        <f t="shared" ref="J72:J73" si="45">IF(H$12=0,0,H72/H$12)</f>
        <v>0</v>
      </c>
      <c r="K72" s="1"/>
      <c r="L72" s="1">
        <f t="shared" ref="L72:L73" si="46">+D72-H72</f>
        <v>30.25</v>
      </c>
      <c r="M72" s="1"/>
      <c r="N72" s="5">
        <f t="shared" ref="N72:N73" si="47">IF(H72=0,0,L72/H72)</f>
        <v>0</v>
      </c>
      <c r="O72" s="14"/>
      <c r="P72" s="1">
        <f>SUM(OSRRefP22_12x_0)</f>
        <v>30.25</v>
      </c>
      <c r="Q72" s="1"/>
      <c r="R72" s="5">
        <f t="shared" ref="R72:R73" si="48">IF(P$12=0,0,P72/P$12)</f>
        <v>6.4075882790912456E-4</v>
      </c>
      <c r="S72" s="1"/>
      <c r="T72" s="1">
        <f>SUM(OSRRefT22_12x_0)</f>
        <v>0</v>
      </c>
      <c r="U72" s="1"/>
      <c r="V72" s="5">
        <f t="shared" ref="V72:V73" si="49">IF(T$12=0,0,T72/T$12)</f>
        <v>0</v>
      </c>
      <c r="W72" s="1"/>
      <c r="X72" s="1">
        <f t="shared" ref="X72:X73" si="50">+P72-T72</f>
        <v>30.25</v>
      </c>
      <c r="Y72" s="1"/>
      <c r="Z72" s="5">
        <f t="shared" ref="Z72:Z73" si="51">IF(T72=0,0,X72/T72)</f>
        <v>0</v>
      </c>
    </row>
    <row r="73" spans="1:26" s="24" customFormat="1" hidden="1" outlineLevel="2" x14ac:dyDescent="0.25">
      <c r="A73" s="29"/>
      <c r="B73" s="11" t="str">
        <f>CONCATENATE("          ", "6309", " - ", "TELEPHONE")</f>
        <v xml:space="preserve">          6309 - TELEPHONE</v>
      </c>
      <c r="C73" s="11"/>
      <c r="D73" s="7">
        <v>30.25</v>
      </c>
      <c r="E73" s="2"/>
      <c r="F73" s="6">
        <f t="shared" si="44"/>
        <v>6.4075882790912456E-4</v>
      </c>
      <c r="G73" s="2"/>
      <c r="H73" s="7"/>
      <c r="I73" s="2"/>
      <c r="J73" s="6">
        <f t="shared" si="45"/>
        <v>0</v>
      </c>
      <c r="K73" s="2"/>
      <c r="L73" s="7">
        <f t="shared" si="46"/>
        <v>30.25</v>
      </c>
      <c r="M73" s="2"/>
      <c r="N73" s="6">
        <f t="shared" si="47"/>
        <v>0</v>
      </c>
      <c r="O73" s="11"/>
      <c r="P73" s="7">
        <v>30.25</v>
      </c>
      <c r="Q73" s="2"/>
      <c r="R73" s="6">
        <f t="shared" si="48"/>
        <v>6.4075882790912456E-4</v>
      </c>
      <c r="S73" s="2"/>
      <c r="T73" s="7"/>
      <c r="U73" s="2"/>
      <c r="V73" s="6">
        <f t="shared" si="49"/>
        <v>0</v>
      </c>
      <c r="W73" s="2"/>
      <c r="X73" s="7">
        <f t="shared" si="50"/>
        <v>30.25</v>
      </c>
      <c r="Y73" s="2"/>
      <c r="Z73" s="6">
        <f t="shared" si="51"/>
        <v>0</v>
      </c>
    </row>
    <row r="74" spans="1:26" s="57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5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6" t="s">
        <v>3</v>
      </c>
      <c r="C77" s="26"/>
      <c r="D77" s="21">
        <f>+D22-D24+D75</f>
        <v>-27604.779999999992</v>
      </c>
      <c r="E77" s="13"/>
      <c r="F77" s="19">
        <f>IF(D$12=0,0,D77/D$12)</f>
        <v>-0.58472748685914844</v>
      </c>
      <c r="G77" s="13"/>
      <c r="H77" s="21">
        <f>+H22-H24+H75</f>
        <v>-691.32006015379739</v>
      </c>
      <c r="I77" s="13"/>
      <c r="J77" s="19">
        <f>IF(H$12=0,0,H77/H$12)</f>
        <v>-6.9132006015379735E-3</v>
      </c>
      <c r="K77" s="15"/>
      <c r="L77" s="21">
        <f>+D77-H77</f>
        <v>-26913.459939846194</v>
      </c>
      <c r="M77" s="15"/>
      <c r="N77" s="19">
        <f>IF(H77=0,0,L77/H77)</f>
        <v>38.930535205153426</v>
      </c>
      <c r="O77" s="25"/>
      <c r="P77" s="21">
        <f>+P22-P24+P75</f>
        <v>-27604.779999999992</v>
      </c>
      <c r="Q77" s="13"/>
      <c r="R77" s="19">
        <f>IF(P$12=0,0,P77/P$12)</f>
        <v>-0.58472748685914844</v>
      </c>
      <c r="S77" s="13"/>
      <c r="T77" s="21">
        <f>+T22-T24+T75</f>
        <v>-691.32006015379739</v>
      </c>
      <c r="U77" s="13"/>
      <c r="V77" s="19">
        <f>IF(T$12=0,0,T77/T$12)</f>
        <v>-6.9132006015379735E-3</v>
      </c>
      <c r="W77" s="15"/>
      <c r="X77" s="21">
        <f>+P77-T77</f>
        <v>-26913.459939846194</v>
      </c>
      <c r="Y77" s="15"/>
      <c r="Z77" s="19">
        <f>IF(T77=0,0,X77/T77)</f>
        <v>38.930535205153426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>
        <v>9816.2800000000007</v>
      </c>
      <c r="E79" s="4"/>
      <c r="F79" s="12">
        <f>IF(D$12=0,0,D79/D$12)</f>
        <v>0.20792952288356303</v>
      </c>
      <c r="G79" s="4"/>
      <c r="H79" s="4">
        <v>24371</v>
      </c>
      <c r="I79" s="4"/>
      <c r="J79" s="12">
        <f>IF(H$12=0,0,H79/H$12)</f>
        <v>0.24371000000000001</v>
      </c>
      <c r="K79" s="4"/>
      <c r="L79" s="4">
        <f>+D79-H79</f>
        <v>-14554.72</v>
      </c>
      <c r="M79" s="4"/>
      <c r="N79" s="12">
        <f>IF(H79=0,0,L79/H79)</f>
        <v>-0.59721472241598617</v>
      </c>
      <c r="O79" s="10"/>
      <c r="P79" s="4">
        <v>9816.2800000000007</v>
      </c>
      <c r="Q79" s="4"/>
      <c r="R79" s="12">
        <f>IF(P$12=0,0,P79/P$12)</f>
        <v>0.20792952288356303</v>
      </c>
      <c r="S79" s="4"/>
      <c r="T79" s="4">
        <v>24371</v>
      </c>
      <c r="U79" s="4"/>
      <c r="V79" s="12">
        <f>IF(T$12=0,0,T79/T$12)</f>
        <v>0.24371000000000001</v>
      </c>
      <c r="W79" s="4"/>
      <c r="X79" s="4">
        <f>+P79-T79</f>
        <v>-14554.72</v>
      </c>
      <c r="Y79" s="4"/>
      <c r="Z79" s="12">
        <f>IF(T79=0,0,X79/T79)</f>
        <v>-0.59721472241598617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4</v>
      </c>
      <c r="C81" s="26"/>
      <c r="D81" s="32">
        <f>+D77-D79</f>
        <v>-37421.05999999999</v>
      </c>
      <c r="E81" s="13"/>
      <c r="F81" s="31">
        <f>IF(D$12=0,0,D81/D$12)</f>
        <v>-0.79265700974271136</v>
      </c>
      <c r="G81" s="13"/>
      <c r="H81" s="32">
        <f>+H77-H79</f>
        <v>-25062.320060153797</v>
      </c>
      <c r="I81" s="13"/>
      <c r="J81" s="31">
        <f>IF(H$12=0,0,H81/H$12)</f>
        <v>-0.25062320060153798</v>
      </c>
      <c r="K81" s="15"/>
      <c r="L81" s="32">
        <f>D81-H81</f>
        <v>-12358.739939846193</v>
      </c>
      <c r="M81" s="15"/>
      <c r="N81" s="31">
        <f>IF(H81=0,0,L81/H81)</f>
        <v>0.49312034600879456</v>
      </c>
      <c r="O81" s="25"/>
      <c r="P81" s="32">
        <f>+P77-P79</f>
        <v>-37421.05999999999</v>
      </c>
      <c r="Q81" s="13"/>
      <c r="R81" s="31">
        <f>IF(P$12=0,0,P81/P$12)</f>
        <v>-0.79265700974271136</v>
      </c>
      <c r="S81" s="13"/>
      <c r="T81" s="32">
        <f>+T77-T79</f>
        <v>-25062.320060153797</v>
      </c>
      <c r="U81" s="13"/>
      <c r="V81" s="31">
        <f>IF(T$12=0,0,T81/T$12)</f>
        <v>-0.25062320060153798</v>
      </c>
      <c r="W81" s="15"/>
      <c r="X81" s="32">
        <f>P81-T81</f>
        <v>-12358.739939846193</v>
      </c>
      <c r="Y81" s="15"/>
      <c r="Z81" s="31">
        <f>IF(T81=0,0,X81/T81)</f>
        <v>0.49312034600879456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5</v>
      </c>
      <c r="C84" s="26"/>
      <c r="D84" s="33">
        <f>SUM(D81:D83)</f>
        <v>-37421.05999999999</v>
      </c>
      <c r="E84" s="13"/>
      <c r="F84" s="34">
        <f>IF(D$12=0,0,D84/D$12)</f>
        <v>-0.79265700974271136</v>
      </c>
      <c r="G84" s="13"/>
      <c r="H84" s="33">
        <f>SUM(H81:H83)</f>
        <v>-25062.320060153797</v>
      </c>
      <c r="I84" s="13"/>
      <c r="J84" s="34">
        <f>IF(H$12=0,0,H84/H$12)</f>
        <v>-0.25062320060153798</v>
      </c>
      <c r="K84" s="15"/>
      <c r="L84" s="33">
        <f>+D84-H84</f>
        <v>-12358.739939846193</v>
      </c>
      <c r="M84" s="15"/>
      <c r="N84" s="34">
        <f>IF(H84=0,0,L84/H84)</f>
        <v>0.49312034600879456</v>
      </c>
      <c r="O84" s="25"/>
      <c r="P84" s="33">
        <f>SUM(P81:P83)</f>
        <v>-37421.05999999999</v>
      </c>
      <c r="Q84" s="13"/>
      <c r="R84" s="34">
        <f>IF(P$12=0,0,P84/P$12)</f>
        <v>-0.79265700974271136</v>
      </c>
      <c r="S84" s="13"/>
      <c r="T84" s="33">
        <f>SUM(T81:T83)</f>
        <v>-25062.320060153797</v>
      </c>
      <c r="U84" s="13"/>
      <c r="V84" s="34">
        <f>IF(T$12=0,0,T84/T$12)</f>
        <v>-0.25062320060153798</v>
      </c>
      <c r="W84" s="15"/>
      <c r="X84" s="33">
        <f>+P84-T84</f>
        <v>-12358.739939846193</v>
      </c>
      <c r="Y84" s="15"/>
      <c r="Z84" s="34">
        <f>IF(T84=0,0,X84/T84)</f>
        <v>0.49312034600879456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1">
        <v>43726.678994293979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6" t="s">
        <v>314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3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","413", " - ", "Beach Walk")</f>
        <v>Department 413 - Beach Walk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5827.59</v>
      </c>
      <c r="E12" s="4"/>
      <c r="F12" s="12"/>
      <c r="G12" s="4"/>
      <c r="H12" s="4">
        <f>SUM(OSRRefH13x_0)</f>
        <v>11275</v>
      </c>
      <c r="I12" s="4"/>
      <c r="J12" s="12"/>
      <c r="K12" s="4"/>
      <c r="L12" s="4">
        <f t="shared" ref="L12:L16" si="0">+D12-H12</f>
        <v>-5447.41</v>
      </c>
      <c r="M12" s="4"/>
      <c r="N12" s="12">
        <f t="shared" ref="N12:N16" si="1">IF(H12=0,0,L12/H12)</f>
        <v>-0.48314057649667402</v>
      </c>
      <c r="O12" s="10"/>
      <c r="P12" s="4">
        <f>SUM(OSRRefP13x_0)</f>
        <v>5827.59</v>
      </c>
      <c r="Q12" s="4"/>
      <c r="R12" s="12"/>
      <c r="S12" s="4"/>
      <c r="T12" s="4">
        <f>SUM(OSRRefT13x_0)</f>
        <v>11275</v>
      </c>
      <c r="U12" s="4"/>
      <c r="V12" s="12"/>
      <c r="W12" s="4"/>
      <c r="X12" s="4">
        <f t="shared" ref="X12:X16" si="2">+P12-T12</f>
        <v>-5447.41</v>
      </c>
      <c r="Y12" s="4"/>
      <c r="Z12" s="12">
        <f t="shared" ref="Z12:Z16" si="3">IF(T12=0,0,X12/T12)</f>
        <v>-0.48314057649667402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2255</v>
      </c>
      <c r="I13" s="2"/>
      <c r="J13" s="22"/>
      <c r="K13" s="2"/>
      <c r="L13" s="2">
        <f t="shared" si="0"/>
        <v>-2255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2255</v>
      </c>
      <c r="U13" s="2"/>
      <c r="V13" s="22"/>
      <c r="W13" s="2"/>
      <c r="X13" s="2">
        <f t="shared" si="2"/>
        <v>-2255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--3505.45</f>
        <v>3505.45</v>
      </c>
      <c r="E14" s="2"/>
      <c r="F14" s="22"/>
      <c r="G14" s="2"/>
      <c r="H14" s="2"/>
      <c r="I14" s="2"/>
      <c r="J14" s="22"/>
      <c r="K14" s="2"/>
      <c r="L14" s="2">
        <f t="shared" si="0"/>
        <v>3505.45</v>
      </c>
      <c r="M14" s="2"/>
      <c r="N14" s="22">
        <f t="shared" si="1"/>
        <v>0</v>
      </c>
      <c r="O14" s="11"/>
      <c r="P14" s="2">
        <f>--3505.45</f>
        <v>3505.45</v>
      </c>
      <c r="Q14" s="2"/>
      <c r="R14" s="22"/>
      <c r="S14" s="2"/>
      <c r="T14" s="2"/>
      <c r="U14" s="2"/>
      <c r="V14" s="22"/>
      <c r="W14" s="2"/>
      <c r="X14" s="2">
        <f t="shared" si="2"/>
        <v>3505.45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2"/>
      <c r="G15" s="2"/>
      <c r="H15" s="2">
        <v>9020</v>
      </c>
      <c r="I15" s="2"/>
      <c r="J15" s="22"/>
      <c r="K15" s="2"/>
      <c r="L15" s="2">
        <f t="shared" si="0"/>
        <v>-9020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9020</v>
      </c>
      <c r="U15" s="2"/>
      <c r="V15" s="22"/>
      <c r="W15" s="2"/>
      <c r="X15" s="2">
        <f t="shared" si="2"/>
        <v>-9020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"4151", " - ", "NON-TAXABLE SALES-FOOD")</f>
        <v xml:space="preserve">          4151 - NON-TAXABLE SALES-FOOD</v>
      </c>
      <c r="C16" s="11"/>
      <c r="D16" s="2">
        <f>--2322.14</f>
        <v>2322.14</v>
      </c>
      <c r="E16" s="2"/>
      <c r="F16" s="22"/>
      <c r="G16" s="2"/>
      <c r="H16" s="2"/>
      <c r="I16" s="2"/>
      <c r="J16" s="22"/>
      <c r="K16" s="2"/>
      <c r="L16" s="2">
        <f t="shared" si="0"/>
        <v>2322.14</v>
      </c>
      <c r="M16" s="2"/>
      <c r="N16" s="22">
        <f t="shared" si="1"/>
        <v>0</v>
      </c>
      <c r="O16" s="11"/>
      <c r="P16" s="2">
        <f>--2322.14</f>
        <v>2322.14</v>
      </c>
      <c r="Q16" s="2"/>
      <c r="R16" s="22"/>
      <c r="S16" s="2"/>
      <c r="T16" s="2"/>
      <c r="U16" s="2"/>
      <c r="V16" s="22"/>
      <c r="W16" s="2"/>
      <c r="X16" s="2">
        <f t="shared" si="2"/>
        <v>2322.14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2649.85</v>
      </c>
      <c r="E18" s="4"/>
      <c r="F18" s="12">
        <f t="shared" ref="F18:F21" si="4">IF(D$12=0,0,D18/D$12)</f>
        <v>0.45470769220209378</v>
      </c>
      <c r="G18" s="4"/>
      <c r="H18" s="4">
        <f>SUM(OSRRefH16x_0)</f>
        <v>2930</v>
      </c>
      <c r="I18" s="4"/>
      <c r="J18" s="12">
        <f t="shared" ref="J18:J21" si="5">IF(H$12=0,0,H18/H$12)</f>
        <v>0.25986696230598672</v>
      </c>
      <c r="K18" s="4"/>
      <c r="L18" s="4">
        <f t="shared" ref="L18:L21" si="6">+D18-H18</f>
        <v>-280.15000000000009</v>
      </c>
      <c r="M18" s="4"/>
      <c r="N18" s="12">
        <f t="shared" ref="N18:N21" si="7">IF(H18=0,0,L18/H18)</f>
        <v>-9.5614334470989798E-2</v>
      </c>
      <c r="O18" s="10"/>
      <c r="P18" s="4">
        <f>SUM(OSRRefP16x_0)</f>
        <v>2649.85</v>
      </c>
      <c r="Q18" s="4"/>
      <c r="R18" s="12">
        <f t="shared" ref="R18:R21" si="8">IF(P$12=0,0,P18/P$12)</f>
        <v>0.45470769220209378</v>
      </c>
      <c r="S18" s="4"/>
      <c r="T18" s="4">
        <f>SUM(OSRRefT16x_0)</f>
        <v>2930</v>
      </c>
      <c r="U18" s="4"/>
      <c r="V18" s="12">
        <f t="shared" ref="V18:V21" si="9">IF(T$12=0,0,T18/T$12)</f>
        <v>0.25986696230598672</v>
      </c>
      <c r="W18" s="4"/>
      <c r="X18" s="4">
        <f t="shared" ref="X18:X21" si="10">+P18-T18</f>
        <v>-280.15000000000009</v>
      </c>
      <c r="Y18" s="4"/>
      <c r="Z18" s="12">
        <f t="shared" ref="Z18:Z21" si="11">IF(T18=0,0,X18/T18)</f>
        <v>-9.5614334470989798E-2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2930</v>
      </c>
      <c r="I19" s="2"/>
      <c r="J19" s="22">
        <f t="shared" si="5"/>
        <v>0.25986696230598672</v>
      </c>
      <c r="K19" s="2"/>
      <c r="L19" s="2">
        <f t="shared" si="6"/>
        <v>-2930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2930</v>
      </c>
      <c r="U19" s="2"/>
      <c r="V19" s="22">
        <f t="shared" si="9"/>
        <v>0.25986696230598672</v>
      </c>
      <c r="W19" s="2"/>
      <c r="X19" s="2">
        <f t="shared" si="10"/>
        <v>-2930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3361.85</v>
      </c>
      <c r="E20" s="2"/>
      <c r="F20" s="22">
        <f t="shared" si="4"/>
        <v>0.57688512747121878</v>
      </c>
      <c r="G20" s="2"/>
      <c r="H20" s="2"/>
      <c r="I20" s="2"/>
      <c r="J20" s="22">
        <f t="shared" si="5"/>
        <v>0</v>
      </c>
      <c r="K20" s="2"/>
      <c r="L20" s="2">
        <f t="shared" si="6"/>
        <v>3361.85</v>
      </c>
      <c r="M20" s="2"/>
      <c r="N20" s="22">
        <f t="shared" si="7"/>
        <v>0</v>
      </c>
      <c r="O20" s="11"/>
      <c r="P20" s="2">
        <v>3361.85</v>
      </c>
      <c r="Q20" s="2"/>
      <c r="R20" s="22">
        <f t="shared" si="8"/>
        <v>0.57688512747121878</v>
      </c>
      <c r="S20" s="2"/>
      <c r="T20" s="2"/>
      <c r="U20" s="2"/>
      <c r="V20" s="22">
        <f t="shared" si="9"/>
        <v>0</v>
      </c>
      <c r="W20" s="2"/>
      <c r="X20" s="2">
        <f t="shared" si="10"/>
        <v>3361.85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-712</v>
      </c>
      <c r="E21" s="2"/>
      <c r="F21" s="22">
        <f t="shared" si="4"/>
        <v>-0.12217743526912497</v>
      </c>
      <c r="G21" s="2"/>
      <c r="H21" s="2"/>
      <c r="I21" s="2"/>
      <c r="J21" s="22">
        <f t="shared" si="5"/>
        <v>0</v>
      </c>
      <c r="K21" s="2"/>
      <c r="L21" s="2">
        <f t="shared" si="6"/>
        <v>-712</v>
      </c>
      <c r="M21" s="2"/>
      <c r="N21" s="22">
        <f t="shared" si="7"/>
        <v>0</v>
      </c>
      <c r="O21" s="11"/>
      <c r="P21" s="2">
        <v>-712</v>
      </c>
      <c r="Q21" s="2"/>
      <c r="R21" s="22">
        <f t="shared" si="8"/>
        <v>-0.12217743526912497</v>
      </c>
      <c r="S21" s="2"/>
      <c r="T21" s="2"/>
      <c r="U21" s="2"/>
      <c r="V21" s="22">
        <f t="shared" si="9"/>
        <v>0</v>
      </c>
      <c r="W21" s="2"/>
      <c r="X21" s="2">
        <f t="shared" si="10"/>
        <v>-712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1">
        <f>D12-D18</f>
        <v>3177.7400000000002</v>
      </c>
      <c r="E23" s="13"/>
      <c r="F23" s="19">
        <f>IF(D$12=0,0,D23/D$12)</f>
        <v>0.54529230779790616</v>
      </c>
      <c r="G23" s="13"/>
      <c r="H23" s="21">
        <f>H12-H18</f>
        <v>8345</v>
      </c>
      <c r="I23" s="13"/>
      <c r="J23" s="19">
        <f>IF(H$12=0,0,H23/H$12)</f>
        <v>0.74013303769401328</v>
      </c>
      <c r="K23" s="15"/>
      <c r="L23" s="21">
        <f>+D23-H23</f>
        <v>-5167.26</v>
      </c>
      <c r="M23" s="15"/>
      <c r="N23" s="19">
        <f>IF(H23=0,0,L23/H23)</f>
        <v>-0.61920431396045539</v>
      </c>
      <c r="O23" s="25"/>
      <c r="P23" s="21">
        <f>P12-P18</f>
        <v>3177.7400000000002</v>
      </c>
      <c r="Q23" s="13"/>
      <c r="R23" s="19">
        <f>IF(P$12=0,0,P23/P$12)</f>
        <v>0.54529230779790616</v>
      </c>
      <c r="S23" s="13"/>
      <c r="T23" s="21">
        <f>T12-T18</f>
        <v>8345</v>
      </c>
      <c r="U23" s="13"/>
      <c r="V23" s="19">
        <f>IF(T$12=0,0,T23/T$12)</f>
        <v>0.74013303769401328</v>
      </c>
      <c r="W23" s="15"/>
      <c r="X23" s="21">
        <f>+P23-T23</f>
        <v>-5167.26</v>
      </c>
      <c r="Y23" s="15"/>
      <c r="Z23" s="19">
        <f>IF(T23=0,0,X23/T23)</f>
        <v>-0.61920431396045539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0">
        <f>SUM(OSRRefD22x_0)</f>
        <v>16723.29</v>
      </c>
      <c r="E25" s="20"/>
      <c r="F25" s="30">
        <f t="shared" ref="F25:F35" si="12">IF(D$12=0,0,D25/D$12)</f>
        <v>2.8696751144126473</v>
      </c>
      <c r="G25" s="20"/>
      <c r="H25" s="20">
        <f>SUM(OSRRefH22x_0)</f>
        <v>14090.557889624997</v>
      </c>
      <c r="I25" s="20"/>
      <c r="J25" s="30">
        <f t="shared" ref="J25:J35" si="13">IF(H$12=0,0,H25/H$12)</f>
        <v>1.2497168859977825</v>
      </c>
      <c r="K25" s="4"/>
      <c r="L25" s="20">
        <f t="shared" ref="L25:L35" si="14">+D25-H25</f>
        <v>2632.7321103750037</v>
      </c>
      <c r="M25" s="4"/>
      <c r="N25" s="30">
        <f t="shared" ref="N25:N35" si="15">IF(H25=0,0,L25/H25)</f>
        <v>0.18684370987989821</v>
      </c>
      <c r="O25" s="10"/>
      <c r="P25" s="20">
        <f>SUM(OSRRefP22x_0)</f>
        <v>16723.29</v>
      </c>
      <c r="Q25" s="20"/>
      <c r="R25" s="30">
        <f t="shared" ref="R25:R35" si="16">IF(P$12=0,0,P25/P$12)</f>
        <v>2.8696751144126473</v>
      </c>
      <c r="S25" s="20"/>
      <c r="T25" s="20">
        <f>SUM(OSRRefT22x_0)</f>
        <v>14090.557889624997</v>
      </c>
      <c r="U25" s="20"/>
      <c r="V25" s="30">
        <f t="shared" ref="V25:V35" si="17">IF(T$12=0,0,T25/T$12)</f>
        <v>1.2497168859977825</v>
      </c>
      <c r="W25" s="4"/>
      <c r="X25" s="20">
        <f t="shared" ref="X25:X35" si="18">+P25-T25</f>
        <v>2632.7321103750037</v>
      </c>
      <c r="Y25" s="4"/>
      <c r="Z25" s="30">
        <f t="shared" ref="Z25:Z35" si="19">IF(T25=0,0,X25/T25)</f>
        <v>0.18684370987989821</v>
      </c>
    </row>
    <row r="26" spans="1:26" s="27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3433.8400000000006</v>
      </c>
      <c r="E26" s="1"/>
      <c r="F26" s="5">
        <f t="shared" si="12"/>
        <v>0.58923843304007328</v>
      </c>
      <c r="G26" s="1"/>
      <c r="H26" s="1">
        <f>SUM(OSRRefH22_0x_0)</f>
        <v>3600.7047165480776</v>
      </c>
      <c r="I26" s="1"/>
      <c r="J26" s="5">
        <f t="shared" si="13"/>
        <v>0.31935296820825521</v>
      </c>
      <c r="K26" s="1"/>
      <c r="L26" s="1">
        <f t="shared" si="14"/>
        <v>-166.86471654807701</v>
      </c>
      <c r="M26" s="1"/>
      <c r="N26" s="5">
        <f t="shared" si="15"/>
        <v>-4.6342238446046978E-2</v>
      </c>
      <c r="O26" s="14"/>
      <c r="P26" s="1">
        <f>SUM(OSRRefP22_0x_0)</f>
        <v>3433.8400000000006</v>
      </c>
      <c r="Q26" s="1"/>
      <c r="R26" s="5">
        <f t="shared" si="16"/>
        <v>0.58923843304007328</v>
      </c>
      <c r="S26" s="1"/>
      <c r="T26" s="1">
        <f>SUM(OSRRefT22_0x_0)</f>
        <v>3600.7047165480776</v>
      </c>
      <c r="U26" s="1"/>
      <c r="V26" s="5">
        <f t="shared" si="17"/>
        <v>0.31935296820825521</v>
      </c>
      <c r="W26" s="1"/>
      <c r="X26" s="1">
        <f t="shared" si="18"/>
        <v>-166.86471654807701</v>
      </c>
      <c r="Y26" s="1"/>
      <c r="Z26" s="5">
        <f t="shared" si="19"/>
        <v>-4.6342238446046978E-2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517.57000000000005</v>
      </c>
      <c r="E27" s="2"/>
      <c r="F27" s="6">
        <f t="shared" si="12"/>
        <v>8.8813729174495815E-2</v>
      </c>
      <c r="G27" s="2"/>
      <c r="H27" s="7">
        <v>676.76781481730791</v>
      </c>
      <c r="I27" s="2"/>
      <c r="J27" s="6">
        <f t="shared" si="13"/>
        <v>6.0023752977144823E-2</v>
      </c>
      <c r="K27" s="2"/>
      <c r="L27" s="7">
        <f t="shared" si="14"/>
        <v>-159.19781481730786</v>
      </c>
      <c r="M27" s="2"/>
      <c r="N27" s="6">
        <f t="shared" si="15"/>
        <v>-0.23523254405986044</v>
      </c>
      <c r="O27" s="11"/>
      <c r="P27" s="7">
        <v>517.57000000000005</v>
      </c>
      <c r="Q27" s="2"/>
      <c r="R27" s="6">
        <f t="shared" si="16"/>
        <v>8.8813729174495815E-2</v>
      </c>
      <c r="S27" s="2"/>
      <c r="T27" s="7">
        <v>676.76781481730791</v>
      </c>
      <c r="U27" s="2"/>
      <c r="V27" s="6">
        <f t="shared" si="17"/>
        <v>6.0023752977144823E-2</v>
      </c>
      <c r="W27" s="2"/>
      <c r="X27" s="7">
        <f t="shared" si="18"/>
        <v>-159.19781481730786</v>
      </c>
      <c r="Y27" s="2"/>
      <c r="Z27" s="6">
        <f t="shared" si="19"/>
        <v>-0.23523254405986044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284.23</v>
      </c>
      <c r="E28" s="2"/>
      <c r="F28" s="6">
        <f t="shared" si="12"/>
        <v>4.8773163520426113E-2</v>
      </c>
      <c r="G28" s="2"/>
      <c r="H28" s="7">
        <v>343.11500346153798</v>
      </c>
      <c r="I28" s="2"/>
      <c r="J28" s="6">
        <f t="shared" si="13"/>
        <v>3.0431485894593168E-2</v>
      </c>
      <c r="K28" s="2"/>
      <c r="L28" s="7">
        <f t="shared" si="14"/>
        <v>-58.885003461537963</v>
      </c>
      <c r="M28" s="2"/>
      <c r="N28" s="6">
        <f t="shared" si="15"/>
        <v>-0.17161885335083801</v>
      </c>
      <c r="O28" s="11"/>
      <c r="P28" s="7">
        <v>284.23</v>
      </c>
      <c r="Q28" s="2"/>
      <c r="R28" s="6">
        <f t="shared" si="16"/>
        <v>4.8773163520426113E-2</v>
      </c>
      <c r="S28" s="2"/>
      <c r="T28" s="7">
        <v>343.11500346153798</v>
      </c>
      <c r="U28" s="2"/>
      <c r="V28" s="6">
        <f t="shared" si="17"/>
        <v>3.0431485894593168E-2</v>
      </c>
      <c r="W28" s="2"/>
      <c r="X28" s="7">
        <f t="shared" si="18"/>
        <v>-58.885003461537963</v>
      </c>
      <c r="Y28" s="2"/>
      <c r="Z28" s="6">
        <f t="shared" si="19"/>
        <v>-0.17161885335083801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1286.5999999999999</v>
      </c>
      <c r="E29" s="2"/>
      <c r="F29" s="6">
        <f t="shared" si="12"/>
        <v>0.22077737109165194</v>
      </c>
      <c r="G29" s="2"/>
      <c r="H29" s="7">
        <v>1381</v>
      </c>
      <c r="I29" s="2"/>
      <c r="J29" s="6">
        <f t="shared" si="13"/>
        <v>0.12248337028824834</v>
      </c>
      <c r="K29" s="2"/>
      <c r="L29" s="7">
        <f t="shared" si="14"/>
        <v>-94.400000000000091</v>
      </c>
      <c r="M29" s="2"/>
      <c r="N29" s="6">
        <f t="shared" si="15"/>
        <v>-6.835626357711809E-2</v>
      </c>
      <c r="O29" s="11"/>
      <c r="P29" s="7">
        <v>1286.5999999999999</v>
      </c>
      <c r="Q29" s="2"/>
      <c r="R29" s="6">
        <f t="shared" si="16"/>
        <v>0.22077737109165194</v>
      </c>
      <c r="S29" s="2"/>
      <c r="T29" s="7">
        <v>1381</v>
      </c>
      <c r="U29" s="2"/>
      <c r="V29" s="6">
        <f t="shared" si="17"/>
        <v>0.12248337028824834</v>
      </c>
      <c r="W29" s="2"/>
      <c r="X29" s="7">
        <f t="shared" si="18"/>
        <v>-94.400000000000091</v>
      </c>
      <c r="Y29" s="2"/>
      <c r="Z29" s="6">
        <f t="shared" si="19"/>
        <v>-6.835626357711809E-2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19.05</v>
      </c>
      <c r="E30" s="2"/>
      <c r="F30" s="6">
        <f t="shared" si="12"/>
        <v>3.2689327835348746E-3</v>
      </c>
      <c r="G30" s="2"/>
      <c r="H30" s="7">
        <v>22.9922425</v>
      </c>
      <c r="I30" s="2"/>
      <c r="J30" s="6">
        <f t="shared" si="13"/>
        <v>2.0392232815964525E-3</v>
      </c>
      <c r="K30" s="2"/>
      <c r="L30" s="7">
        <f t="shared" si="14"/>
        <v>-3.942242499999999</v>
      </c>
      <c r="M30" s="2"/>
      <c r="N30" s="6">
        <f t="shared" si="15"/>
        <v>-0.17145967819363417</v>
      </c>
      <c r="O30" s="11"/>
      <c r="P30" s="7">
        <v>19.05</v>
      </c>
      <c r="Q30" s="2"/>
      <c r="R30" s="6">
        <f t="shared" si="16"/>
        <v>3.2689327835348746E-3</v>
      </c>
      <c r="S30" s="2"/>
      <c r="T30" s="7">
        <v>22.9922425</v>
      </c>
      <c r="U30" s="2"/>
      <c r="V30" s="6">
        <f t="shared" si="17"/>
        <v>2.0392232815964525E-3</v>
      </c>
      <c r="W30" s="2"/>
      <c r="X30" s="7">
        <f t="shared" si="18"/>
        <v>-3.942242499999999</v>
      </c>
      <c r="Y30" s="2"/>
      <c r="Z30" s="6">
        <f t="shared" si="19"/>
        <v>-0.17145967819363417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326.52</v>
      </c>
      <c r="E31" s="2"/>
      <c r="F31" s="6">
        <f t="shared" si="12"/>
        <v>5.6030022702352085E-2</v>
      </c>
      <c r="G31" s="2"/>
      <c r="H31" s="7">
        <v>502.512636538462</v>
      </c>
      <c r="I31" s="2"/>
      <c r="J31" s="6">
        <f t="shared" si="13"/>
        <v>4.4568748251748294E-2</v>
      </c>
      <c r="K31" s="2"/>
      <c r="L31" s="7">
        <f t="shared" si="14"/>
        <v>-175.99263653846202</v>
      </c>
      <c r="M31" s="2"/>
      <c r="N31" s="6">
        <f t="shared" si="15"/>
        <v>-0.35022529532944724</v>
      </c>
      <c r="O31" s="11"/>
      <c r="P31" s="7">
        <v>326.52</v>
      </c>
      <c r="Q31" s="2"/>
      <c r="R31" s="6">
        <f t="shared" si="16"/>
        <v>5.6030022702352085E-2</v>
      </c>
      <c r="S31" s="2"/>
      <c r="T31" s="7">
        <v>502.512636538462</v>
      </c>
      <c r="U31" s="2"/>
      <c r="V31" s="6">
        <f t="shared" si="17"/>
        <v>4.4568748251748294E-2</v>
      </c>
      <c r="W31" s="2"/>
      <c r="X31" s="7">
        <f t="shared" si="18"/>
        <v>-175.99263653846202</v>
      </c>
      <c r="Y31" s="2"/>
      <c r="Z31" s="6">
        <f t="shared" si="19"/>
        <v>-0.35022529532944724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353.47</v>
      </c>
      <c r="E33" s="2"/>
      <c r="F33" s="6">
        <f t="shared" si="12"/>
        <v>6.0654575905305624E-2</v>
      </c>
      <c r="G33" s="2"/>
      <c r="H33" s="7">
        <v>292.15850961538496</v>
      </c>
      <c r="I33" s="2"/>
      <c r="J33" s="6">
        <f t="shared" si="13"/>
        <v>2.5912062937062968E-2</v>
      </c>
      <c r="K33" s="2"/>
      <c r="L33" s="7">
        <f t="shared" si="14"/>
        <v>61.31149038461507</v>
      </c>
      <c r="M33" s="2"/>
      <c r="N33" s="6">
        <f t="shared" si="15"/>
        <v>0.2098569385000259</v>
      </c>
      <c r="O33" s="11"/>
      <c r="P33" s="7">
        <v>353.47</v>
      </c>
      <c r="Q33" s="2"/>
      <c r="R33" s="6">
        <f t="shared" si="16"/>
        <v>6.0654575905305624E-2</v>
      </c>
      <c r="S33" s="2"/>
      <c r="T33" s="7">
        <v>292.15850961538496</v>
      </c>
      <c r="U33" s="2"/>
      <c r="V33" s="6">
        <f t="shared" si="17"/>
        <v>2.5912062937062968E-2</v>
      </c>
      <c r="W33" s="2"/>
      <c r="X33" s="7">
        <f t="shared" si="18"/>
        <v>61.31149038461507</v>
      </c>
      <c r="Y33" s="2"/>
      <c r="Z33" s="6">
        <f t="shared" si="19"/>
        <v>0.2098569385000259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549.51</v>
      </c>
      <c r="E34" s="2"/>
      <c r="F34" s="6">
        <f t="shared" si="12"/>
        <v>9.4294554009461878E-2</v>
      </c>
      <c r="G34" s="2"/>
      <c r="H34" s="7">
        <v>382.15850961538496</v>
      </c>
      <c r="I34" s="2"/>
      <c r="J34" s="6">
        <f t="shared" si="13"/>
        <v>3.3894324577861193E-2</v>
      </c>
      <c r="K34" s="2"/>
      <c r="L34" s="7">
        <f t="shared" si="14"/>
        <v>167.35149038461503</v>
      </c>
      <c r="M34" s="2"/>
      <c r="N34" s="6">
        <f t="shared" si="15"/>
        <v>0.43791119698745495</v>
      </c>
      <c r="O34" s="11"/>
      <c r="P34" s="7">
        <v>549.51</v>
      </c>
      <c r="Q34" s="2"/>
      <c r="R34" s="6">
        <f t="shared" si="16"/>
        <v>9.4294554009461878E-2</v>
      </c>
      <c r="S34" s="2"/>
      <c r="T34" s="7">
        <v>382.15850961538496</v>
      </c>
      <c r="U34" s="2"/>
      <c r="V34" s="6">
        <f t="shared" si="17"/>
        <v>3.3894324577861193E-2</v>
      </c>
      <c r="W34" s="2"/>
      <c r="X34" s="7">
        <f t="shared" si="18"/>
        <v>167.35149038461503</v>
      </c>
      <c r="Y34" s="2"/>
      <c r="Z34" s="6">
        <f t="shared" si="19"/>
        <v>0.43791119698745495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7">
        <v>96.89</v>
      </c>
      <c r="E35" s="2"/>
      <c r="F35" s="6">
        <f t="shared" si="12"/>
        <v>1.6626083852844829E-2</v>
      </c>
      <c r="G35" s="2"/>
      <c r="H35" s="7"/>
      <c r="I35" s="2"/>
      <c r="J35" s="6">
        <f t="shared" si="13"/>
        <v>0</v>
      </c>
      <c r="K35" s="2"/>
      <c r="L35" s="7">
        <f t="shared" si="14"/>
        <v>96.89</v>
      </c>
      <c r="M35" s="2"/>
      <c r="N35" s="6">
        <f t="shared" si="15"/>
        <v>0</v>
      </c>
      <c r="O35" s="11"/>
      <c r="P35" s="7">
        <v>96.89</v>
      </c>
      <c r="Q35" s="2"/>
      <c r="R35" s="6">
        <f t="shared" si="16"/>
        <v>1.6626083852844829E-2</v>
      </c>
      <c r="S35" s="2"/>
      <c r="T35" s="7"/>
      <c r="U35" s="2"/>
      <c r="V35" s="6">
        <f t="shared" si="17"/>
        <v>0</v>
      </c>
      <c r="W35" s="2"/>
      <c r="X35" s="7">
        <f t="shared" si="18"/>
        <v>96.89</v>
      </c>
      <c r="Y35" s="2"/>
      <c r="Z35" s="6">
        <f t="shared" si="19"/>
        <v>0</v>
      </c>
    </row>
    <row r="36" spans="1:26" s="27" customFormat="1" outlineLevel="1" collapsed="1" x14ac:dyDescent="0.25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7913.7</v>
      </c>
      <c r="E36" s="1"/>
      <c r="F36" s="5">
        <f t="shared" ref="F36:F46" si="20">IF(D$12=0,0,D36/D$12)</f>
        <v>1.3579713054624638</v>
      </c>
      <c r="G36" s="1"/>
      <c r="H36" s="1">
        <f>SUM(OSRRefH22_1x_0)</f>
        <v>8258.8531730769209</v>
      </c>
      <c r="I36" s="1"/>
      <c r="J36" s="5">
        <f t="shared" ref="J36:J46" si="21">IF(H$12=0,0,H36/H$12)</f>
        <v>0.73249252089374017</v>
      </c>
      <c r="K36" s="1"/>
      <c r="L36" s="1">
        <f t="shared" ref="L36:L46" si="22">+D36-H36</f>
        <v>-345.15317307692112</v>
      </c>
      <c r="M36" s="1"/>
      <c r="N36" s="5">
        <f t="shared" ref="N36:N46" si="23">IF(H36=0,0,L36/H36)</f>
        <v>-4.1791900866101815E-2</v>
      </c>
      <c r="O36" s="14"/>
      <c r="P36" s="1">
        <f>SUM(OSRRefP22_1x_0)</f>
        <v>7913.7</v>
      </c>
      <c r="Q36" s="1"/>
      <c r="R36" s="5">
        <f t="shared" ref="R36:R46" si="24">IF(P$12=0,0,P36/P$12)</f>
        <v>1.3579713054624638</v>
      </c>
      <c r="S36" s="1"/>
      <c r="T36" s="1">
        <f>SUM(OSRRefT22_1x_0)</f>
        <v>8258.8531730769209</v>
      </c>
      <c r="U36" s="1"/>
      <c r="V36" s="5">
        <f t="shared" ref="V36:V46" si="25">IF(T$12=0,0,T36/T$12)</f>
        <v>0.73249252089374017</v>
      </c>
      <c r="W36" s="1"/>
      <c r="X36" s="1">
        <f t="shared" ref="X36:X46" si="26">+P36-T36</f>
        <v>-345.15317307692112</v>
      </c>
      <c r="Y36" s="1"/>
      <c r="Z36" s="5">
        <f t="shared" ref="Z36:Z46" si="27">IF(T36=0,0,X36/T36)</f>
        <v>-4.1791900866101815E-2</v>
      </c>
    </row>
    <row r="37" spans="1:26" s="24" customFormat="1" hidden="1" outlineLevel="2" x14ac:dyDescent="0.2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"6002", " - ", "STAFF SALARIES")</f>
        <v xml:space="preserve">          6002 - STAFF SALARIES</v>
      </c>
      <c r="C38" s="11"/>
      <c r="D38" s="7">
        <v>4908.7</v>
      </c>
      <c r="E38" s="2"/>
      <c r="F38" s="6">
        <f t="shared" si="20"/>
        <v>0.84232075351903613</v>
      </c>
      <c r="G38" s="2"/>
      <c r="H38" s="7">
        <v>5258.85317307692</v>
      </c>
      <c r="I38" s="2"/>
      <c r="J38" s="6">
        <f t="shared" si="21"/>
        <v>0.4664171328671326</v>
      </c>
      <c r="K38" s="2"/>
      <c r="L38" s="7">
        <f t="shared" si="22"/>
        <v>-350.15317307692021</v>
      </c>
      <c r="M38" s="2"/>
      <c r="N38" s="6">
        <f t="shared" si="23"/>
        <v>-6.6583561387405676E-2</v>
      </c>
      <c r="O38" s="11"/>
      <c r="P38" s="7">
        <v>4908.7</v>
      </c>
      <c r="Q38" s="2"/>
      <c r="R38" s="6">
        <f t="shared" si="24"/>
        <v>0.84232075351903613</v>
      </c>
      <c r="S38" s="2"/>
      <c r="T38" s="7">
        <v>5258.85317307692</v>
      </c>
      <c r="U38" s="2"/>
      <c r="V38" s="6">
        <f t="shared" si="25"/>
        <v>0.4664171328671326</v>
      </c>
      <c r="W38" s="2"/>
      <c r="X38" s="7">
        <f t="shared" si="26"/>
        <v>-350.15317307692021</v>
      </c>
      <c r="Y38" s="2"/>
      <c r="Z38" s="6">
        <f t="shared" si="27"/>
        <v>-6.6583561387405676E-2</v>
      </c>
    </row>
    <row r="39" spans="1:26" s="24" customFormat="1" hidden="1" outlineLevel="2" x14ac:dyDescent="0.25">
      <c r="A39" s="29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0"/>
        <v>0</v>
      </c>
      <c r="G40" s="2"/>
      <c r="H40" s="7">
        <v>1440</v>
      </c>
      <c r="I40" s="2"/>
      <c r="J40" s="6">
        <f t="shared" si="21"/>
        <v>0.12771618625277162</v>
      </c>
      <c r="K40" s="2"/>
      <c r="L40" s="7">
        <f t="shared" si="22"/>
        <v>-1440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1440</v>
      </c>
      <c r="U40" s="2"/>
      <c r="V40" s="6">
        <f t="shared" si="25"/>
        <v>0.12771618625277162</v>
      </c>
      <c r="W40" s="2"/>
      <c r="X40" s="7">
        <f t="shared" si="26"/>
        <v>-1440</v>
      </c>
      <c r="Y40" s="2"/>
      <c r="Z40" s="6">
        <f t="shared" si="27"/>
        <v>-1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>
        <v>1008</v>
      </c>
      <c r="E41" s="2"/>
      <c r="F41" s="6">
        <f t="shared" si="20"/>
        <v>0.17297030161696345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1008</v>
      </c>
      <c r="M41" s="2"/>
      <c r="N41" s="6">
        <f t="shared" si="23"/>
        <v>0</v>
      </c>
      <c r="O41" s="11"/>
      <c r="P41" s="7">
        <v>1008</v>
      </c>
      <c r="Q41" s="2"/>
      <c r="R41" s="6">
        <f t="shared" si="24"/>
        <v>0.17297030161696345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1008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>
        <v>1997</v>
      </c>
      <c r="E43" s="2"/>
      <c r="F43" s="6">
        <f t="shared" si="20"/>
        <v>0.34268025032646426</v>
      </c>
      <c r="G43" s="2"/>
      <c r="H43" s="7">
        <v>1560</v>
      </c>
      <c r="I43" s="2"/>
      <c r="J43" s="6">
        <f t="shared" si="21"/>
        <v>0.13835920177383593</v>
      </c>
      <c r="K43" s="2"/>
      <c r="L43" s="7">
        <f t="shared" si="22"/>
        <v>437</v>
      </c>
      <c r="M43" s="2"/>
      <c r="N43" s="6">
        <f t="shared" si="23"/>
        <v>0.28012820512820513</v>
      </c>
      <c r="O43" s="11"/>
      <c r="P43" s="7">
        <v>1997</v>
      </c>
      <c r="Q43" s="2"/>
      <c r="R43" s="6">
        <f t="shared" si="24"/>
        <v>0.34268025032646426</v>
      </c>
      <c r="S43" s="2"/>
      <c r="T43" s="7">
        <v>1560</v>
      </c>
      <c r="U43" s="2"/>
      <c r="V43" s="6">
        <f t="shared" si="25"/>
        <v>0.13835920177383593</v>
      </c>
      <c r="W43" s="2"/>
      <c r="X43" s="7">
        <f t="shared" si="26"/>
        <v>437</v>
      </c>
      <c r="Y43" s="2"/>
      <c r="Z43" s="6">
        <f t="shared" si="27"/>
        <v>0.28012820512820513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7" customFormat="1" outlineLevel="1" collapsed="1" x14ac:dyDescent="0.25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457.5</v>
      </c>
      <c r="E47" s="1"/>
      <c r="F47" s="5">
        <f t="shared" ref="F47:F64" si="28">IF(D$12=0,0,D47/D$12)</f>
        <v>7.8505866061270607E-2</v>
      </c>
      <c r="G47" s="1"/>
      <c r="H47" s="1">
        <f>SUM(OSRRefH22_2x_0)</f>
        <v>250</v>
      </c>
      <c r="I47" s="1"/>
      <c r="J47" s="5">
        <f t="shared" ref="J47:J64" si="29">IF(H$12=0,0,H47/H$12)</f>
        <v>2.2172949002217297E-2</v>
      </c>
      <c r="K47" s="1"/>
      <c r="L47" s="1">
        <f t="shared" ref="L47:L64" si="30">+D47-H47</f>
        <v>207.5</v>
      </c>
      <c r="M47" s="1"/>
      <c r="N47" s="5">
        <f t="shared" ref="N47:N64" si="31">IF(H47=0,0,L47/H47)</f>
        <v>0.83</v>
      </c>
      <c r="O47" s="14"/>
      <c r="P47" s="1">
        <f>SUM(OSRRefP22_2x_0)</f>
        <v>457.5</v>
      </c>
      <c r="Q47" s="1"/>
      <c r="R47" s="5">
        <f t="shared" ref="R47:R64" si="32">IF(P$12=0,0,P47/P$12)</f>
        <v>7.8505866061270607E-2</v>
      </c>
      <c r="S47" s="1"/>
      <c r="T47" s="1">
        <f>SUM(OSRRefT22_2x_0)</f>
        <v>250</v>
      </c>
      <c r="U47" s="1"/>
      <c r="V47" s="5">
        <f t="shared" ref="V47:V64" si="33">IF(T$12=0,0,T47/T$12)</f>
        <v>2.2172949002217297E-2</v>
      </c>
      <c r="W47" s="1"/>
      <c r="X47" s="1">
        <f t="shared" ref="X47:X64" si="34">+P47-T47</f>
        <v>207.5</v>
      </c>
      <c r="Y47" s="1"/>
      <c r="Z47" s="5">
        <f t="shared" ref="Z47:Z64" si="35">IF(T47=0,0,X47/T47)</f>
        <v>0.83</v>
      </c>
    </row>
    <row r="48" spans="1:26" s="24" customFormat="1" hidden="1" outlineLevel="2" x14ac:dyDescent="0.25">
      <c r="A48" s="29"/>
      <c r="B48" s="11" t="str">
        <f>CONCATENATE("          ", "6362", " - ", "ADVERTISING EXPENSE")</f>
        <v xml:space="preserve">          6362 - ADVERTISING EXPENSE</v>
      </c>
      <c r="C48" s="11"/>
      <c r="D48" s="7">
        <v>457.5</v>
      </c>
      <c r="E48" s="2"/>
      <c r="F48" s="6">
        <f t="shared" si="28"/>
        <v>7.8505866061270607E-2</v>
      </c>
      <c r="G48" s="2"/>
      <c r="H48" s="7">
        <v>250</v>
      </c>
      <c r="I48" s="2"/>
      <c r="J48" s="6">
        <f t="shared" si="29"/>
        <v>2.2172949002217297E-2</v>
      </c>
      <c r="K48" s="2"/>
      <c r="L48" s="7">
        <f t="shared" si="30"/>
        <v>207.5</v>
      </c>
      <c r="M48" s="2"/>
      <c r="N48" s="6">
        <f t="shared" si="31"/>
        <v>0.83</v>
      </c>
      <c r="O48" s="11"/>
      <c r="P48" s="7">
        <v>457.5</v>
      </c>
      <c r="Q48" s="2"/>
      <c r="R48" s="6">
        <f t="shared" si="32"/>
        <v>7.8505866061270607E-2</v>
      </c>
      <c r="S48" s="2"/>
      <c r="T48" s="7">
        <v>250</v>
      </c>
      <c r="U48" s="2"/>
      <c r="V48" s="6">
        <f t="shared" si="33"/>
        <v>2.2172949002217297E-2</v>
      </c>
      <c r="W48" s="2"/>
      <c r="X48" s="7">
        <f t="shared" si="34"/>
        <v>207.5</v>
      </c>
      <c r="Y48" s="2"/>
      <c r="Z48" s="6">
        <f t="shared" si="35"/>
        <v>0.83</v>
      </c>
    </row>
    <row r="49" spans="1:26" s="27" customFormat="1" outlineLevel="1" collapsed="1" x14ac:dyDescent="0.25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-0.19</v>
      </c>
      <c r="E49" s="1"/>
      <c r="F49" s="5">
        <f t="shared" si="28"/>
        <v>-3.2603529074626049E-5</v>
      </c>
      <c r="G49" s="1"/>
      <c r="H49" s="1">
        <f>SUM(OSRRefH22_3x_0)</f>
        <v>20</v>
      </c>
      <c r="I49" s="1"/>
      <c r="J49" s="5">
        <f t="shared" si="29"/>
        <v>1.7738359201773836E-3</v>
      </c>
      <c r="K49" s="1"/>
      <c r="L49" s="1">
        <f t="shared" si="30"/>
        <v>-20.190000000000001</v>
      </c>
      <c r="M49" s="1"/>
      <c r="N49" s="5">
        <f t="shared" si="31"/>
        <v>-1.0095000000000001</v>
      </c>
      <c r="O49" s="14"/>
      <c r="P49" s="1">
        <f>SUM(OSRRefP22_3x_0)</f>
        <v>-0.19</v>
      </c>
      <c r="Q49" s="1"/>
      <c r="R49" s="5">
        <f t="shared" si="32"/>
        <v>-3.2603529074626049E-5</v>
      </c>
      <c r="S49" s="1"/>
      <c r="T49" s="1">
        <f>SUM(OSRRefT22_3x_0)</f>
        <v>20</v>
      </c>
      <c r="U49" s="1"/>
      <c r="V49" s="5">
        <f t="shared" si="33"/>
        <v>1.7738359201773836E-3</v>
      </c>
      <c r="W49" s="1"/>
      <c r="X49" s="1">
        <f t="shared" si="34"/>
        <v>-20.190000000000001</v>
      </c>
      <c r="Y49" s="1"/>
      <c r="Z49" s="5">
        <f t="shared" si="35"/>
        <v>-1.0095000000000001</v>
      </c>
    </row>
    <row r="50" spans="1:26" s="24" customFormat="1" hidden="1" outlineLevel="2" x14ac:dyDescent="0.25">
      <c r="A50" s="29"/>
      <c r="B50" s="11" t="str">
        <f>CONCATENATE("          ", "6272", " - ", "CASH (OVER/SHORT)")</f>
        <v xml:space="preserve">          6272 - CASH (OVER/SHORT)</v>
      </c>
      <c r="C50" s="11"/>
      <c r="D50" s="7">
        <v>-0.19</v>
      </c>
      <c r="E50" s="2"/>
      <c r="F50" s="6">
        <f t="shared" si="28"/>
        <v>-3.2603529074626049E-5</v>
      </c>
      <c r="G50" s="2"/>
      <c r="H50" s="7">
        <v>20</v>
      </c>
      <c r="I50" s="2"/>
      <c r="J50" s="6">
        <f t="shared" si="29"/>
        <v>1.7738359201773836E-3</v>
      </c>
      <c r="K50" s="2"/>
      <c r="L50" s="7">
        <f t="shared" si="30"/>
        <v>-20.190000000000001</v>
      </c>
      <c r="M50" s="2"/>
      <c r="N50" s="6">
        <f t="shared" si="31"/>
        <v>-1.0095000000000001</v>
      </c>
      <c r="O50" s="11"/>
      <c r="P50" s="7">
        <v>-0.19</v>
      </c>
      <c r="Q50" s="2"/>
      <c r="R50" s="6">
        <f t="shared" si="32"/>
        <v>-3.2603529074626049E-5</v>
      </c>
      <c r="S50" s="2"/>
      <c r="T50" s="7">
        <v>20</v>
      </c>
      <c r="U50" s="2"/>
      <c r="V50" s="6">
        <f t="shared" si="33"/>
        <v>1.7738359201773836E-3</v>
      </c>
      <c r="W50" s="2"/>
      <c r="X50" s="7">
        <f t="shared" si="34"/>
        <v>-20.190000000000001</v>
      </c>
      <c r="Y50" s="2"/>
      <c r="Z50" s="6">
        <f t="shared" si="35"/>
        <v>-1.0095000000000001</v>
      </c>
    </row>
    <row r="51" spans="1:26" s="27" customFormat="1" outlineLevel="1" collapsed="1" x14ac:dyDescent="0.25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132.5</v>
      </c>
      <c r="E51" s="1"/>
      <c r="F51" s="5">
        <f t="shared" si="28"/>
        <v>2.2736671591515531E-2</v>
      </c>
      <c r="G51" s="1"/>
      <c r="H51" s="1">
        <f>SUM(OSRRefH22_4x_0)</f>
        <v>300</v>
      </c>
      <c r="I51" s="1"/>
      <c r="J51" s="5">
        <f t="shared" si="29"/>
        <v>2.6607538802660754E-2</v>
      </c>
      <c r="K51" s="1"/>
      <c r="L51" s="1">
        <f t="shared" si="30"/>
        <v>-167.5</v>
      </c>
      <c r="M51" s="1"/>
      <c r="N51" s="5">
        <f t="shared" si="31"/>
        <v>-0.55833333333333335</v>
      </c>
      <c r="O51" s="14"/>
      <c r="P51" s="1">
        <f>SUM(OSRRefP22_4x_0)</f>
        <v>132.5</v>
      </c>
      <c r="Q51" s="1"/>
      <c r="R51" s="5">
        <f t="shared" si="32"/>
        <v>2.2736671591515531E-2</v>
      </c>
      <c r="S51" s="1"/>
      <c r="T51" s="1">
        <f>SUM(OSRRefT22_4x_0)</f>
        <v>300</v>
      </c>
      <c r="U51" s="1"/>
      <c r="V51" s="5">
        <f t="shared" si="33"/>
        <v>2.6607538802660754E-2</v>
      </c>
      <c r="W51" s="1"/>
      <c r="X51" s="1">
        <f t="shared" si="34"/>
        <v>-167.5</v>
      </c>
      <c r="Y51" s="1"/>
      <c r="Z51" s="5">
        <f t="shared" si="35"/>
        <v>-0.55833333333333335</v>
      </c>
    </row>
    <row r="52" spans="1:26" s="24" customFormat="1" hidden="1" outlineLevel="2" x14ac:dyDescent="0.25">
      <c r="A52" s="29"/>
      <c r="B52" s="11" t="str">
        <f>CONCATENATE("          ", "6381", " - ", "BANK/CREDIT CARD FEES")</f>
        <v xml:space="preserve">          6381 - BANK/CREDIT CARD FEES</v>
      </c>
      <c r="C52" s="11"/>
      <c r="D52" s="7">
        <v>132.5</v>
      </c>
      <c r="E52" s="2"/>
      <c r="F52" s="6">
        <f t="shared" si="28"/>
        <v>2.2736671591515531E-2</v>
      </c>
      <c r="G52" s="2"/>
      <c r="H52" s="7">
        <v>300</v>
      </c>
      <c r="I52" s="2"/>
      <c r="J52" s="6">
        <f t="shared" si="29"/>
        <v>2.6607538802660754E-2</v>
      </c>
      <c r="K52" s="2"/>
      <c r="L52" s="7">
        <f t="shared" si="30"/>
        <v>-167.5</v>
      </c>
      <c r="M52" s="2"/>
      <c r="N52" s="6">
        <f t="shared" si="31"/>
        <v>-0.55833333333333335</v>
      </c>
      <c r="O52" s="11"/>
      <c r="P52" s="7">
        <v>132.5</v>
      </c>
      <c r="Q52" s="2"/>
      <c r="R52" s="6">
        <f t="shared" si="32"/>
        <v>2.2736671591515531E-2</v>
      </c>
      <c r="S52" s="2"/>
      <c r="T52" s="7">
        <v>300</v>
      </c>
      <c r="U52" s="2"/>
      <c r="V52" s="6">
        <f t="shared" si="33"/>
        <v>2.6607538802660754E-2</v>
      </c>
      <c r="W52" s="2"/>
      <c r="X52" s="7">
        <f t="shared" si="34"/>
        <v>-167.5</v>
      </c>
      <c r="Y52" s="2"/>
      <c r="Z52" s="6">
        <f t="shared" si="35"/>
        <v>-0.55833333333333335</v>
      </c>
    </row>
    <row r="53" spans="1:26" s="27" customFormat="1" outlineLevel="1" collapsed="1" x14ac:dyDescent="0.25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630.21</v>
      </c>
      <c r="E53" s="1"/>
      <c r="F53" s="5">
        <f t="shared" si="28"/>
        <v>0.10814247399010569</v>
      </c>
      <c r="G53" s="1"/>
      <c r="H53" s="1">
        <f>SUM(OSRRefH22_5x_0)</f>
        <v>636</v>
      </c>
      <c r="I53" s="1"/>
      <c r="J53" s="5">
        <f t="shared" si="29"/>
        <v>5.6407982261640802E-2</v>
      </c>
      <c r="K53" s="1"/>
      <c r="L53" s="1">
        <f t="shared" si="30"/>
        <v>-5.7899999999999636</v>
      </c>
      <c r="M53" s="1"/>
      <c r="N53" s="5">
        <f t="shared" si="31"/>
        <v>-9.1037735849056039E-3</v>
      </c>
      <c r="O53" s="14"/>
      <c r="P53" s="1">
        <f>SUM(OSRRefP22_5x_0)</f>
        <v>630.21</v>
      </c>
      <c r="Q53" s="1"/>
      <c r="R53" s="5">
        <f t="shared" si="32"/>
        <v>0.10814247399010569</v>
      </c>
      <c r="S53" s="1"/>
      <c r="T53" s="1">
        <f>SUM(OSRRefT22_5x_0)</f>
        <v>636</v>
      </c>
      <c r="U53" s="1"/>
      <c r="V53" s="5">
        <f t="shared" si="33"/>
        <v>5.6407982261640802E-2</v>
      </c>
      <c r="W53" s="1"/>
      <c r="X53" s="1">
        <f t="shared" si="34"/>
        <v>-5.7899999999999636</v>
      </c>
      <c r="Y53" s="1"/>
      <c r="Z53" s="5">
        <f t="shared" si="35"/>
        <v>-9.1037735849056039E-3</v>
      </c>
    </row>
    <row r="54" spans="1:26" s="24" customFormat="1" hidden="1" outlineLevel="2" x14ac:dyDescent="0.25">
      <c r="A54" s="29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630.21</v>
      </c>
      <c r="E54" s="2"/>
      <c r="F54" s="6">
        <f t="shared" si="28"/>
        <v>0.10814247399010569</v>
      </c>
      <c r="G54" s="2"/>
      <c r="H54" s="7">
        <v>636</v>
      </c>
      <c r="I54" s="2"/>
      <c r="J54" s="6">
        <f t="shared" si="29"/>
        <v>5.6407982261640802E-2</v>
      </c>
      <c r="K54" s="2"/>
      <c r="L54" s="7">
        <f t="shared" si="30"/>
        <v>-5.7899999999999636</v>
      </c>
      <c r="M54" s="2"/>
      <c r="N54" s="6">
        <f t="shared" si="31"/>
        <v>-9.1037735849056039E-3</v>
      </c>
      <c r="O54" s="11"/>
      <c r="P54" s="7">
        <v>630.21</v>
      </c>
      <c r="Q54" s="2"/>
      <c r="R54" s="6">
        <f t="shared" si="32"/>
        <v>0.10814247399010569</v>
      </c>
      <c r="S54" s="2"/>
      <c r="T54" s="7">
        <v>636</v>
      </c>
      <c r="U54" s="2"/>
      <c r="V54" s="6">
        <f t="shared" si="33"/>
        <v>5.6407982261640802E-2</v>
      </c>
      <c r="W54" s="2"/>
      <c r="X54" s="7">
        <f t="shared" si="34"/>
        <v>-5.7899999999999636</v>
      </c>
      <c r="Y54" s="2"/>
      <c r="Z54" s="6">
        <f t="shared" si="35"/>
        <v>-9.1037735849056039E-3</v>
      </c>
    </row>
    <row r="55" spans="1:26" s="27" customFormat="1" outlineLevel="1" collapsed="1" x14ac:dyDescent="0.25">
      <c r="A55" s="28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SUM(OSRRefD22_6x_0)</f>
        <v>749.55</v>
      </c>
      <c r="E55" s="1"/>
      <c r="F55" s="5">
        <f t="shared" si="28"/>
        <v>0.12862092219939975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749.55</v>
      </c>
      <c r="M55" s="1"/>
      <c r="N55" s="5">
        <f t="shared" si="31"/>
        <v>0</v>
      </c>
      <c r="O55" s="14"/>
      <c r="P55" s="1">
        <f>SUM(OSRRefP22_6x_0)</f>
        <v>749.55</v>
      </c>
      <c r="Q55" s="1"/>
      <c r="R55" s="5">
        <f t="shared" si="32"/>
        <v>0.12862092219939975</v>
      </c>
      <c r="S55" s="1"/>
      <c r="T55" s="1">
        <f>SUM(OSRRefT22_6x_0)</f>
        <v>0</v>
      </c>
      <c r="U55" s="1"/>
      <c r="V55" s="5">
        <f t="shared" si="33"/>
        <v>0</v>
      </c>
      <c r="W55" s="1"/>
      <c r="X55" s="1">
        <f t="shared" si="34"/>
        <v>749.55</v>
      </c>
      <c r="Y55" s="1"/>
      <c r="Z55" s="5">
        <f t="shared" si="35"/>
        <v>0</v>
      </c>
    </row>
    <row r="56" spans="1:26" s="24" customFormat="1" hidden="1" outlineLevel="2" x14ac:dyDescent="0.25">
      <c r="A56" s="29"/>
      <c r="B56" s="11" t="str">
        <f>CONCATENATE("          ", "6279", " - ", "GENERAL EXPENSE")</f>
        <v xml:space="preserve">          6279 - GENERAL EXPENSE</v>
      </c>
      <c r="C56" s="11"/>
      <c r="D56" s="7">
        <v>749.55</v>
      </c>
      <c r="E56" s="2"/>
      <c r="F56" s="6">
        <f t="shared" si="28"/>
        <v>0.12862092219939975</v>
      </c>
      <c r="G56" s="2"/>
      <c r="H56" s="7"/>
      <c r="I56" s="2"/>
      <c r="J56" s="6">
        <f t="shared" si="29"/>
        <v>0</v>
      </c>
      <c r="K56" s="2"/>
      <c r="L56" s="7">
        <f t="shared" si="30"/>
        <v>749.55</v>
      </c>
      <c r="M56" s="2"/>
      <c r="N56" s="6">
        <f t="shared" si="31"/>
        <v>0</v>
      </c>
      <c r="O56" s="11"/>
      <c r="P56" s="7">
        <v>749.55</v>
      </c>
      <c r="Q56" s="2"/>
      <c r="R56" s="6">
        <f t="shared" si="32"/>
        <v>0.12862092219939975</v>
      </c>
      <c r="S56" s="2"/>
      <c r="T56" s="7"/>
      <c r="U56" s="2"/>
      <c r="V56" s="6">
        <f t="shared" si="33"/>
        <v>0</v>
      </c>
      <c r="W56" s="2"/>
      <c r="X56" s="7">
        <f t="shared" si="34"/>
        <v>749.55</v>
      </c>
      <c r="Y56" s="2"/>
      <c r="Z56" s="6">
        <f t="shared" si="35"/>
        <v>0</v>
      </c>
    </row>
    <row r="57" spans="1:26" s="27" customFormat="1" outlineLevel="1" collapsed="1" x14ac:dyDescent="0.25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SUM(OSRRefD22_7x_0)</f>
        <v>2819.21</v>
      </c>
      <c r="E57" s="1"/>
      <c r="F57" s="5">
        <f t="shared" si="28"/>
        <v>0.48376944843408681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2819.21</v>
      </c>
      <c r="M57" s="1"/>
      <c r="N57" s="5">
        <f t="shared" si="31"/>
        <v>0</v>
      </c>
      <c r="O57" s="14"/>
      <c r="P57" s="1">
        <f>SUM(OSRRefP22_7x_0)</f>
        <v>2819.21</v>
      </c>
      <c r="Q57" s="1"/>
      <c r="R57" s="5">
        <f t="shared" si="32"/>
        <v>0.48376944843408681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2819.21</v>
      </c>
      <c r="Y57" s="1"/>
      <c r="Z57" s="5">
        <f t="shared" si="35"/>
        <v>0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7">
        <v>2819.21</v>
      </c>
      <c r="E58" s="2"/>
      <c r="F58" s="6">
        <f t="shared" si="28"/>
        <v>0.48376944843408681</v>
      </c>
      <c r="G58" s="2"/>
      <c r="H58" s="7"/>
      <c r="I58" s="2"/>
      <c r="J58" s="6">
        <f t="shared" si="29"/>
        <v>0</v>
      </c>
      <c r="K58" s="2"/>
      <c r="L58" s="7">
        <f t="shared" si="30"/>
        <v>2819.21</v>
      </c>
      <c r="M58" s="2"/>
      <c r="N58" s="6">
        <f t="shared" si="31"/>
        <v>0</v>
      </c>
      <c r="O58" s="11"/>
      <c r="P58" s="7">
        <v>2819.21</v>
      </c>
      <c r="Q58" s="2"/>
      <c r="R58" s="6">
        <f t="shared" si="32"/>
        <v>0.48376944843408681</v>
      </c>
      <c r="S58" s="2"/>
      <c r="T58" s="7"/>
      <c r="U58" s="2"/>
      <c r="V58" s="6">
        <f t="shared" si="33"/>
        <v>0</v>
      </c>
      <c r="W58" s="2"/>
      <c r="X58" s="7">
        <f t="shared" si="34"/>
        <v>2819.21</v>
      </c>
      <c r="Y58" s="2"/>
      <c r="Z58" s="6">
        <f t="shared" si="35"/>
        <v>0</v>
      </c>
    </row>
    <row r="59" spans="1:26" s="27" customFormat="1" outlineLevel="1" collapsed="1" x14ac:dyDescent="0.25">
      <c r="A59" s="28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SUM(OSRRefD22_8x_0)</f>
        <v>6.5</v>
      </c>
      <c r="E59" s="1"/>
      <c r="F59" s="5">
        <f t="shared" si="28"/>
        <v>1.1153838893951016E-3</v>
      </c>
      <c r="G59" s="1"/>
      <c r="H59" s="1">
        <f>SUM(OSRRefH22_8x_0)</f>
        <v>90</v>
      </c>
      <c r="I59" s="1"/>
      <c r="J59" s="5">
        <f t="shared" si="29"/>
        <v>7.9822616407982262E-3</v>
      </c>
      <c r="K59" s="1"/>
      <c r="L59" s="1">
        <f t="shared" si="30"/>
        <v>-83.5</v>
      </c>
      <c r="M59" s="1"/>
      <c r="N59" s="5">
        <f t="shared" si="31"/>
        <v>-0.92777777777777781</v>
      </c>
      <c r="O59" s="14"/>
      <c r="P59" s="1">
        <f>SUM(OSRRefP22_8x_0)</f>
        <v>6.5</v>
      </c>
      <c r="Q59" s="1"/>
      <c r="R59" s="5">
        <f t="shared" si="32"/>
        <v>1.1153838893951016E-3</v>
      </c>
      <c r="S59" s="1"/>
      <c r="T59" s="1">
        <f>SUM(OSRRefT22_8x_0)</f>
        <v>90</v>
      </c>
      <c r="U59" s="1"/>
      <c r="V59" s="5">
        <f t="shared" si="33"/>
        <v>7.9822616407982262E-3</v>
      </c>
      <c r="W59" s="1"/>
      <c r="X59" s="1">
        <f t="shared" si="34"/>
        <v>-83.5</v>
      </c>
      <c r="Y59" s="1"/>
      <c r="Z59" s="5">
        <f t="shared" si="35"/>
        <v>-0.92777777777777781</v>
      </c>
    </row>
    <row r="60" spans="1:26" s="24" customFormat="1" hidden="1" outlineLevel="2" x14ac:dyDescent="0.25">
      <c r="A60" s="29"/>
      <c r="B60" s="11" t="str">
        <f>CONCATENATE("          ", "6286", " - ", "LAUNDRY EXPENSE")</f>
        <v xml:space="preserve">          6286 - LAUNDRY EXPENSE</v>
      </c>
      <c r="C60" s="11"/>
      <c r="D60" s="7">
        <v>6.5</v>
      </c>
      <c r="E60" s="2"/>
      <c r="F60" s="6">
        <f t="shared" si="28"/>
        <v>1.1153838893951016E-3</v>
      </c>
      <c r="G60" s="2"/>
      <c r="H60" s="7">
        <v>90</v>
      </c>
      <c r="I60" s="2"/>
      <c r="J60" s="6">
        <f t="shared" si="29"/>
        <v>7.9822616407982262E-3</v>
      </c>
      <c r="K60" s="2"/>
      <c r="L60" s="7">
        <f t="shared" si="30"/>
        <v>-83.5</v>
      </c>
      <c r="M60" s="2"/>
      <c r="N60" s="6">
        <f t="shared" si="31"/>
        <v>-0.92777777777777781</v>
      </c>
      <c r="O60" s="11"/>
      <c r="P60" s="7">
        <v>6.5</v>
      </c>
      <c r="Q60" s="2"/>
      <c r="R60" s="6">
        <f t="shared" si="32"/>
        <v>1.1153838893951016E-3</v>
      </c>
      <c r="S60" s="2"/>
      <c r="T60" s="7">
        <v>90</v>
      </c>
      <c r="U60" s="2"/>
      <c r="V60" s="6">
        <f t="shared" si="33"/>
        <v>7.9822616407982262E-3</v>
      </c>
      <c r="W60" s="2"/>
      <c r="X60" s="7">
        <f t="shared" si="34"/>
        <v>-83.5</v>
      </c>
      <c r="Y60" s="2"/>
      <c r="Z60" s="6">
        <f t="shared" si="35"/>
        <v>-0.92777777777777781</v>
      </c>
    </row>
    <row r="61" spans="1:26" s="27" customFormat="1" outlineLevel="1" collapsed="1" x14ac:dyDescent="0.25">
      <c r="A61" s="28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SUM(OSRRefD22_9x_0)</f>
        <v>583.47</v>
      </c>
      <c r="E61" s="1"/>
      <c r="F61" s="5">
        <f t="shared" si="28"/>
        <v>0.10012200583774768</v>
      </c>
      <c r="G61" s="1"/>
      <c r="H61" s="1">
        <f>SUM(OSRRefH22_9x_0)</f>
        <v>840</v>
      </c>
      <c r="I61" s="1"/>
      <c r="J61" s="5">
        <f t="shared" si="29"/>
        <v>7.4501108647450118E-2</v>
      </c>
      <c r="K61" s="1"/>
      <c r="L61" s="1">
        <f t="shared" si="30"/>
        <v>-256.52999999999997</v>
      </c>
      <c r="M61" s="1"/>
      <c r="N61" s="5">
        <f t="shared" si="31"/>
        <v>-0.30539285714285713</v>
      </c>
      <c r="O61" s="14"/>
      <c r="P61" s="1">
        <f>SUM(OSRRefP22_9x_0)</f>
        <v>583.47</v>
      </c>
      <c r="Q61" s="1"/>
      <c r="R61" s="5">
        <f t="shared" si="32"/>
        <v>0.10012200583774768</v>
      </c>
      <c r="S61" s="1"/>
      <c r="T61" s="1">
        <f>SUM(OSRRefT22_9x_0)</f>
        <v>840</v>
      </c>
      <c r="U61" s="1"/>
      <c r="V61" s="5">
        <f t="shared" si="33"/>
        <v>7.4501108647450118E-2</v>
      </c>
      <c r="W61" s="1"/>
      <c r="X61" s="1">
        <f t="shared" si="34"/>
        <v>-256.52999999999997</v>
      </c>
      <c r="Y61" s="1"/>
      <c r="Z61" s="5">
        <f t="shared" si="35"/>
        <v>-0.30539285714285713</v>
      </c>
    </row>
    <row r="62" spans="1:26" s="24" customFormat="1" hidden="1" outlineLevel="2" x14ac:dyDescent="0.25">
      <c r="A62" s="29"/>
      <c r="B62" s="11" t="str">
        <f>CONCATENATE("          ", "6239", " - ", "KITCHEN SUPPLIES")</f>
        <v xml:space="preserve">          6239 - KITCHEN SUPPLIES</v>
      </c>
      <c r="C62" s="11"/>
      <c r="D62" s="7">
        <v>540.89</v>
      </c>
      <c r="E62" s="2"/>
      <c r="F62" s="6">
        <f t="shared" si="28"/>
        <v>9.2815383374602531E-2</v>
      </c>
      <c r="G62" s="2"/>
      <c r="H62" s="7">
        <v>600</v>
      </c>
      <c r="I62" s="2"/>
      <c r="J62" s="6">
        <f t="shared" si="29"/>
        <v>5.3215077605321508E-2</v>
      </c>
      <c r="K62" s="2"/>
      <c r="L62" s="7">
        <f t="shared" si="30"/>
        <v>-59.110000000000014</v>
      </c>
      <c r="M62" s="2"/>
      <c r="N62" s="6">
        <f t="shared" si="31"/>
        <v>-9.8516666666666683E-2</v>
      </c>
      <c r="O62" s="11"/>
      <c r="P62" s="7">
        <v>540.89</v>
      </c>
      <c r="Q62" s="2"/>
      <c r="R62" s="6">
        <f t="shared" si="32"/>
        <v>9.2815383374602531E-2</v>
      </c>
      <c r="S62" s="2"/>
      <c r="T62" s="7">
        <v>600</v>
      </c>
      <c r="U62" s="2"/>
      <c r="V62" s="6">
        <f t="shared" si="33"/>
        <v>5.3215077605321508E-2</v>
      </c>
      <c r="W62" s="2"/>
      <c r="X62" s="7">
        <f t="shared" si="34"/>
        <v>-59.110000000000014</v>
      </c>
      <c r="Y62" s="2"/>
      <c r="Z62" s="6">
        <f t="shared" si="35"/>
        <v>-9.8516666666666683E-2</v>
      </c>
    </row>
    <row r="63" spans="1:26" s="24" customFormat="1" hidden="1" outlineLevel="2" x14ac:dyDescent="0.25">
      <c r="A63" s="29"/>
      <c r="B63" s="11" t="str">
        <f>CONCATENATE("          ", "6243", " - ", "PAPER SUPPLIES")</f>
        <v xml:space="preserve">          6243 - PAPER SUPPLIES</v>
      </c>
      <c r="C63" s="11"/>
      <c r="D63" s="7">
        <v>42.58</v>
      </c>
      <c r="E63" s="2"/>
      <c r="F63" s="6">
        <f t="shared" si="28"/>
        <v>7.3066224631451416E-3</v>
      </c>
      <c r="G63" s="2"/>
      <c r="H63" s="7">
        <v>80</v>
      </c>
      <c r="I63" s="2"/>
      <c r="J63" s="6">
        <f t="shared" si="29"/>
        <v>7.0953436807095344E-3</v>
      </c>
      <c r="K63" s="2"/>
      <c r="L63" s="7">
        <f t="shared" si="30"/>
        <v>-37.42</v>
      </c>
      <c r="M63" s="2"/>
      <c r="N63" s="6">
        <f t="shared" si="31"/>
        <v>-0.46775</v>
      </c>
      <c r="O63" s="11"/>
      <c r="P63" s="7">
        <v>42.58</v>
      </c>
      <c r="Q63" s="2"/>
      <c r="R63" s="6">
        <f t="shared" si="32"/>
        <v>7.3066224631451416E-3</v>
      </c>
      <c r="S63" s="2"/>
      <c r="T63" s="7">
        <v>80</v>
      </c>
      <c r="U63" s="2"/>
      <c r="V63" s="6">
        <f t="shared" si="33"/>
        <v>7.0953436807095344E-3</v>
      </c>
      <c r="W63" s="2"/>
      <c r="X63" s="7">
        <f t="shared" si="34"/>
        <v>-37.42</v>
      </c>
      <c r="Y63" s="2"/>
      <c r="Z63" s="6">
        <f t="shared" si="35"/>
        <v>-0.46775</v>
      </c>
    </row>
    <row r="64" spans="1:26" s="24" customFormat="1" hidden="1" outlineLevel="2" x14ac:dyDescent="0.25">
      <c r="A64" s="29"/>
      <c r="B64" s="11" t="str">
        <f>CONCATENATE("          ", "6247", " - ", "STORE SUPPLIES")</f>
        <v xml:space="preserve">          6247 - STORE SUPPLIES</v>
      </c>
      <c r="C64" s="11"/>
      <c r="D64" s="7"/>
      <c r="E64" s="2"/>
      <c r="F64" s="6">
        <f t="shared" si="28"/>
        <v>0</v>
      </c>
      <c r="G64" s="2"/>
      <c r="H64" s="7">
        <v>160</v>
      </c>
      <c r="I64" s="2"/>
      <c r="J64" s="6">
        <f t="shared" si="29"/>
        <v>1.4190687361419069E-2</v>
      </c>
      <c r="K64" s="2"/>
      <c r="L64" s="7">
        <f t="shared" si="30"/>
        <v>-160</v>
      </c>
      <c r="M64" s="2"/>
      <c r="N64" s="6">
        <f t="shared" si="31"/>
        <v>-1</v>
      </c>
      <c r="O64" s="11"/>
      <c r="P64" s="7"/>
      <c r="Q64" s="2"/>
      <c r="R64" s="6">
        <f t="shared" si="32"/>
        <v>0</v>
      </c>
      <c r="S64" s="2"/>
      <c r="T64" s="7">
        <v>160</v>
      </c>
      <c r="U64" s="2"/>
      <c r="V64" s="6">
        <f t="shared" si="33"/>
        <v>1.4190687361419069E-2</v>
      </c>
      <c r="W64" s="2"/>
      <c r="X64" s="7">
        <f t="shared" si="34"/>
        <v>-160</v>
      </c>
      <c r="Y64" s="2"/>
      <c r="Z64" s="6">
        <f t="shared" si="35"/>
        <v>-1</v>
      </c>
    </row>
    <row r="65" spans="1:26" s="27" customFormat="1" outlineLevel="1" collapsed="1" x14ac:dyDescent="0.25">
      <c r="A65" s="28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SUM(OSRRefD22_10x_0)</f>
        <v>-3</v>
      </c>
      <c r="E65" s="1"/>
      <c r="F65" s="5">
        <f t="shared" ref="F65:F67" si="36">IF(D$12=0,0,D65/D$12)</f>
        <v>-5.1479256433620074E-4</v>
      </c>
      <c r="G65" s="1"/>
      <c r="H65" s="1">
        <f>SUM(OSRRefH22_10x_0)</f>
        <v>95</v>
      </c>
      <c r="I65" s="1"/>
      <c r="J65" s="5">
        <f t="shared" ref="J65:J67" si="37">IF(H$12=0,0,H65/H$12)</f>
        <v>8.4257206208425729E-3</v>
      </c>
      <c r="K65" s="1"/>
      <c r="L65" s="1">
        <f t="shared" ref="L65:L67" si="38">+D65-H65</f>
        <v>-98</v>
      </c>
      <c r="M65" s="1"/>
      <c r="N65" s="5">
        <f t="shared" ref="N65:N67" si="39">IF(H65=0,0,L65/H65)</f>
        <v>-1.0315789473684212</v>
      </c>
      <c r="O65" s="14"/>
      <c r="P65" s="1">
        <f>SUM(OSRRefP22_10x_0)</f>
        <v>-3</v>
      </c>
      <c r="Q65" s="1"/>
      <c r="R65" s="5">
        <f t="shared" ref="R65:R67" si="40">IF(P$12=0,0,P65/P$12)</f>
        <v>-5.1479256433620074E-4</v>
      </c>
      <c r="S65" s="1"/>
      <c r="T65" s="1">
        <f>SUM(OSRRefT22_10x_0)</f>
        <v>95</v>
      </c>
      <c r="U65" s="1"/>
      <c r="V65" s="5">
        <f t="shared" ref="V65:V67" si="41">IF(T$12=0,0,T65/T$12)</f>
        <v>8.4257206208425729E-3</v>
      </c>
      <c r="W65" s="1"/>
      <c r="X65" s="1">
        <f t="shared" ref="X65:X67" si="42">+P65-T65</f>
        <v>-98</v>
      </c>
      <c r="Y65" s="1"/>
      <c r="Z65" s="5">
        <f t="shared" ref="Z65:Z67" si="43">IF(T65=0,0,X65/T65)</f>
        <v>-1.0315789473684212</v>
      </c>
    </row>
    <row r="66" spans="1:26" s="24" customFormat="1" hidden="1" outlineLevel="2" x14ac:dyDescent="0.25">
      <c r="A66" s="29"/>
      <c r="B66" s="11" t="str">
        <f>CONCATENATE("          ", "6303", " - ", "DATA PHONE LINES")</f>
        <v xml:space="preserve">          6303 - DATA PHONE LINES</v>
      </c>
      <c r="C66" s="11"/>
      <c r="D66" s="7"/>
      <c r="E66" s="2"/>
      <c r="F66" s="6">
        <f t="shared" si="36"/>
        <v>0</v>
      </c>
      <c r="G66" s="2"/>
      <c r="H66" s="7">
        <v>50</v>
      </c>
      <c r="I66" s="2"/>
      <c r="J66" s="6">
        <f t="shared" si="37"/>
        <v>4.434589800443459E-3</v>
      </c>
      <c r="K66" s="2"/>
      <c r="L66" s="7">
        <f t="shared" si="38"/>
        <v>-50</v>
      </c>
      <c r="M66" s="2"/>
      <c r="N66" s="6">
        <f t="shared" si="39"/>
        <v>-1</v>
      </c>
      <c r="O66" s="11"/>
      <c r="P66" s="7"/>
      <c r="Q66" s="2"/>
      <c r="R66" s="6">
        <f t="shared" si="40"/>
        <v>0</v>
      </c>
      <c r="S66" s="2"/>
      <c r="T66" s="7">
        <v>50</v>
      </c>
      <c r="U66" s="2"/>
      <c r="V66" s="6">
        <f t="shared" si="41"/>
        <v>4.434589800443459E-3</v>
      </c>
      <c r="W66" s="2"/>
      <c r="X66" s="7">
        <f t="shared" si="42"/>
        <v>-50</v>
      </c>
      <c r="Y66" s="2"/>
      <c r="Z66" s="6">
        <f t="shared" si="43"/>
        <v>-1</v>
      </c>
    </row>
    <row r="67" spans="1:26" s="24" customFormat="1" hidden="1" outlineLevel="2" x14ac:dyDescent="0.25">
      <c r="A67" s="29"/>
      <c r="B67" s="11" t="str">
        <f>CONCATENATE("          ", "6309", " - ", "TELEPHONE")</f>
        <v xml:space="preserve">          6309 - TELEPHONE</v>
      </c>
      <c r="C67" s="11"/>
      <c r="D67" s="7">
        <v>-3</v>
      </c>
      <c r="E67" s="2"/>
      <c r="F67" s="6">
        <f t="shared" si="36"/>
        <v>-5.1479256433620074E-4</v>
      </c>
      <c r="G67" s="2"/>
      <c r="H67" s="7">
        <v>45</v>
      </c>
      <c r="I67" s="2"/>
      <c r="J67" s="6">
        <f t="shared" si="37"/>
        <v>3.9911308203991131E-3</v>
      </c>
      <c r="K67" s="2"/>
      <c r="L67" s="7">
        <f t="shared" si="38"/>
        <v>-48</v>
      </c>
      <c r="M67" s="2"/>
      <c r="N67" s="6">
        <f t="shared" si="39"/>
        <v>-1.0666666666666667</v>
      </c>
      <c r="O67" s="11"/>
      <c r="P67" s="7">
        <v>-3</v>
      </c>
      <c r="Q67" s="2"/>
      <c r="R67" s="6">
        <f t="shared" si="40"/>
        <v>-5.1479256433620074E-4</v>
      </c>
      <c r="S67" s="2"/>
      <c r="T67" s="7">
        <v>45</v>
      </c>
      <c r="U67" s="2"/>
      <c r="V67" s="6">
        <f t="shared" si="41"/>
        <v>3.9911308203991131E-3</v>
      </c>
      <c r="W67" s="2"/>
      <c r="X67" s="7">
        <f t="shared" si="42"/>
        <v>-48</v>
      </c>
      <c r="Y67" s="2"/>
      <c r="Z67" s="6">
        <f t="shared" si="43"/>
        <v>-1.0666666666666667</v>
      </c>
    </row>
    <row r="68" spans="1:26" s="57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5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3</v>
      </c>
      <c r="C71" s="26"/>
      <c r="D71" s="21">
        <f>+D23-D25+D69</f>
        <v>-13545.550000000001</v>
      </c>
      <c r="E71" s="13"/>
      <c r="F71" s="19">
        <f>IF(D$12=0,0,D71/D$12)</f>
        <v>-2.3243828066147412</v>
      </c>
      <c r="G71" s="13"/>
      <c r="H71" s="21">
        <f>+H23-H25+H69</f>
        <v>-5745.5578896249972</v>
      </c>
      <c r="I71" s="13"/>
      <c r="J71" s="19">
        <f>IF(H$12=0,0,H71/H$12)</f>
        <v>-0.50958384830376913</v>
      </c>
      <c r="K71" s="15"/>
      <c r="L71" s="21">
        <f>+D71-H71</f>
        <v>-7799.9921103750039</v>
      </c>
      <c r="M71" s="15"/>
      <c r="N71" s="19">
        <f>IF(H71=0,0,L71/H71)</f>
        <v>1.3575691447578637</v>
      </c>
      <c r="O71" s="25"/>
      <c r="P71" s="21">
        <f>+P23-P25+P69</f>
        <v>-13545.550000000001</v>
      </c>
      <c r="Q71" s="13"/>
      <c r="R71" s="19">
        <f>IF(P$12=0,0,P71/P$12)</f>
        <v>-2.3243828066147412</v>
      </c>
      <c r="S71" s="13"/>
      <c r="T71" s="21">
        <f>+T23-T25+T69</f>
        <v>-5745.5578896249972</v>
      </c>
      <c r="U71" s="13"/>
      <c r="V71" s="19">
        <f>IF(T$12=0,0,T71/T$12)</f>
        <v>-0.50958384830376913</v>
      </c>
      <c r="W71" s="15"/>
      <c r="X71" s="21">
        <f>+P71-T71</f>
        <v>-7799.9921103750039</v>
      </c>
      <c r="Y71" s="15"/>
      <c r="Z71" s="19">
        <f>IF(T71=0,0,X71/T71)</f>
        <v>1.3575691447578637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>
        <v>1211.73</v>
      </c>
      <c r="E73" s="4"/>
      <c r="F73" s="12">
        <f>IF(D$12=0,0,D73/D$12)</f>
        <v>0.20792986466103483</v>
      </c>
      <c r="G73" s="4"/>
      <c r="H73" s="4">
        <v>2748</v>
      </c>
      <c r="I73" s="4"/>
      <c r="J73" s="12">
        <f>IF(H$12=0,0,H73/H$12)</f>
        <v>0.24372505543237249</v>
      </c>
      <c r="K73" s="4"/>
      <c r="L73" s="4">
        <f>+D73-H73</f>
        <v>-1536.27</v>
      </c>
      <c r="M73" s="4"/>
      <c r="N73" s="12">
        <f>IF(H73=0,0,L73/H73)</f>
        <v>-0.5590502183406113</v>
      </c>
      <c r="O73" s="10"/>
      <c r="P73" s="4">
        <v>1211.73</v>
      </c>
      <c r="Q73" s="4"/>
      <c r="R73" s="12">
        <f>IF(P$12=0,0,P73/P$12)</f>
        <v>0.20792986466103483</v>
      </c>
      <c r="S73" s="4"/>
      <c r="T73" s="4">
        <v>2748</v>
      </c>
      <c r="U73" s="4"/>
      <c r="V73" s="12">
        <f>IF(T$12=0,0,T73/T$12)</f>
        <v>0.24372505543237249</v>
      </c>
      <c r="W73" s="4"/>
      <c r="X73" s="4">
        <f>+P73-T73</f>
        <v>-1536.27</v>
      </c>
      <c r="Y73" s="4"/>
      <c r="Z73" s="12">
        <f>IF(T73=0,0,X73/T73)</f>
        <v>-0.5590502183406113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4</v>
      </c>
      <c r="C75" s="26"/>
      <c r="D75" s="32">
        <f>+D71-D73</f>
        <v>-14757.28</v>
      </c>
      <c r="E75" s="13"/>
      <c r="F75" s="31">
        <f>IF(D$12=0,0,D75/D$12)</f>
        <v>-2.532312671275776</v>
      </c>
      <c r="G75" s="13"/>
      <c r="H75" s="32">
        <f>+H71-H73</f>
        <v>-8493.5578896249972</v>
      </c>
      <c r="I75" s="13"/>
      <c r="J75" s="31">
        <f>IF(H$12=0,0,H75/H$12)</f>
        <v>-0.75330890373614168</v>
      </c>
      <c r="K75" s="15"/>
      <c r="L75" s="32">
        <f>D75-H75</f>
        <v>-6263.7221103750035</v>
      </c>
      <c r="M75" s="15"/>
      <c r="N75" s="31">
        <f>IF(H75=0,0,L75/H75)</f>
        <v>0.73746740668315569</v>
      </c>
      <c r="O75" s="25"/>
      <c r="P75" s="32">
        <f>+P71-P73</f>
        <v>-14757.28</v>
      </c>
      <c r="Q75" s="13"/>
      <c r="R75" s="31">
        <f>IF(P$12=0,0,P75/P$12)</f>
        <v>-2.532312671275776</v>
      </c>
      <c r="S75" s="13"/>
      <c r="T75" s="32">
        <f>+T71-T73</f>
        <v>-8493.5578896249972</v>
      </c>
      <c r="U75" s="13"/>
      <c r="V75" s="31">
        <f>IF(T$12=0,0,T75/T$12)</f>
        <v>-0.75330890373614168</v>
      </c>
      <c r="W75" s="15"/>
      <c r="X75" s="32">
        <f>P75-T75</f>
        <v>-6263.7221103750035</v>
      </c>
      <c r="Y75" s="15"/>
      <c r="Z75" s="31">
        <f>IF(T75=0,0,X75/T75)</f>
        <v>0.73746740668315569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5</v>
      </c>
      <c r="C78" s="26"/>
      <c r="D78" s="33">
        <f>SUM(D75:D77)</f>
        <v>-14757.28</v>
      </c>
      <c r="E78" s="13"/>
      <c r="F78" s="34">
        <f>IF(D$12=0,0,D78/D$12)</f>
        <v>-2.532312671275776</v>
      </c>
      <c r="G78" s="13"/>
      <c r="H78" s="33">
        <f>SUM(H75:H77)</f>
        <v>-8493.5578896249972</v>
      </c>
      <c r="I78" s="13"/>
      <c r="J78" s="34">
        <f>IF(H$12=0,0,H78/H$12)</f>
        <v>-0.75330890373614168</v>
      </c>
      <c r="K78" s="15"/>
      <c r="L78" s="33">
        <f>+D78-H78</f>
        <v>-6263.7221103750035</v>
      </c>
      <c r="M78" s="15"/>
      <c r="N78" s="34">
        <f>IF(H78=0,0,L78/H78)</f>
        <v>0.73746740668315569</v>
      </c>
      <c r="O78" s="25"/>
      <c r="P78" s="33">
        <f>SUM(P75:P77)</f>
        <v>-14757.28</v>
      </c>
      <c r="Q78" s="13"/>
      <c r="R78" s="34">
        <f>IF(P$12=0,0,P78/P$12)</f>
        <v>-2.532312671275776</v>
      </c>
      <c r="S78" s="13"/>
      <c r="T78" s="33">
        <f>SUM(T75:T77)</f>
        <v>-8493.5578896249972</v>
      </c>
      <c r="U78" s="13"/>
      <c r="V78" s="34">
        <f>IF(T$12=0,0,T78/T$12)</f>
        <v>-0.75330890373614168</v>
      </c>
      <c r="W78" s="15"/>
      <c r="X78" s="33">
        <f>+P78-T78</f>
        <v>-6263.7221103750035</v>
      </c>
      <c r="Y78" s="15"/>
      <c r="Z78" s="34">
        <f>IF(T78=0,0,X78/T78)</f>
        <v>0.73746740668315569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61">
        <v>43726.679008599538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6" t="s">
        <v>314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3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","414", " - ", "Starbucks UDP")</f>
        <v>Department 414 - Starbucks UDP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17961.349999999999</v>
      </c>
      <c r="E12" s="4"/>
      <c r="F12" s="12"/>
      <c r="G12" s="4"/>
      <c r="H12" s="4">
        <f>SUM(OSRRefH13x_0)</f>
        <v>38000</v>
      </c>
      <c r="I12" s="4"/>
      <c r="J12" s="12"/>
      <c r="K12" s="4"/>
      <c r="L12" s="4">
        <f t="shared" ref="L12:L16" si="0">+D12-H12</f>
        <v>-20038.650000000001</v>
      </c>
      <c r="M12" s="4"/>
      <c r="N12" s="12">
        <f t="shared" ref="N12:N16" si="1">IF(H12=0,0,L12/H12)</f>
        <v>-0.52733289473684219</v>
      </c>
      <c r="O12" s="10"/>
      <c r="P12" s="4">
        <f>SUM(OSRRefP13x_0)</f>
        <v>17961.349999999999</v>
      </c>
      <c r="Q12" s="4"/>
      <c r="R12" s="12"/>
      <c r="S12" s="4"/>
      <c r="T12" s="4">
        <f>SUM(OSRRefT13x_0)</f>
        <v>38000</v>
      </c>
      <c r="U12" s="4"/>
      <c r="V12" s="12"/>
      <c r="W12" s="4"/>
      <c r="X12" s="4">
        <f t="shared" ref="X12:X16" si="2">+P12-T12</f>
        <v>-20038.650000000001</v>
      </c>
      <c r="Y12" s="4"/>
      <c r="Z12" s="12">
        <f t="shared" ref="Z12:Z16" si="3">IF(T12=0,0,X12/T12)</f>
        <v>-0.52733289473684219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15200</v>
      </c>
      <c r="I13" s="2"/>
      <c r="J13" s="22"/>
      <c r="K13" s="2"/>
      <c r="L13" s="2">
        <f t="shared" si="0"/>
        <v>-15200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15200</v>
      </c>
      <c r="U13" s="2"/>
      <c r="V13" s="22"/>
      <c r="W13" s="2"/>
      <c r="X13" s="2">
        <f t="shared" si="2"/>
        <v>-15200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"4058", " - ", "TAXABLE SALES-FOOD")</f>
        <v xml:space="preserve">          4058 - TAXABLE SALES-FOOD</v>
      </c>
      <c r="C14" s="11"/>
      <c r="D14" s="2">
        <f>--8401.66</f>
        <v>8401.66</v>
      </c>
      <c r="E14" s="2"/>
      <c r="F14" s="22"/>
      <c r="G14" s="2"/>
      <c r="H14" s="2"/>
      <c r="I14" s="2"/>
      <c r="J14" s="22"/>
      <c r="K14" s="2"/>
      <c r="L14" s="2">
        <f t="shared" si="0"/>
        <v>8401.66</v>
      </c>
      <c r="M14" s="2"/>
      <c r="N14" s="22">
        <f t="shared" si="1"/>
        <v>0</v>
      </c>
      <c r="O14" s="11"/>
      <c r="P14" s="2">
        <f>--8401.66</f>
        <v>8401.66</v>
      </c>
      <c r="Q14" s="2"/>
      <c r="R14" s="22"/>
      <c r="S14" s="2"/>
      <c r="T14" s="2"/>
      <c r="U14" s="2"/>
      <c r="V14" s="22"/>
      <c r="W14" s="2"/>
      <c r="X14" s="2">
        <f t="shared" si="2"/>
        <v>8401.66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2"/>
      <c r="G15" s="2"/>
      <c r="H15" s="2">
        <v>22800</v>
      </c>
      <c r="I15" s="2"/>
      <c r="J15" s="22"/>
      <c r="K15" s="2"/>
      <c r="L15" s="2">
        <f t="shared" si="0"/>
        <v>-22800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22800</v>
      </c>
      <c r="U15" s="2"/>
      <c r="V15" s="22"/>
      <c r="W15" s="2"/>
      <c r="X15" s="2">
        <f t="shared" si="2"/>
        <v>-22800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"4158", " - ", "NON-TAXABLE SALES-FOOD")</f>
        <v xml:space="preserve">          4158 - NON-TAXABLE SALES-FOOD</v>
      </c>
      <c r="C16" s="11"/>
      <c r="D16" s="2">
        <f>--9559.69</f>
        <v>9559.69</v>
      </c>
      <c r="E16" s="2"/>
      <c r="F16" s="22"/>
      <c r="G16" s="2"/>
      <c r="H16" s="2"/>
      <c r="I16" s="2"/>
      <c r="J16" s="22"/>
      <c r="K16" s="2"/>
      <c r="L16" s="2">
        <f t="shared" si="0"/>
        <v>9559.69</v>
      </c>
      <c r="M16" s="2"/>
      <c r="N16" s="22">
        <f t="shared" si="1"/>
        <v>0</v>
      </c>
      <c r="O16" s="11"/>
      <c r="P16" s="2">
        <f>--9559.69</f>
        <v>9559.69</v>
      </c>
      <c r="Q16" s="2"/>
      <c r="R16" s="22"/>
      <c r="S16" s="2"/>
      <c r="T16" s="2"/>
      <c r="U16" s="2"/>
      <c r="V16" s="22"/>
      <c r="W16" s="2"/>
      <c r="X16" s="2">
        <f t="shared" si="2"/>
        <v>9559.69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8256.07</v>
      </c>
      <c r="E18" s="4"/>
      <c r="F18" s="12">
        <f t="shared" ref="F18:F21" si="4">IF(D$12=0,0,D18/D$12)</f>
        <v>0.45965754244530621</v>
      </c>
      <c r="G18" s="4"/>
      <c r="H18" s="4">
        <f>SUM(OSRRefH16x_0)</f>
        <v>13000</v>
      </c>
      <c r="I18" s="4"/>
      <c r="J18" s="12">
        <f t="shared" ref="J18:J21" si="5">IF(H$12=0,0,H18/H$12)</f>
        <v>0.34210526315789475</v>
      </c>
      <c r="K18" s="4"/>
      <c r="L18" s="4">
        <f t="shared" ref="L18:L21" si="6">+D18-H18</f>
        <v>-4743.93</v>
      </c>
      <c r="M18" s="4"/>
      <c r="N18" s="12">
        <f t="shared" ref="N18:N21" si="7">IF(H18=0,0,L18/H18)</f>
        <v>-0.36491769230769233</v>
      </c>
      <c r="O18" s="10"/>
      <c r="P18" s="4">
        <f>SUM(OSRRefP16x_0)</f>
        <v>8256.07</v>
      </c>
      <c r="Q18" s="4"/>
      <c r="R18" s="12">
        <f t="shared" ref="R18:R21" si="8">IF(P$12=0,0,P18/P$12)</f>
        <v>0.45965754244530621</v>
      </c>
      <c r="S18" s="4"/>
      <c r="T18" s="4">
        <f>SUM(OSRRefT16x_0)</f>
        <v>13000</v>
      </c>
      <c r="U18" s="4"/>
      <c r="V18" s="12">
        <f t="shared" ref="V18:V21" si="9">IF(T$12=0,0,T18/T$12)</f>
        <v>0.34210526315789475</v>
      </c>
      <c r="W18" s="4"/>
      <c r="X18" s="4">
        <f t="shared" ref="X18:X21" si="10">+P18-T18</f>
        <v>-4743.93</v>
      </c>
      <c r="Y18" s="4"/>
      <c r="Z18" s="12">
        <f t="shared" ref="Z18:Z21" si="11">IF(T18=0,0,X18/T18)</f>
        <v>-0.36491769230769233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13000</v>
      </c>
      <c r="I19" s="2"/>
      <c r="J19" s="22">
        <f t="shared" si="5"/>
        <v>0.34210526315789475</v>
      </c>
      <c r="K19" s="2"/>
      <c r="L19" s="2">
        <f t="shared" si="6"/>
        <v>-13000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13000</v>
      </c>
      <c r="U19" s="2"/>
      <c r="V19" s="22">
        <f t="shared" si="9"/>
        <v>0.34210526315789475</v>
      </c>
      <c r="W19" s="2"/>
      <c r="X19" s="2">
        <f t="shared" si="10"/>
        <v>-13000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6729.07</v>
      </c>
      <c r="E20" s="2"/>
      <c r="F20" s="22">
        <f t="shared" si="4"/>
        <v>0.37464166112235442</v>
      </c>
      <c r="G20" s="2"/>
      <c r="H20" s="2"/>
      <c r="I20" s="2"/>
      <c r="J20" s="22">
        <f t="shared" si="5"/>
        <v>0</v>
      </c>
      <c r="K20" s="2"/>
      <c r="L20" s="2">
        <f t="shared" si="6"/>
        <v>6729.07</v>
      </c>
      <c r="M20" s="2"/>
      <c r="N20" s="22">
        <f t="shared" si="7"/>
        <v>0</v>
      </c>
      <c r="O20" s="11"/>
      <c r="P20" s="2">
        <v>6729.07</v>
      </c>
      <c r="Q20" s="2"/>
      <c r="R20" s="22">
        <f t="shared" si="8"/>
        <v>0.37464166112235442</v>
      </c>
      <c r="S20" s="2"/>
      <c r="T20" s="2"/>
      <c r="U20" s="2"/>
      <c r="V20" s="22">
        <f t="shared" si="9"/>
        <v>0</v>
      </c>
      <c r="W20" s="2"/>
      <c r="X20" s="2">
        <f t="shared" si="10"/>
        <v>6729.07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1527</v>
      </c>
      <c r="E21" s="2"/>
      <c r="F21" s="22">
        <f t="shared" si="4"/>
        <v>8.5015881322951792E-2</v>
      </c>
      <c r="G21" s="2"/>
      <c r="H21" s="2"/>
      <c r="I21" s="2"/>
      <c r="J21" s="22">
        <f t="shared" si="5"/>
        <v>0</v>
      </c>
      <c r="K21" s="2"/>
      <c r="L21" s="2">
        <f t="shared" si="6"/>
        <v>1527</v>
      </c>
      <c r="M21" s="2"/>
      <c r="N21" s="22">
        <f t="shared" si="7"/>
        <v>0</v>
      </c>
      <c r="O21" s="11"/>
      <c r="P21" s="2">
        <v>1527</v>
      </c>
      <c r="Q21" s="2"/>
      <c r="R21" s="22">
        <f t="shared" si="8"/>
        <v>8.5015881322951792E-2</v>
      </c>
      <c r="S21" s="2"/>
      <c r="T21" s="2"/>
      <c r="U21" s="2"/>
      <c r="V21" s="22">
        <f t="shared" si="9"/>
        <v>0</v>
      </c>
      <c r="W21" s="2"/>
      <c r="X21" s="2">
        <f t="shared" si="10"/>
        <v>1527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1">
        <f>D12-D18</f>
        <v>9705.2799999999988</v>
      </c>
      <c r="E23" s="13"/>
      <c r="F23" s="19">
        <f>IF(D$12=0,0,D23/D$12)</f>
        <v>0.54034245755469379</v>
      </c>
      <c r="G23" s="13"/>
      <c r="H23" s="21">
        <f>H12-H18</f>
        <v>25000</v>
      </c>
      <c r="I23" s="13"/>
      <c r="J23" s="19">
        <f>IF(H$12=0,0,H23/H$12)</f>
        <v>0.65789473684210531</v>
      </c>
      <c r="K23" s="15"/>
      <c r="L23" s="21">
        <f>+D23-H23</f>
        <v>-15294.720000000001</v>
      </c>
      <c r="M23" s="15"/>
      <c r="N23" s="19">
        <f>IF(H23=0,0,L23/H23)</f>
        <v>-0.61178880000000002</v>
      </c>
      <c r="O23" s="25"/>
      <c r="P23" s="21">
        <f>P12-P18</f>
        <v>9705.2799999999988</v>
      </c>
      <c r="Q23" s="13"/>
      <c r="R23" s="19">
        <f>IF(P$12=0,0,P23/P$12)</f>
        <v>0.54034245755469379</v>
      </c>
      <c r="S23" s="13"/>
      <c r="T23" s="21">
        <f>T12-T18</f>
        <v>25000</v>
      </c>
      <c r="U23" s="13"/>
      <c r="V23" s="19">
        <f>IF(T$12=0,0,T23/T$12)</f>
        <v>0.65789473684210531</v>
      </c>
      <c r="W23" s="15"/>
      <c r="X23" s="21">
        <f>+P23-T23</f>
        <v>-15294.720000000001</v>
      </c>
      <c r="Y23" s="15"/>
      <c r="Z23" s="19">
        <f>IF(T23=0,0,X23/T23)</f>
        <v>-0.61178880000000002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0">
        <f>SUM(OSRRefD22x_0)</f>
        <v>23375.780000000002</v>
      </c>
      <c r="E25" s="20"/>
      <c r="F25" s="30">
        <f t="shared" ref="F25:F35" si="12">IF(D$12=0,0,D25/D$12)</f>
        <v>1.301448944539247</v>
      </c>
      <c r="G25" s="20"/>
      <c r="H25" s="20">
        <f>SUM(OSRRefH22x_0)</f>
        <v>29077.176134000001</v>
      </c>
      <c r="I25" s="20"/>
      <c r="J25" s="30">
        <f t="shared" ref="J25:J35" si="13">IF(H$12=0,0,H25/H$12)</f>
        <v>0.76518884563157896</v>
      </c>
      <c r="K25" s="4"/>
      <c r="L25" s="20">
        <f t="shared" ref="L25:L35" si="14">+D25-H25</f>
        <v>-5701.3961339999987</v>
      </c>
      <c r="M25" s="4"/>
      <c r="N25" s="30">
        <f t="shared" ref="N25:N35" si="15">IF(H25=0,0,L25/H25)</f>
        <v>-0.19607805475076187</v>
      </c>
      <c r="O25" s="10"/>
      <c r="P25" s="20">
        <f>SUM(OSRRefP22x_0)</f>
        <v>23375.780000000002</v>
      </c>
      <c r="Q25" s="20"/>
      <c r="R25" s="30">
        <f t="shared" ref="R25:R35" si="16">IF(P$12=0,0,P25/P$12)</f>
        <v>1.301448944539247</v>
      </c>
      <c r="S25" s="20"/>
      <c r="T25" s="20">
        <f>SUM(OSRRefT22x_0)</f>
        <v>29077.176134000001</v>
      </c>
      <c r="U25" s="20"/>
      <c r="V25" s="30">
        <f t="shared" ref="V25:V35" si="17">IF(T$12=0,0,T25/T$12)</f>
        <v>0.76518884563157896</v>
      </c>
      <c r="W25" s="4"/>
      <c r="X25" s="20">
        <f t="shared" ref="X25:X35" si="18">+P25-T25</f>
        <v>-5701.3961339999987</v>
      </c>
      <c r="Y25" s="4"/>
      <c r="Z25" s="30">
        <f t="shared" ref="Z25:Z35" si="19">IF(T25=0,0,X25/T25)</f>
        <v>-0.19607805475076187</v>
      </c>
    </row>
    <row r="26" spans="1:26" s="27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2278.0699999999997</v>
      </c>
      <c r="E26" s="1"/>
      <c r="F26" s="5">
        <f t="shared" si="12"/>
        <v>0.12683178046193633</v>
      </c>
      <c r="G26" s="1"/>
      <c r="H26" s="1">
        <f>SUM(OSRRefH22_0x_0)</f>
        <v>4837.2561340000002</v>
      </c>
      <c r="I26" s="1"/>
      <c r="J26" s="5">
        <f t="shared" si="13"/>
        <v>0.12729621405263158</v>
      </c>
      <c r="K26" s="1"/>
      <c r="L26" s="1">
        <f t="shared" si="14"/>
        <v>-2559.1861340000005</v>
      </c>
      <c r="M26" s="1"/>
      <c r="N26" s="5">
        <f t="shared" si="15"/>
        <v>-0.52905739599192381</v>
      </c>
      <c r="O26" s="14"/>
      <c r="P26" s="1">
        <f>SUM(OSRRefP22_0x_0)</f>
        <v>2278.0699999999997</v>
      </c>
      <c r="Q26" s="1"/>
      <c r="R26" s="5">
        <f t="shared" si="16"/>
        <v>0.12683178046193633</v>
      </c>
      <c r="S26" s="1"/>
      <c r="T26" s="1">
        <f>SUM(OSRRefT22_0x_0)</f>
        <v>4837.2561340000002</v>
      </c>
      <c r="U26" s="1"/>
      <c r="V26" s="5">
        <f t="shared" si="17"/>
        <v>0.12729621405263158</v>
      </c>
      <c r="W26" s="1"/>
      <c r="X26" s="1">
        <f t="shared" si="18"/>
        <v>-2559.1861340000005</v>
      </c>
      <c r="Y26" s="1"/>
      <c r="Z26" s="5">
        <f t="shared" si="19"/>
        <v>-0.52905739599192381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639.17999999999995</v>
      </c>
      <c r="E27" s="2"/>
      <c r="F27" s="6">
        <f t="shared" si="12"/>
        <v>3.5586411934514943E-2</v>
      </c>
      <c r="G27" s="2"/>
      <c r="H27" s="7">
        <v>1442.116014</v>
      </c>
      <c r="I27" s="2"/>
      <c r="J27" s="6">
        <f t="shared" si="13"/>
        <v>3.7950421421052628E-2</v>
      </c>
      <c r="K27" s="2"/>
      <c r="L27" s="7">
        <f t="shared" si="14"/>
        <v>-802.936014</v>
      </c>
      <c r="M27" s="2"/>
      <c r="N27" s="6">
        <f t="shared" si="15"/>
        <v>-0.55677629691726038</v>
      </c>
      <c r="O27" s="11"/>
      <c r="P27" s="7">
        <v>639.17999999999995</v>
      </c>
      <c r="Q27" s="2"/>
      <c r="R27" s="6">
        <f t="shared" si="16"/>
        <v>3.5586411934514943E-2</v>
      </c>
      <c r="S27" s="2"/>
      <c r="T27" s="7">
        <v>1442.116014</v>
      </c>
      <c r="U27" s="2"/>
      <c r="V27" s="6">
        <f t="shared" si="17"/>
        <v>3.7950421421052628E-2</v>
      </c>
      <c r="W27" s="2"/>
      <c r="X27" s="7">
        <f t="shared" si="18"/>
        <v>-802.936014</v>
      </c>
      <c r="Y27" s="2"/>
      <c r="Z27" s="6">
        <f t="shared" si="19"/>
        <v>-0.55677629691726038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395.46</v>
      </c>
      <c r="E28" s="2"/>
      <c r="F28" s="6">
        <f t="shared" si="12"/>
        <v>2.2017275984266216E-2</v>
      </c>
      <c r="G28" s="2"/>
      <c r="H28" s="7">
        <v>568.17944</v>
      </c>
      <c r="I28" s="2"/>
      <c r="J28" s="6">
        <f t="shared" si="13"/>
        <v>1.4952090526315789E-2</v>
      </c>
      <c r="K28" s="2"/>
      <c r="L28" s="7">
        <f t="shared" si="14"/>
        <v>-172.71944000000002</v>
      </c>
      <c r="M28" s="2"/>
      <c r="N28" s="6">
        <f t="shared" si="15"/>
        <v>-0.30398748677002468</v>
      </c>
      <c r="O28" s="11"/>
      <c r="P28" s="7">
        <v>395.46</v>
      </c>
      <c r="Q28" s="2"/>
      <c r="R28" s="6">
        <f t="shared" si="16"/>
        <v>2.2017275984266216E-2</v>
      </c>
      <c r="S28" s="2"/>
      <c r="T28" s="7">
        <v>568.17944</v>
      </c>
      <c r="U28" s="2"/>
      <c r="V28" s="6">
        <f t="shared" si="17"/>
        <v>1.4952090526315789E-2</v>
      </c>
      <c r="W28" s="2"/>
      <c r="X28" s="7">
        <f t="shared" si="18"/>
        <v>-172.71944000000002</v>
      </c>
      <c r="Y28" s="2"/>
      <c r="Z28" s="6">
        <f t="shared" si="19"/>
        <v>-0.30398748677002468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650.39</v>
      </c>
      <c r="E29" s="2"/>
      <c r="F29" s="6">
        <f t="shared" si="12"/>
        <v>3.6210529832111732E-2</v>
      </c>
      <c r="G29" s="2"/>
      <c r="H29" s="7">
        <v>1381</v>
      </c>
      <c r="I29" s="2"/>
      <c r="J29" s="6">
        <f t="shared" si="13"/>
        <v>3.6342105263157898E-2</v>
      </c>
      <c r="K29" s="2"/>
      <c r="L29" s="7">
        <f t="shared" si="14"/>
        <v>-730.61</v>
      </c>
      <c r="M29" s="2"/>
      <c r="N29" s="6">
        <f t="shared" si="15"/>
        <v>-0.52904417089065892</v>
      </c>
      <c r="O29" s="11"/>
      <c r="P29" s="7">
        <v>650.39</v>
      </c>
      <c r="Q29" s="2"/>
      <c r="R29" s="6">
        <f t="shared" si="16"/>
        <v>3.6210529832111732E-2</v>
      </c>
      <c r="S29" s="2"/>
      <c r="T29" s="7">
        <v>1381</v>
      </c>
      <c r="U29" s="2"/>
      <c r="V29" s="6">
        <f t="shared" si="17"/>
        <v>3.6342105263157898E-2</v>
      </c>
      <c r="W29" s="2"/>
      <c r="X29" s="7">
        <f t="shared" si="18"/>
        <v>-730.61</v>
      </c>
      <c r="Y29" s="2"/>
      <c r="Z29" s="6">
        <f t="shared" si="19"/>
        <v>-0.52904417089065892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26.5</v>
      </c>
      <c r="E30" s="2"/>
      <c r="F30" s="6">
        <f t="shared" si="12"/>
        <v>1.475390212873754E-3</v>
      </c>
      <c r="G30" s="2"/>
      <c r="H30" s="7">
        <v>48.993879999999997</v>
      </c>
      <c r="I30" s="2"/>
      <c r="J30" s="6">
        <f t="shared" si="13"/>
        <v>1.2893126315789473E-3</v>
      </c>
      <c r="K30" s="2"/>
      <c r="L30" s="7">
        <f t="shared" si="14"/>
        <v>-22.493879999999997</v>
      </c>
      <c r="M30" s="2"/>
      <c r="N30" s="6">
        <f t="shared" si="15"/>
        <v>-0.45911611817639264</v>
      </c>
      <c r="O30" s="11"/>
      <c r="P30" s="7">
        <v>26.5</v>
      </c>
      <c r="Q30" s="2"/>
      <c r="R30" s="6">
        <f t="shared" si="16"/>
        <v>1.475390212873754E-3</v>
      </c>
      <c r="S30" s="2"/>
      <c r="T30" s="7">
        <v>48.993879999999997</v>
      </c>
      <c r="U30" s="2"/>
      <c r="V30" s="6">
        <f t="shared" si="17"/>
        <v>1.2893126315789473E-3</v>
      </c>
      <c r="W30" s="2"/>
      <c r="X30" s="7">
        <f t="shared" si="18"/>
        <v>-22.493879999999997</v>
      </c>
      <c r="Y30" s="2"/>
      <c r="Z30" s="6">
        <f t="shared" si="19"/>
        <v>-0.45911611817639264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527.93679999999995</v>
      </c>
      <c r="I31" s="2"/>
      <c r="J31" s="6">
        <f t="shared" si="13"/>
        <v>1.3893073684210526E-2</v>
      </c>
      <c r="K31" s="2"/>
      <c r="L31" s="7">
        <f t="shared" si="14"/>
        <v>-527.93679999999995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527.93679999999995</v>
      </c>
      <c r="U31" s="2"/>
      <c r="V31" s="6">
        <f t="shared" si="17"/>
        <v>1.3893073684210526E-2</v>
      </c>
      <c r="W31" s="2"/>
      <c r="X31" s="7">
        <f t="shared" si="18"/>
        <v>-527.93679999999995</v>
      </c>
      <c r="Y31" s="2"/>
      <c r="Z31" s="6">
        <f t="shared" si="19"/>
        <v>-1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192.5</v>
      </c>
      <c r="E33" s="2"/>
      <c r="F33" s="6">
        <f t="shared" si="12"/>
        <v>1.0717457206724439E-2</v>
      </c>
      <c r="G33" s="2"/>
      <c r="H33" s="7">
        <v>306.94</v>
      </c>
      <c r="I33" s="2"/>
      <c r="J33" s="6">
        <f t="shared" si="13"/>
        <v>8.0773684210526317E-3</v>
      </c>
      <c r="K33" s="2"/>
      <c r="L33" s="7">
        <f t="shared" si="14"/>
        <v>-114.44</v>
      </c>
      <c r="M33" s="2"/>
      <c r="N33" s="6">
        <f t="shared" si="15"/>
        <v>-0.37284159770639214</v>
      </c>
      <c r="O33" s="11"/>
      <c r="P33" s="7">
        <v>192.5</v>
      </c>
      <c r="Q33" s="2"/>
      <c r="R33" s="6">
        <f t="shared" si="16"/>
        <v>1.0717457206724439E-2</v>
      </c>
      <c r="S33" s="2"/>
      <c r="T33" s="7">
        <v>306.94</v>
      </c>
      <c r="U33" s="2"/>
      <c r="V33" s="6">
        <f t="shared" si="17"/>
        <v>8.0773684210526317E-3</v>
      </c>
      <c r="W33" s="2"/>
      <c r="X33" s="7">
        <f t="shared" si="18"/>
        <v>-114.44</v>
      </c>
      <c r="Y33" s="2"/>
      <c r="Z33" s="6">
        <f t="shared" si="19"/>
        <v>-0.37284159770639214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230.62</v>
      </c>
      <c r="E34" s="2"/>
      <c r="F34" s="6">
        <f t="shared" si="12"/>
        <v>1.2839792109167742E-2</v>
      </c>
      <c r="G34" s="2"/>
      <c r="H34" s="7">
        <v>562.09</v>
      </c>
      <c r="I34" s="2"/>
      <c r="J34" s="6">
        <f t="shared" si="13"/>
        <v>1.4791842105263159E-2</v>
      </c>
      <c r="K34" s="2"/>
      <c r="L34" s="7">
        <f t="shared" si="14"/>
        <v>-331.47</v>
      </c>
      <c r="M34" s="2"/>
      <c r="N34" s="6">
        <f t="shared" si="15"/>
        <v>-0.58970983294490209</v>
      </c>
      <c r="O34" s="11"/>
      <c r="P34" s="7">
        <v>230.62</v>
      </c>
      <c r="Q34" s="2"/>
      <c r="R34" s="6">
        <f t="shared" si="16"/>
        <v>1.2839792109167742E-2</v>
      </c>
      <c r="S34" s="2"/>
      <c r="T34" s="7">
        <v>562.09</v>
      </c>
      <c r="U34" s="2"/>
      <c r="V34" s="6">
        <f t="shared" si="17"/>
        <v>1.4791842105263159E-2</v>
      </c>
      <c r="W34" s="2"/>
      <c r="X34" s="7">
        <f t="shared" si="18"/>
        <v>-331.47</v>
      </c>
      <c r="Y34" s="2"/>
      <c r="Z34" s="6">
        <f t="shared" si="19"/>
        <v>-0.58970983294490209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7">
        <v>143.41999999999999</v>
      </c>
      <c r="E35" s="2"/>
      <c r="F35" s="6">
        <f t="shared" si="12"/>
        <v>7.9849231822775018E-3</v>
      </c>
      <c r="G35" s="2"/>
      <c r="H35" s="7"/>
      <c r="I35" s="2"/>
      <c r="J35" s="6">
        <f t="shared" si="13"/>
        <v>0</v>
      </c>
      <c r="K35" s="2"/>
      <c r="L35" s="7">
        <f t="shared" si="14"/>
        <v>143.41999999999999</v>
      </c>
      <c r="M35" s="2"/>
      <c r="N35" s="6">
        <f t="shared" si="15"/>
        <v>0</v>
      </c>
      <c r="O35" s="11"/>
      <c r="P35" s="7">
        <v>143.41999999999999</v>
      </c>
      <c r="Q35" s="2"/>
      <c r="R35" s="6">
        <f t="shared" si="16"/>
        <v>7.9849231822775018E-3</v>
      </c>
      <c r="S35" s="2"/>
      <c r="T35" s="7"/>
      <c r="U35" s="2"/>
      <c r="V35" s="6">
        <f t="shared" si="17"/>
        <v>0</v>
      </c>
      <c r="W35" s="2"/>
      <c r="X35" s="7">
        <f t="shared" si="18"/>
        <v>143.41999999999999</v>
      </c>
      <c r="Y35" s="2"/>
      <c r="Z35" s="6">
        <f t="shared" si="19"/>
        <v>0</v>
      </c>
    </row>
    <row r="36" spans="1:26" s="27" customFormat="1" outlineLevel="1" collapsed="1" x14ac:dyDescent="0.25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10898.380000000001</v>
      </c>
      <c r="E36" s="1"/>
      <c r="F36" s="5">
        <f t="shared" ref="F36:F46" si="20">IF(D$12=0,0,D36/D$12)</f>
        <v>0.60676842219543636</v>
      </c>
      <c r="G36" s="1"/>
      <c r="H36" s="1">
        <f>SUM(OSRRefH22_1x_0)</f>
        <v>14029.92</v>
      </c>
      <c r="I36" s="1"/>
      <c r="J36" s="5">
        <f t="shared" ref="J36:J46" si="21">IF(H$12=0,0,H36/H$12)</f>
        <v>0.36920842105263157</v>
      </c>
      <c r="K36" s="1"/>
      <c r="L36" s="1">
        <f t="shared" ref="L36:L46" si="22">+D36-H36</f>
        <v>-3131.5399999999991</v>
      </c>
      <c r="M36" s="1"/>
      <c r="N36" s="5">
        <f t="shared" ref="N36:N46" si="23">IF(H36=0,0,L36/H36)</f>
        <v>-0.22320440886334342</v>
      </c>
      <c r="O36" s="14"/>
      <c r="P36" s="1">
        <f>SUM(OSRRefP22_1x_0)</f>
        <v>10898.380000000001</v>
      </c>
      <c r="Q36" s="1"/>
      <c r="R36" s="5">
        <f t="shared" ref="R36:R46" si="24">IF(P$12=0,0,P36/P$12)</f>
        <v>0.60676842219543636</v>
      </c>
      <c r="S36" s="1"/>
      <c r="T36" s="1">
        <f>SUM(OSRRefT22_1x_0)</f>
        <v>14029.92</v>
      </c>
      <c r="U36" s="1"/>
      <c r="V36" s="5">
        <f t="shared" ref="V36:V46" si="25">IF(T$12=0,0,T36/T$12)</f>
        <v>0.36920842105263157</v>
      </c>
      <c r="W36" s="1"/>
      <c r="X36" s="1">
        <f t="shared" ref="X36:X46" si="26">+P36-T36</f>
        <v>-3131.5399999999991</v>
      </c>
      <c r="Y36" s="1"/>
      <c r="Z36" s="5">
        <f t="shared" ref="Z36:Z46" si="27">IF(T36=0,0,X36/T36)</f>
        <v>-0.22320440886334342</v>
      </c>
    </row>
    <row r="37" spans="1:26" s="24" customFormat="1" hidden="1" outlineLevel="2" x14ac:dyDescent="0.2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"6002", " - ", "STAFF SALARIES")</f>
        <v xml:space="preserve">          6002 - STAFF SALARIES</v>
      </c>
      <c r="C38" s="11"/>
      <c r="D38" s="7"/>
      <c r="E38" s="2"/>
      <c r="F38" s="6">
        <f t="shared" si="20"/>
        <v>0</v>
      </c>
      <c r="G38" s="2"/>
      <c r="H38" s="7">
        <v>5524.92</v>
      </c>
      <c r="I38" s="2"/>
      <c r="J38" s="6">
        <f t="shared" si="21"/>
        <v>0.14539263157894736</v>
      </c>
      <c r="K38" s="2"/>
      <c r="L38" s="7">
        <f t="shared" si="22"/>
        <v>-5524.92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5524.92</v>
      </c>
      <c r="U38" s="2"/>
      <c r="V38" s="6">
        <f t="shared" si="25"/>
        <v>0.14539263157894736</v>
      </c>
      <c r="W38" s="2"/>
      <c r="X38" s="7">
        <f t="shared" si="26"/>
        <v>-5524.92</v>
      </c>
      <c r="Y38" s="2"/>
      <c r="Z38" s="6">
        <f t="shared" si="27"/>
        <v>-1</v>
      </c>
    </row>
    <row r="39" spans="1:26" s="24" customFormat="1" hidden="1" outlineLevel="2" x14ac:dyDescent="0.25">
      <c r="A39" s="29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7">
        <v>5328.12</v>
      </c>
      <c r="E40" s="2"/>
      <c r="F40" s="6">
        <f t="shared" si="20"/>
        <v>0.29664362645346815</v>
      </c>
      <c r="G40" s="2"/>
      <c r="H40" s="7">
        <v>4785</v>
      </c>
      <c r="I40" s="2"/>
      <c r="J40" s="6">
        <f t="shared" si="21"/>
        <v>0.12592105263157893</v>
      </c>
      <c r="K40" s="2"/>
      <c r="L40" s="7">
        <f t="shared" si="22"/>
        <v>543.11999999999989</v>
      </c>
      <c r="M40" s="2"/>
      <c r="N40" s="6">
        <f t="shared" si="23"/>
        <v>0.11350470219435735</v>
      </c>
      <c r="O40" s="11"/>
      <c r="P40" s="7">
        <v>5328.12</v>
      </c>
      <c r="Q40" s="2"/>
      <c r="R40" s="6">
        <f t="shared" si="24"/>
        <v>0.29664362645346815</v>
      </c>
      <c r="S40" s="2"/>
      <c r="T40" s="7">
        <v>4785</v>
      </c>
      <c r="U40" s="2"/>
      <c r="V40" s="6">
        <f t="shared" si="25"/>
        <v>0.12592105263157893</v>
      </c>
      <c r="W40" s="2"/>
      <c r="X40" s="7">
        <f t="shared" si="26"/>
        <v>543.11999999999989</v>
      </c>
      <c r="Y40" s="2"/>
      <c r="Z40" s="6">
        <f t="shared" si="27"/>
        <v>0.11350470219435735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>
        <v>816</v>
      </c>
      <c r="E41" s="2"/>
      <c r="F41" s="6">
        <f t="shared" si="20"/>
        <v>4.5430883536037109E-2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816</v>
      </c>
      <c r="M41" s="2"/>
      <c r="N41" s="6">
        <f t="shared" si="23"/>
        <v>0</v>
      </c>
      <c r="O41" s="11"/>
      <c r="P41" s="7">
        <v>816</v>
      </c>
      <c r="Q41" s="2"/>
      <c r="R41" s="6">
        <f t="shared" si="24"/>
        <v>4.5430883536037109E-2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816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>
        <v>4754.26</v>
      </c>
      <c r="E43" s="2"/>
      <c r="F43" s="6">
        <f t="shared" si="20"/>
        <v>0.26469391220593108</v>
      </c>
      <c r="G43" s="2"/>
      <c r="H43" s="7">
        <v>3720</v>
      </c>
      <c r="I43" s="2"/>
      <c r="J43" s="6">
        <f t="shared" si="21"/>
        <v>9.7894736842105257E-2</v>
      </c>
      <c r="K43" s="2"/>
      <c r="L43" s="7">
        <f t="shared" si="22"/>
        <v>1034.2600000000002</v>
      </c>
      <c r="M43" s="2"/>
      <c r="N43" s="6">
        <f t="shared" si="23"/>
        <v>0.27802688172043016</v>
      </c>
      <c r="O43" s="11"/>
      <c r="P43" s="7">
        <v>4754.26</v>
      </c>
      <c r="Q43" s="2"/>
      <c r="R43" s="6">
        <f t="shared" si="24"/>
        <v>0.26469391220593108</v>
      </c>
      <c r="S43" s="2"/>
      <c r="T43" s="7">
        <v>3720</v>
      </c>
      <c r="U43" s="2"/>
      <c r="V43" s="6">
        <f t="shared" si="25"/>
        <v>9.7894736842105257E-2</v>
      </c>
      <c r="W43" s="2"/>
      <c r="X43" s="7">
        <f t="shared" si="26"/>
        <v>1034.2600000000002</v>
      </c>
      <c r="Y43" s="2"/>
      <c r="Z43" s="6">
        <f t="shared" si="27"/>
        <v>0.27802688172043016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7" customFormat="1" outlineLevel="1" collapsed="1" x14ac:dyDescent="0.25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63.52</v>
      </c>
      <c r="E47" s="1"/>
      <c r="F47" s="5">
        <f t="shared" ref="F47:F55" si="28">IF(D$12=0,0,D47/D$12)</f>
        <v>3.5364825027072023E-3</v>
      </c>
      <c r="G47" s="1"/>
      <c r="H47" s="1">
        <f>SUM(OSRRefH22_2x_0)</f>
        <v>100</v>
      </c>
      <c r="I47" s="1"/>
      <c r="J47" s="5">
        <f t="shared" ref="J47:J55" si="29">IF(H$12=0,0,H47/H$12)</f>
        <v>2.631578947368421E-3</v>
      </c>
      <c r="K47" s="1"/>
      <c r="L47" s="1">
        <f t="shared" ref="L47:L55" si="30">+D47-H47</f>
        <v>-36.479999999999997</v>
      </c>
      <c r="M47" s="1"/>
      <c r="N47" s="5">
        <f t="shared" ref="N47:N55" si="31">IF(H47=0,0,L47/H47)</f>
        <v>-0.36479999999999996</v>
      </c>
      <c r="O47" s="14"/>
      <c r="P47" s="1">
        <f>SUM(OSRRefP22_2x_0)</f>
        <v>63.52</v>
      </c>
      <c r="Q47" s="1"/>
      <c r="R47" s="5">
        <f t="shared" ref="R47:R55" si="32">IF(P$12=0,0,P47/P$12)</f>
        <v>3.5364825027072023E-3</v>
      </c>
      <c r="S47" s="1"/>
      <c r="T47" s="1">
        <f>SUM(OSRRefT22_2x_0)</f>
        <v>100</v>
      </c>
      <c r="U47" s="1"/>
      <c r="V47" s="5">
        <f t="shared" ref="V47:V55" si="33">IF(T$12=0,0,T47/T$12)</f>
        <v>2.631578947368421E-3</v>
      </c>
      <c r="W47" s="1"/>
      <c r="X47" s="1">
        <f t="shared" ref="X47:X55" si="34">+P47-T47</f>
        <v>-36.479999999999997</v>
      </c>
      <c r="Y47" s="1"/>
      <c r="Z47" s="5">
        <f t="shared" ref="Z47:Z55" si="35">IF(T47=0,0,X47/T47)</f>
        <v>-0.36479999999999996</v>
      </c>
    </row>
    <row r="48" spans="1:26" s="24" customFormat="1" hidden="1" outlineLevel="2" x14ac:dyDescent="0.25">
      <c r="A48" s="29"/>
      <c r="B48" s="11" t="str">
        <f>CONCATENATE("          ", "6362", " - ", "ADVERTISING EXPENSE")</f>
        <v xml:space="preserve">          6362 - ADVERTISING EXPENSE</v>
      </c>
      <c r="C48" s="11"/>
      <c r="D48" s="7">
        <v>63.52</v>
      </c>
      <c r="E48" s="2"/>
      <c r="F48" s="6">
        <f t="shared" si="28"/>
        <v>3.5364825027072023E-3</v>
      </c>
      <c r="G48" s="2"/>
      <c r="H48" s="7">
        <v>100</v>
      </c>
      <c r="I48" s="2"/>
      <c r="J48" s="6">
        <f t="shared" si="29"/>
        <v>2.631578947368421E-3</v>
      </c>
      <c r="K48" s="2"/>
      <c r="L48" s="7">
        <f t="shared" si="30"/>
        <v>-36.479999999999997</v>
      </c>
      <c r="M48" s="2"/>
      <c r="N48" s="6">
        <f t="shared" si="31"/>
        <v>-0.36479999999999996</v>
      </c>
      <c r="O48" s="11"/>
      <c r="P48" s="7">
        <v>63.52</v>
      </c>
      <c r="Q48" s="2"/>
      <c r="R48" s="6">
        <f t="shared" si="32"/>
        <v>3.5364825027072023E-3</v>
      </c>
      <c r="S48" s="2"/>
      <c r="T48" s="7">
        <v>100</v>
      </c>
      <c r="U48" s="2"/>
      <c r="V48" s="6">
        <f t="shared" si="33"/>
        <v>2.631578947368421E-3</v>
      </c>
      <c r="W48" s="2"/>
      <c r="X48" s="7">
        <f t="shared" si="34"/>
        <v>-36.479999999999997</v>
      </c>
      <c r="Y48" s="2"/>
      <c r="Z48" s="6">
        <f t="shared" si="35"/>
        <v>-0.36479999999999996</v>
      </c>
    </row>
    <row r="49" spans="1:26" s="27" customFormat="1" outlineLevel="1" collapsed="1" x14ac:dyDescent="0.25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-15.89</v>
      </c>
      <c r="E49" s="1"/>
      <c r="F49" s="5">
        <f t="shared" si="28"/>
        <v>-8.8467737670052651E-4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-15.89</v>
      </c>
      <c r="M49" s="1"/>
      <c r="N49" s="5">
        <f t="shared" si="31"/>
        <v>0</v>
      </c>
      <c r="O49" s="14"/>
      <c r="P49" s="1">
        <f>SUM(OSRRefP22_3x_0)</f>
        <v>-15.89</v>
      </c>
      <c r="Q49" s="1"/>
      <c r="R49" s="5">
        <f t="shared" si="32"/>
        <v>-8.8467737670052651E-4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-15.89</v>
      </c>
      <c r="Y49" s="1"/>
      <c r="Z49" s="5">
        <f t="shared" si="35"/>
        <v>0</v>
      </c>
    </row>
    <row r="50" spans="1:26" s="24" customFormat="1" hidden="1" outlineLevel="2" x14ac:dyDescent="0.25">
      <c r="A50" s="29"/>
      <c r="B50" s="11" t="str">
        <f>CONCATENATE("          ", "6272", " - ", "CASH (OVER/SHORT)")</f>
        <v xml:space="preserve">          6272 - CASH (OVER/SHORT)</v>
      </c>
      <c r="C50" s="11"/>
      <c r="D50" s="7">
        <v>-15.89</v>
      </c>
      <c r="E50" s="2"/>
      <c r="F50" s="6">
        <f t="shared" si="28"/>
        <v>-8.8467737670052651E-4</v>
      </c>
      <c r="G50" s="2"/>
      <c r="H50" s="7"/>
      <c r="I50" s="2"/>
      <c r="J50" s="6">
        <f t="shared" si="29"/>
        <v>0</v>
      </c>
      <c r="K50" s="2"/>
      <c r="L50" s="7">
        <f t="shared" si="30"/>
        <v>-15.89</v>
      </c>
      <c r="M50" s="2"/>
      <c r="N50" s="6">
        <f t="shared" si="31"/>
        <v>0</v>
      </c>
      <c r="O50" s="11"/>
      <c r="P50" s="7">
        <v>-15.89</v>
      </c>
      <c r="Q50" s="2"/>
      <c r="R50" s="6">
        <f t="shared" si="32"/>
        <v>-8.8467737670052651E-4</v>
      </c>
      <c r="S50" s="2"/>
      <c r="T50" s="7"/>
      <c r="U50" s="2"/>
      <c r="V50" s="6">
        <f t="shared" si="33"/>
        <v>0</v>
      </c>
      <c r="W50" s="2"/>
      <c r="X50" s="7">
        <f t="shared" si="34"/>
        <v>-15.89</v>
      </c>
      <c r="Y50" s="2"/>
      <c r="Z50" s="6">
        <f t="shared" si="35"/>
        <v>0</v>
      </c>
    </row>
    <row r="51" spans="1:26" s="27" customFormat="1" outlineLevel="1" collapsed="1" x14ac:dyDescent="0.25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362.01</v>
      </c>
      <c r="E51" s="1"/>
      <c r="F51" s="5">
        <f t="shared" si="28"/>
        <v>2.0154943809902931E-2</v>
      </c>
      <c r="G51" s="1"/>
      <c r="H51" s="1">
        <f>SUM(OSRRefH22_4x_0)</f>
        <v>950</v>
      </c>
      <c r="I51" s="1"/>
      <c r="J51" s="5">
        <f t="shared" si="29"/>
        <v>2.5000000000000001E-2</v>
      </c>
      <c r="K51" s="1"/>
      <c r="L51" s="1">
        <f t="shared" si="30"/>
        <v>-587.99</v>
      </c>
      <c r="M51" s="1"/>
      <c r="N51" s="5">
        <f t="shared" si="31"/>
        <v>-0.61893684210526312</v>
      </c>
      <c r="O51" s="14"/>
      <c r="P51" s="1">
        <f>SUM(OSRRefP22_4x_0)</f>
        <v>362.01</v>
      </c>
      <c r="Q51" s="1"/>
      <c r="R51" s="5">
        <f t="shared" si="32"/>
        <v>2.0154943809902931E-2</v>
      </c>
      <c r="S51" s="1"/>
      <c r="T51" s="1">
        <f>SUM(OSRRefT22_4x_0)</f>
        <v>950</v>
      </c>
      <c r="U51" s="1"/>
      <c r="V51" s="5">
        <f t="shared" si="33"/>
        <v>2.5000000000000001E-2</v>
      </c>
      <c r="W51" s="1"/>
      <c r="X51" s="1">
        <f t="shared" si="34"/>
        <v>-587.99</v>
      </c>
      <c r="Y51" s="1"/>
      <c r="Z51" s="5">
        <f t="shared" si="35"/>
        <v>-0.61893684210526312</v>
      </c>
    </row>
    <row r="52" spans="1:26" s="24" customFormat="1" hidden="1" outlineLevel="2" x14ac:dyDescent="0.25">
      <c r="A52" s="29"/>
      <c r="B52" s="11" t="str">
        <f>CONCATENATE("          ", "6381", " - ", "BANK/CREDIT CARD FEES")</f>
        <v xml:space="preserve">          6381 - BANK/CREDIT CARD FEES</v>
      </c>
      <c r="C52" s="11"/>
      <c r="D52" s="7">
        <v>362.01</v>
      </c>
      <c r="E52" s="2"/>
      <c r="F52" s="6">
        <f t="shared" si="28"/>
        <v>2.0154943809902931E-2</v>
      </c>
      <c r="G52" s="2"/>
      <c r="H52" s="7">
        <v>950</v>
      </c>
      <c r="I52" s="2"/>
      <c r="J52" s="6">
        <f t="shared" si="29"/>
        <v>2.5000000000000001E-2</v>
      </c>
      <c r="K52" s="2"/>
      <c r="L52" s="7">
        <f t="shared" si="30"/>
        <v>-587.99</v>
      </c>
      <c r="M52" s="2"/>
      <c r="N52" s="6">
        <f t="shared" si="31"/>
        <v>-0.61893684210526312</v>
      </c>
      <c r="O52" s="11"/>
      <c r="P52" s="7">
        <v>362.01</v>
      </c>
      <c r="Q52" s="2"/>
      <c r="R52" s="6">
        <f t="shared" si="32"/>
        <v>2.0154943809902931E-2</v>
      </c>
      <c r="S52" s="2"/>
      <c r="T52" s="7">
        <v>950</v>
      </c>
      <c r="U52" s="2"/>
      <c r="V52" s="6">
        <f t="shared" si="33"/>
        <v>2.5000000000000001E-2</v>
      </c>
      <c r="W52" s="2"/>
      <c r="X52" s="7">
        <f t="shared" si="34"/>
        <v>-587.99</v>
      </c>
      <c r="Y52" s="2"/>
      <c r="Z52" s="6">
        <f t="shared" si="35"/>
        <v>-0.61893684210526312</v>
      </c>
    </row>
    <row r="53" spans="1:26" s="27" customFormat="1" outlineLevel="1" collapsed="1" x14ac:dyDescent="0.25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1647.59</v>
      </c>
      <c r="E53" s="1"/>
      <c r="F53" s="5">
        <f t="shared" si="28"/>
        <v>9.1729741918062949E-2</v>
      </c>
      <c r="G53" s="1"/>
      <c r="H53" s="1">
        <f>SUM(OSRRefH22_5x_0)</f>
        <v>1734</v>
      </c>
      <c r="I53" s="1"/>
      <c r="J53" s="5">
        <f t="shared" si="29"/>
        <v>4.5631578947368419E-2</v>
      </c>
      <c r="K53" s="1"/>
      <c r="L53" s="1">
        <f t="shared" si="30"/>
        <v>-86.410000000000082</v>
      </c>
      <c r="M53" s="1"/>
      <c r="N53" s="5">
        <f t="shared" si="31"/>
        <v>-4.9832756632064636E-2</v>
      </c>
      <c r="O53" s="14"/>
      <c r="P53" s="1">
        <f>SUM(OSRRefP22_5x_0)</f>
        <v>1647.59</v>
      </c>
      <c r="Q53" s="1"/>
      <c r="R53" s="5">
        <f t="shared" si="32"/>
        <v>9.1729741918062949E-2</v>
      </c>
      <c r="S53" s="1"/>
      <c r="T53" s="1">
        <f>SUM(OSRRefT22_5x_0)</f>
        <v>1734</v>
      </c>
      <c r="U53" s="1"/>
      <c r="V53" s="5">
        <f t="shared" si="33"/>
        <v>4.5631578947368419E-2</v>
      </c>
      <c r="W53" s="1"/>
      <c r="X53" s="1">
        <f t="shared" si="34"/>
        <v>-86.410000000000082</v>
      </c>
      <c r="Y53" s="1"/>
      <c r="Z53" s="5">
        <f t="shared" si="35"/>
        <v>-4.9832756632064636E-2</v>
      </c>
    </row>
    <row r="54" spans="1:26" s="24" customFormat="1" hidden="1" outlineLevel="2" x14ac:dyDescent="0.25">
      <c r="A54" s="29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1647.59</v>
      </c>
      <c r="E54" s="2"/>
      <c r="F54" s="6">
        <f t="shared" si="28"/>
        <v>9.1729741918062949E-2</v>
      </c>
      <c r="G54" s="2"/>
      <c r="H54" s="7">
        <v>1674</v>
      </c>
      <c r="I54" s="2"/>
      <c r="J54" s="6">
        <f t="shared" si="29"/>
        <v>4.4052631578947371E-2</v>
      </c>
      <c r="K54" s="2"/>
      <c r="L54" s="7">
        <f t="shared" si="30"/>
        <v>-26.410000000000082</v>
      </c>
      <c r="M54" s="2"/>
      <c r="N54" s="6">
        <f t="shared" si="31"/>
        <v>-1.5776583034647601E-2</v>
      </c>
      <c r="O54" s="11"/>
      <c r="P54" s="7">
        <v>1647.59</v>
      </c>
      <c r="Q54" s="2"/>
      <c r="R54" s="6">
        <f t="shared" si="32"/>
        <v>9.1729741918062949E-2</v>
      </c>
      <c r="S54" s="2"/>
      <c r="T54" s="7">
        <v>1674</v>
      </c>
      <c r="U54" s="2"/>
      <c r="V54" s="6">
        <f t="shared" si="33"/>
        <v>4.4052631578947371E-2</v>
      </c>
      <c r="W54" s="2"/>
      <c r="X54" s="7">
        <f t="shared" si="34"/>
        <v>-26.410000000000082</v>
      </c>
      <c r="Y54" s="2"/>
      <c r="Z54" s="6">
        <f t="shared" si="35"/>
        <v>-1.5776583034647601E-2</v>
      </c>
    </row>
    <row r="55" spans="1:26" s="24" customFormat="1" hidden="1" outlineLevel="2" x14ac:dyDescent="0.25">
      <c r="A55" s="29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8"/>
        <v>0</v>
      </c>
      <c r="G55" s="2"/>
      <c r="H55" s="7">
        <v>60</v>
      </c>
      <c r="I55" s="2"/>
      <c r="J55" s="6">
        <f t="shared" si="29"/>
        <v>1.5789473684210526E-3</v>
      </c>
      <c r="K55" s="2"/>
      <c r="L55" s="7">
        <f t="shared" si="30"/>
        <v>-60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60</v>
      </c>
      <c r="U55" s="2"/>
      <c r="V55" s="6">
        <f t="shared" si="33"/>
        <v>1.5789473684210526E-3</v>
      </c>
      <c r="W55" s="2"/>
      <c r="X55" s="7">
        <f t="shared" si="34"/>
        <v>-60</v>
      </c>
      <c r="Y55" s="2"/>
      <c r="Z55" s="6">
        <f t="shared" si="35"/>
        <v>-1</v>
      </c>
    </row>
    <row r="56" spans="1:26" s="27" customFormat="1" outlineLevel="1" collapsed="1" x14ac:dyDescent="0.25">
      <c r="A56" s="28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0</v>
      </c>
      <c r="E56" s="1"/>
      <c r="F56" s="5">
        <f t="shared" ref="F56:F72" si="36">IF(D$12=0,0,D56/D$12)</f>
        <v>0</v>
      </c>
      <c r="G56" s="1"/>
      <c r="H56" s="1">
        <f>SUM(OSRRefH22_6x_0)</f>
        <v>40</v>
      </c>
      <c r="I56" s="1"/>
      <c r="J56" s="5">
        <f t="shared" ref="J56:J72" si="37">IF(H$12=0,0,H56/H$12)</f>
        <v>1.0526315789473684E-3</v>
      </c>
      <c r="K56" s="1"/>
      <c r="L56" s="1">
        <f t="shared" ref="L56:L72" si="38">+D56-H56</f>
        <v>-40</v>
      </c>
      <c r="M56" s="1"/>
      <c r="N56" s="5">
        <f t="shared" ref="N56:N72" si="39">IF(H56=0,0,L56/H56)</f>
        <v>-1</v>
      </c>
      <c r="O56" s="14"/>
      <c r="P56" s="1">
        <f>SUM(OSRRefP22_6x_0)</f>
        <v>0</v>
      </c>
      <c r="Q56" s="1"/>
      <c r="R56" s="5">
        <f t="shared" ref="R56:R72" si="40">IF(P$12=0,0,P56/P$12)</f>
        <v>0</v>
      </c>
      <c r="S56" s="1"/>
      <c r="T56" s="1">
        <f>SUM(OSRRefT22_6x_0)</f>
        <v>40</v>
      </c>
      <c r="U56" s="1"/>
      <c r="V56" s="5">
        <f t="shared" ref="V56:V72" si="41">IF(T$12=0,0,T56/T$12)</f>
        <v>1.0526315789473684E-3</v>
      </c>
      <c r="W56" s="1"/>
      <c r="X56" s="1">
        <f t="shared" ref="X56:X72" si="42">+P56-T56</f>
        <v>-40</v>
      </c>
      <c r="Y56" s="1"/>
      <c r="Z56" s="5">
        <f t="shared" ref="Z56:Z72" si="43">IF(T56=0,0,X56/T56)</f>
        <v>-1</v>
      </c>
    </row>
    <row r="57" spans="1:26" s="24" customFormat="1" hidden="1" outlineLevel="2" x14ac:dyDescent="0.25">
      <c r="A57" s="29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>
        <v>40</v>
      </c>
      <c r="I57" s="2"/>
      <c r="J57" s="6">
        <f t="shared" si="37"/>
        <v>1.0526315789473684E-3</v>
      </c>
      <c r="K57" s="2"/>
      <c r="L57" s="7">
        <f t="shared" si="38"/>
        <v>-40</v>
      </c>
      <c r="M57" s="2"/>
      <c r="N57" s="6">
        <f t="shared" si="39"/>
        <v>-1</v>
      </c>
      <c r="O57" s="11"/>
      <c r="P57" s="7"/>
      <c r="Q57" s="2"/>
      <c r="R57" s="6">
        <f t="shared" si="40"/>
        <v>0</v>
      </c>
      <c r="S57" s="2"/>
      <c r="T57" s="7">
        <v>40</v>
      </c>
      <c r="U57" s="2"/>
      <c r="V57" s="6">
        <f t="shared" si="41"/>
        <v>1.0526315789473684E-3</v>
      </c>
      <c r="W57" s="2"/>
      <c r="X57" s="7">
        <f t="shared" si="42"/>
        <v>-40</v>
      </c>
      <c r="Y57" s="2"/>
      <c r="Z57" s="6">
        <f t="shared" si="43"/>
        <v>-1</v>
      </c>
    </row>
    <row r="58" spans="1:26" s="27" customFormat="1" outlineLevel="1" collapsed="1" x14ac:dyDescent="0.25">
      <c r="A58" s="28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SUM(OSRRefD22_7x_0)</f>
        <v>118.91</v>
      </c>
      <c r="E58" s="1"/>
      <c r="F58" s="5">
        <f t="shared" si="36"/>
        <v>6.6203264231252112E-3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118.91</v>
      </c>
      <c r="M58" s="1"/>
      <c r="N58" s="5">
        <f t="shared" si="39"/>
        <v>0</v>
      </c>
      <c r="O58" s="14"/>
      <c r="P58" s="1">
        <f>SUM(OSRRefP22_7x_0)</f>
        <v>118.91</v>
      </c>
      <c r="Q58" s="1"/>
      <c r="R58" s="5">
        <f t="shared" si="40"/>
        <v>6.6203264231252112E-3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118.91</v>
      </c>
      <c r="Y58" s="1"/>
      <c r="Z58" s="5">
        <f t="shared" si="43"/>
        <v>0</v>
      </c>
    </row>
    <row r="59" spans="1:26" s="24" customFormat="1" hidden="1" outlineLevel="2" x14ac:dyDescent="0.25">
      <c r="A59" s="29"/>
      <c r="B59" s="11" t="str">
        <f>CONCATENATE("          ", "6351", " - ", "EQUIPMENT RENTAL")</f>
        <v xml:space="preserve">          6351 - EQUIPMENT RENTAL</v>
      </c>
      <c r="C59" s="11"/>
      <c r="D59" s="7">
        <v>118.91</v>
      </c>
      <c r="E59" s="2"/>
      <c r="F59" s="6">
        <f t="shared" si="36"/>
        <v>6.6203264231252112E-3</v>
      </c>
      <c r="G59" s="2"/>
      <c r="H59" s="7"/>
      <c r="I59" s="2"/>
      <c r="J59" s="6">
        <f t="shared" si="37"/>
        <v>0</v>
      </c>
      <c r="K59" s="2"/>
      <c r="L59" s="7">
        <f t="shared" si="38"/>
        <v>118.91</v>
      </c>
      <c r="M59" s="2"/>
      <c r="N59" s="6">
        <f t="shared" si="39"/>
        <v>0</v>
      </c>
      <c r="O59" s="11"/>
      <c r="P59" s="7">
        <v>118.91</v>
      </c>
      <c r="Q59" s="2"/>
      <c r="R59" s="6">
        <f t="shared" si="40"/>
        <v>6.6203264231252112E-3</v>
      </c>
      <c r="S59" s="2"/>
      <c r="T59" s="7"/>
      <c r="U59" s="2"/>
      <c r="V59" s="6">
        <f t="shared" si="41"/>
        <v>0</v>
      </c>
      <c r="W59" s="2"/>
      <c r="X59" s="7">
        <f t="shared" si="42"/>
        <v>118.91</v>
      </c>
      <c r="Y59" s="2"/>
      <c r="Z59" s="6">
        <f t="shared" si="43"/>
        <v>0</v>
      </c>
    </row>
    <row r="60" spans="1:26" s="27" customFormat="1" outlineLevel="1" collapsed="1" x14ac:dyDescent="0.25">
      <c r="A60" s="28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1066.07</v>
      </c>
      <c r="E60" s="1"/>
      <c r="F60" s="5">
        <f t="shared" si="36"/>
        <v>5.9353556386351806E-2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1066.07</v>
      </c>
      <c r="M60" s="1"/>
      <c r="N60" s="5">
        <f t="shared" si="39"/>
        <v>0</v>
      </c>
      <c r="O60" s="14"/>
      <c r="P60" s="1">
        <f>SUM(OSRRefP22_8x_0)</f>
        <v>1066.07</v>
      </c>
      <c r="Q60" s="1"/>
      <c r="R60" s="5">
        <f t="shared" si="40"/>
        <v>5.9353556386351806E-2</v>
      </c>
      <c r="S60" s="1"/>
      <c r="T60" s="1">
        <f>SUM(OSRRefT22_8x_0)</f>
        <v>0</v>
      </c>
      <c r="U60" s="1"/>
      <c r="V60" s="5">
        <f t="shared" si="41"/>
        <v>0</v>
      </c>
      <c r="W60" s="1"/>
      <c r="X60" s="1">
        <f t="shared" si="42"/>
        <v>1066.07</v>
      </c>
      <c r="Y60" s="1"/>
      <c r="Z60" s="5">
        <f t="shared" si="43"/>
        <v>0</v>
      </c>
    </row>
    <row r="61" spans="1:26" s="24" customFormat="1" hidden="1" outlineLevel="2" x14ac:dyDescent="0.25">
      <c r="A61" s="29"/>
      <c r="B61" s="11" t="str">
        <f>CONCATENATE("          ", "6279", " - ", "GENERAL EXPENSE")</f>
        <v xml:space="preserve">          6279 - GENERAL EXPENSE</v>
      </c>
      <c r="C61" s="11"/>
      <c r="D61" s="7">
        <v>1066.07</v>
      </c>
      <c r="E61" s="2"/>
      <c r="F61" s="6">
        <f t="shared" si="36"/>
        <v>5.9353556386351806E-2</v>
      </c>
      <c r="G61" s="2"/>
      <c r="H61" s="7"/>
      <c r="I61" s="2"/>
      <c r="J61" s="6">
        <f t="shared" si="37"/>
        <v>0</v>
      </c>
      <c r="K61" s="2"/>
      <c r="L61" s="7">
        <f t="shared" si="38"/>
        <v>1066.07</v>
      </c>
      <c r="M61" s="2"/>
      <c r="N61" s="6">
        <f t="shared" si="39"/>
        <v>0</v>
      </c>
      <c r="O61" s="11"/>
      <c r="P61" s="7">
        <v>1066.07</v>
      </c>
      <c r="Q61" s="2"/>
      <c r="R61" s="6">
        <f t="shared" si="40"/>
        <v>5.9353556386351806E-2</v>
      </c>
      <c r="S61" s="2"/>
      <c r="T61" s="7"/>
      <c r="U61" s="2"/>
      <c r="V61" s="6">
        <f t="shared" si="41"/>
        <v>0</v>
      </c>
      <c r="W61" s="2"/>
      <c r="X61" s="7">
        <f t="shared" si="42"/>
        <v>1066.07</v>
      </c>
      <c r="Y61" s="2"/>
      <c r="Z61" s="6">
        <f t="shared" si="43"/>
        <v>0</v>
      </c>
    </row>
    <row r="62" spans="1:26" s="27" customFormat="1" outlineLevel="1" collapsed="1" x14ac:dyDescent="0.25">
      <c r="A62" s="28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SUM(OSRRefD22_9x_0)</f>
        <v>2646.57</v>
      </c>
      <c r="E62" s="1"/>
      <c r="F62" s="5">
        <f t="shared" si="36"/>
        <v>0.14734805568623741</v>
      </c>
      <c r="G62" s="1"/>
      <c r="H62" s="1">
        <f>SUM(OSRRefH22_9x_0)</f>
        <v>500</v>
      </c>
      <c r="I62" s="1"/>
      <c r="J62" s="5">
        <f t="shared" si="37"/>
        <v>1.3157894736842105E-2</v>
      </c>
      <c r="K62" s="1"/>
      <c r="L62" s="1">
        <f t="shared" si="38"/>
        <v>2146.5700000000002</v>
      </c>
      <c r="M62" s="1"/>
      <c r="N62" s="5">
        <f t="shared" si="39"/>
        <v>4.2931400000000002</v>
      </c>
      <c r="O62" s="14"/>
      <c r="P62" s="1">
        <f>SUM(OSRRefP22_9x_0)</f>
        <v>2646.57</v>
      </c>
      <c r="Q62" s="1"/>
      <c r="R62" s="5">
        <f t="shared" si="40"/>
        <v>0.14734805568623741</v>
      </c>
      <c r="S62" s="1"/>
      <c r="T62" s="1">
        <f>SUM(OSRRefT22_9x_0)</f>
        <v>500</v>
      </c>
      <c r="U62" s="1"/>
      <c r="V62" s="5">
        <f t="shared" si="41"/>
        <v>1.3157894736842105E-2</v>
      </c>
      <c r="W62" s="1"/>
      <c r="X62" s="1">
        <f t="shared" si="42"/>
        <v>2146.5700000000002</v>
      </c>
      <c r="Y62" s="1"/>
      <c r="Z62" s="5">
        <f t="shared" si="43"/>
        <v>4.2931400000000002</v>
      </c>
    </row>
    <row r="63" spans="1:26" s="24" customFormat="1" hidden="1" outlineLevel="2" x14ac:dyDescent="0.25">
      <c r="A63" s="29"/>
      <c r="B63" s="11" t="str">
        <f>CONCATENATE("          ", "6375", " - ", "OUTSIDE REPAIRS &amp; MAINTENANCE")</f>
        <v xml:space="preserve">          6375 - OUTSIDE REPAIRS &amp; MAINTENANCE</v>
      </c>
      <c r="C63" s="11"/>
      <c r="D63" s="7">
        <v>2646.57</v>
      </c>
      <c r="E63" s="2"/>
      <c r="F63" s="6">
        <f t="shared" si="36"/>
        <v>0.14734805568623741</v>
      </c>
      <c r="G63" s="2"/>
      <c r="H63" s="7">
        <v>500</v>
      </c>
      <c r="I63" s="2"/>
      <c r="J63" s="6">
        <f t="shared" si="37"/>
        <v>1.3157894736842105E-2</v>
      </c>
      <c r="K63" s="2"/>
      <c r="L63" s="7">
        <f t="shared" si="38"/>
        <v>2146.5700000000002</v>
      </c>
      <c r="M63" s="2"/>
      <c r="N63" s="6">
        <f t="shared" si="39"/>
        <v>4.2931400000000002</v>
      </c>
      <c r="O63" s="11"/>
      <c r="P63" s="7">
        <v>2646.57</v>
      </c>
      <c r="Q63" s="2"/>
      <c r="R63" s="6">
        <f t="shared" si="40"/>
        <v>0.14734805568623741</v>
      </c>
      <c r="S63" s="2"/>
      <c r="T63" s="7">
        <v>500</v>
      </c>
      <c r="U63" s="2"/>
      <c r="V63" s="6">
        <f t="shared" si="41"/>
        <v>1.3157894736842105E-2</v>
      </c>
      <c r="W63" s="2"/>
      <c r="X63" s="7">
        <f t="shared" si="42"/>
        <v>2146.5700000000002</v>
      </c>
      <c r="Y63" s="2"/>
      <c r="Z63" s="6">
        <f t="shared" si="43"/>
        <v>4.2931400000000002</v>
      </c>
    </row>
    <row r="64" spans="1:26" s="27" customFormat="1" outlineLevel="1" collapsed="1" x14ac:dyDescent="0.25">
      <c r="A64" s="28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1">
        <f>SUM(OSRRefD22_10x_0)</f>
        <v>1436.88</v>
      </c>
      <c r="E64" s="1"/>
      <c r="F64" s="5">
        <f t="shared" si="36"/>
        <v>7.9998441097133582E-2</v>
      </c>
      <c r="G64" s="1"/>
      <c r="H64" s="1">
        <f>SUM(OSRRefH22_10x_0)</f>
        <v>3040</v>
      </c>
      <c r="I64" s="1"/>
      <c r="J64" s="5">
        <f t="shared" si="37"/>
        <v>0.08</v>
      </c>
      <c r="K64" s="1"/>
      <c r="L64" s="1">
        <f t="shared" si="38"/>
        <v>-1603.12</v>
      </c>
      <c r="M64" s="1"/>
      <c r="N64" s="5">
        <f t="shared" si="39"/>
        <v>-0.52734210526315783</v>
      </c>
      <c r="O64" s="14"/>
      <c r="P64" s="1">
        <f>SUM(OSRRefP22_10x_0)</f>
        <v>1436.88</v>
      </c>
      <c r="Q64" s="1"/>
      <c r="R64" s="5">
        <f t="shared" si="40"/>
        <v>7.9998441097133582E-2</v>
      </c>
      <c r="S64" s="1"/>
      <c r="T64" s="1">
        <f>SUM(OSRRefT22_10x_0)</f>
        <v>3040</v>
      </c>
      <c r="U64" s="1"/>
      <c r="V64" s="5">
        <f t="shared" si="41"/>
        <v>0.08</v>
      </c>
      <c r="W64" s="1"/>
      <c r="X64" s="1">
        <f t="shared" si="42"/>
        <v>-1603.12</v>
      </c>
      <c r="Y64" s="1"/>
      <c r="Z64" s="5">
        <f t="shared" si="43"/>
        <v>-0.52734210526315783</v>
      </c>
    </row>
    <row r="65" spans="1:26" s="24" customFormat="1" hidden="1" outlineLevel="2" x14ac:dyDescent="0.25">
      <c r="A65" s="29"/>
      <c r="B65" s="11" t="str">
        <f>CONCATENATE("          ", "6259", " - ", "ROYALTY &amp; COMMISSIONS")</f>
        <v xml:space="preserve">          6259 - ROYALTY &amp; COMMISSIONS</v>
      </c>
      <c r="C65" s="11"/>
      <c r="D65" s="7">
        <v>1436.88</v>
      </c>
      <c r="E65" s="2"/>
      <c r="F65" s="6">
        <f t="shared" si="36"/>
        <v>7.9998441097133582E-2</v>
      </c>
      <c r="G65" s="2"/>
      <c r="H65" s="7">
        <v>3040</v>
      </c>
      <c r="I65" s="2"/>
      <c r="J65" s="6">
        <f t="shared" si="37"/>
        <v>0.08</v>
      </c>
      <c r="K65" s="2"/>
      <c r="L65" s="7">
        <f t="shared" si="38"/>
        <v>-1603.12</v>
      </c>
      <c r="M65" s="2"/>
      <c r="N65" s="6">
        <f t="shared" si="39"/>
        <v>-0.52734210526315783</v>
      </c>
      <c r="O65" s="11"/>
      <c r="P65" s="7">
        <v>1436.88</v>
      </c>
      <c r="Q65" s="2"/>
      <c r="R65" s="6">
        <f t="shared" si="40"/>
        <v>7.9998441097133582E-2</v>
      </c>
      <c r="S65" s="2"/>
      <c r="T65" s="7">
        <v>3040</v>
      </c>
      <c r="U65" s="2"/>
      <c r="V65" s="6">
        <f t="shared" si="41"/>
        <v>0.08</v>
      </c>
      <c r="W65" s="2"/>
      <c r="X65" s="7">
        <f t="shared" si="42"/>
        <v>-1603.12</v>
      </c>
      <c r="Y65" s="2"/>
      <c r="Z65" s="6">
        <f t="shared" si="43"/>
        <v>-0.52734210526315783</v>
      </c>
    </row>
    <row r="66" spans="1:26" s="27" customFormat="1" outlineLevel="1" collapsed="1" x14ac:dyDescent="0.25">
      <c r="A66" s="28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SUM(OSRRefD22_11x_0)</f>
        <v>37.36</v>
      </c>
      <c r="E66" s="1"/>
      <c r="F66" s="5">
        <f t="shared" si="36"/>
        <v>2.0800218246401301E-3</v>
      </c>
      <c r="G66" s="1"/>
      <c r="H66" s="1">
        <f>SUM(OSRRefH22_11x_0)</f>
        <v>120</v>
      </c>
      <c r="I66" s="1"/>
      <c r="J66" s="5">
        <f t="shared" si="37"/>
        <v>3.1578947368421052E-3</v>
      </c>
      <c r="K66" s="1"/>
      <c r="L66" s="1">
        <f t="shared" si="38"/>
        <v>-82.64</v>
      </c>
      <c r="M66" s="1"/>
      <c r="N66" s="5">
        <f t="shared" si="39"/>
        <v>-0.68866666666666665</v>
      </c>
      <c r="O66" s="14"/>
      <c r="P66" s="1">
        <f>SUM(OSRRefP22_11x_0)</f>
        <v>37.36</v>
      </c>
      <c r="Q66" s="1"/>
      <c r="R66" s="5">
        <f t="shared" si="40"/>
        <v>2.0800218246401301E-3</v>
      </c>
      <c r="S66" s="1"/>
      <c r="T66" s="1">
        <f>SUM(OSRRefT22_11x_0)</f>
        <v>120</v>
      </c>
      <c r="U66" s="1"/>
      <c r="V66" s="5">
        <f t="shared" si="41"/>
        <v>3.1578947368421052E-3</v>
      </c>
      <c r="W66" s="1"/>
      <c r="X66" s="1">
        <f t="shared" si="42"/>
        <v>-82.64</v>
      </c>
      <c r="Y66" s="1"/>
      <c r="Z66" s="5">
        <f t="shared" si="43"/>
        <v>-0.68866666666666665</v>
      </c>
    </row>
    <row r="67" spans="1:26" s="24" customFormat="1" hidden="1" outlineLevel="2" x14ac:dyDescent="0.25">
      <c r="A67" s="29"/>
      <c r="B67" s="11" t="str">
        <f>CONCATENATE("          ", "6286", " - ", "LAUNDRY EXPENSE")</f>
        <v xml:space="preserve">          6286 - LAUNDRY EXPENSE</v>
      </c>
      <c r="C67" s="11"/>
      <c r="D67" s="7">
        <v>37.36</v>
      </c>
      <c r="E67" s="2"/>
      <c r="F67" s="6">
        <f t="shared" si="36"/>
        <v>2.0800218246401301E-3</v>
      </c>
      <c r="G67" s="2"/>
      <c r="H67" s="7">
        <v>120</v>
      </c>
      <c r="I67" s="2"/>
      <c r="J67" s="6">
        <f t="shared" si="37"/>
        <v>3.1578947368421052E-3</v>
      </c>
      <c r="K67" s="2"/>
      <c r="L67" s="7">
        <f t="shared" si="38"/>
        <v>-82.64</v>
      </c>
      <c r="M67" s="2"/>
      <c r="N67" s="6">
        <f t="shared" si="39"/>
        <v>-0.68866666666666665</v>
      </c>
      <c r="O67" s="11"/>
      <c r="P67" s="7">
        <v>37.36</v>
      </c>
      <c r="Q67" s="2"/>
      <c r="R67" s="6">
        <f t="shared" si="40"/>
        <v>2.0800218246401301E-3</v>
      </c>
      <c r="S67" s="2"/>
      <c r="T67" s="7">
        <v>120</v>
      </c>
      <c r="U67" s="2"/>
      <c r="V67" s="6">
        <f t="shared" si="41"/>
        <v>3.1578947368421052E-3</v>
      </c>
      <c r="W67" s="2"/>
      <c r="X67" s="7">
        <f t="shared" si="42"/>
        <v>-82.64</v>
      </c>
      <c r="Y67" s="2"/>
      <c r="Z67" s="6">
        <f t="shared" si="43"/>
        <v>-0.68866666666666665</v>
      </c>
    </row>
    <row r="68" spans="1:26" s="27" customFormat="1" outlineLevel="1" collapsed="1" x14ac:dyDescent="0.25">
      <c r="A68" s="28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SUM(OSRRefD22_12x_0)</f>
        <v>2931.3099999999995</v>
      </c>
      <c r="E68" s="1"/>
      <c r="F68" s="5">
        <f t="shared" si="36"/>
        <v>0.16320098433580993</v>
      </c>
      <c r="G68" s="1"/>
      <c r="H68" s="1">
        <f>SUM(OSRRefH22_12x_0)</f>
        <v>3636</v>
      </c>
      <c r="I68" s="1"/>
      <c r="J68" s="5">
        <f t="shared" si="37"/>
        <v>9.5684210526315788E-2</v>
      </c>
      <c r="K68" s="1"/>
      <c r="L68" s="1">
        <f t="shared" si="38"/>
        <v>-704.69000000000051</v>
      </c>
      <c r="M68" s="1"/>
      <c r="N68" s="5">
        <f t="shared" si="39"/>
        <v>-0.19380913091309146</v>
      </c>
      <c r="O68" s="14"/>
      <c r="P68" s="1">
        <f>SUM(OSRRefP22_12x_0)</f>
        <v>2931.3099999999995</v>
      </c>
      <c r="Q68" s="1"/>
      <c r="R68" s="5">
        <f t="shared" si="40"/>
        <v>0.16320098433580993</v>
      </c>
      <c r="S68" s="1"/>
      <c r="T68" s="1">
        <f>SUM(OSRRefT22_12x_0)</f>
        <v>3636</v>
      </c>
      <c r="U68" s="1"/>
      <c r="V68" s="5">
        <f t="shared" si="41"/>
        <v>9.5684210526315788E-2</v>
      </c>
      <c r="W68" s="1"/>
      <c r="X68" s="1">
        <f t="shared" si="42"/>
        <v>-704.69000000000051</v>
      </c>
      <c r="Y68" s="1"/>
      <c r="Z68" s="5">
        <f t="shared" si="43"/>
        <v>-0.19380913091309146</v>
      </c>
    </row>
    <row r="69" spans="1:26" s="24" customFormat="1" hidden="1" outlineLevel="2" x14ac:dyDescent="0.25">
      <c r="A69" s="29"/>
      <c r="B69" s="11" t="str">
        <f>CONCATENATE("          ", "6239", " - ", "KITCHEN SUPPLIES")</f>
        <v xml:space="preserve">          6239 - KITCHEN SUPPLIES</v>
      </c>
      <c r="C69" s="11"/>
      <c r="D69" s="7">
        <v>1176.58</v>
      </c>
      <c r="E69" s="2"/>
      <c r="F69" s="6">
        <f t="shared" si="36"/>
        <v>6.5506211949547227E-2</v>
      </c>
      <c r="G69" s="2"/>
      <c r="H69" s="7">
        <v>3516</v>
      </c>
      <c r="I69" s="2"/>
      <c r="J69" s="6">
        <f t="shared" si="37"/>
        <v>9.2526315789473679E-2</v>
      </c>
      <c r="K69" s="2"/>
      <c r="L69" s="7">
        <f t="shared" si="38"/>
        <v>-2339.42</v>
      </c>
      <c r="M69" s="2"/>
      <c r="N69" s="6">
        <f t="shared" si="39"/>
        <v>-0.66536405005688282</v>
      </c>
      <c r="O69" s="11"/>
      <c r="P69" s="7">
        <v>1176.58</v>
      </c>
      <c r="Q69" s="2"/>
      <c r="R69" s="6">
        <f t="shared" si="40"/>
        <v>6.5506211949547227E-2</v>
      </c>
      <c r="S69" s="2"/>
      <c r="T69" s="7">
        <v>3516</v>
      </c>
      <c r="U69" s="2"/>
      <c r="V69" s="6">
        <f t="shared" si="41"/>
        <v>9.2526315789473679E-2</v>
      </c>
      <c r="W69" s="2"/>
      <c r="X69" s="7">
        <f t="shared" si="42"/>
        <v>-2339.42</v>
      </c>
      <c r="Y69" s="2"/>
      <c r="Z69" s="6">
        <f t="shared" si="43"/>
        <v>-0.66536405005688282</v>
      </c>
    </row>
    <row r="70" spans="1:26" s="24" customFormat="1" hidden="1" outlineLevel="2" x14ac:dyDescent="0.25">
      <c r="A70" s="29"/>
      <c r="B70" s="11" t="str">
        <f>CONCATENATE("          ", "6241", " - ", "OFFICE EXPENSE")</f>
        <v xml:space="preserve">          6241 - OFFICE EXPENSE</v>
      </c>
      <c r="C70" s="11"/>
      <c r="D70" s="7">
        <v>1074.28</v>
      </c>
      <c r="E70" s="2"/>
      <c r="F70" s="6">
        <f t="shared" si="36"/>
        <v>5.9810648976830812E-2</v>
      </c>
      <c r="G70" s="2"/>
      <c r="H70" s="7">
        <v>20</v>
      </c>
      <c r="I70" s="2"/>
      <c r="J70" s="6">
        <f t="shared" si="37"/>
        <v>5.263157894736842E-4</v>
      </c>
      <c r="K70" s="2"/>
      <c r="L70" s="7">
        <f t="shared" si="38"/>
        <v>1054.28</v>
      </c>
      <c r="M70" s="2"/>
      <c r="N70" s="6">
        <f t="shared" si="39"/>
        <v>52.713999999999999</v>
      </c>
      <c r="O70" s="11"/>
      <c r="P70" s="7">
        <v>1074.28</v>
      </c>
      <c r="Q70" s="2"/>
      <c r="R70" s="6">
        <f t="shared" si="40"/>
        <v>5.9810648976830812E-2</v>
      </c>
      <c r="S70" s="2"/>
      <c r="T70" s="7">
        <v>20</v>
      </c>
      <c r="U70" s="2"/>
      <c r="V70" s="6">
        <f t="shared" si="41"/>
        <v>5.263157894736842E-4</v>
      </c>
      <c r="W70" s="2"/>
      <c r="X70" s="7">
        <f t="shared" si="42"/>
        <v>1054.28</v>
      </c>
      <c r="Y70" s="2"/>
      <c r="Z70" s="6">
        <f t="shared" si="43"/>
        <v>52.713999999999999</v>
      </c>
    </row>
    <row r="71" spans="1:26" s="24" customFormat="1" hidden="1" outlineLevel="2" x14ac:dyDescent="0.25">
      <c r="A71" s="29"/>
      <c r="B71" s="11" t="str">
        <f>CONCATENATE("          ", "6243", " - ", "PAPER SUPPLIES")</f>
        <v xml:space="preserve">          6243 - PAPER SUPPLIES</v>
      </c>
      <c r="C71" s="11"/>
      <c r="D71" s="7">
        <v>565.70000000000005</v>
      </c>
      <c r="E71" s="2"/>
      <c r="F71" s="6">
        <f t="shared" si="36"/>
        <v>3.1495405412176707E-2</v>
      </c>
      <c r="G71" s="2"/>
      <c r="H71" s="7">
        <v>100</v>
      </c>
      <c r="I71" s="2"/>
      <c r="J71" s="6">
        <f t="shared" si="37"/>
        <v>2.631578947368421E-3</v>
      </c>
      <c r="K71" s="2"/>
      <c r="L71" s="7">
        <f t="shared" si="38"/>
        <v>465.70000000000005</v>
      </c>
      <c r="M71" s="2"/>
      <c r="N71" s="6">
        <f t="shared" si="39"/>
        <v>4.657</v>
      </c>
      <c r="O71" s="11"/>
      <c r="P71" s="7">
        <v>565.70000000000005</v>
      </c>
      <c r="Q71" s="2"/>
      <c r="R71" s="6">
        <f t="shared" si="40"/>
        <v>3.1495405412176707E-2</v>
      </c>
      <c r="S71" s="2"/>
      <c r="T71" s="7">
        <v>100</v>
      </c>
      <c r="U71" s="2"/>
      <c r="V71" s="6">
        <f t="shared" si="41"/>
        <v>2.631578947368421E-3</v>
      </c>
      <c r="W71" s="2"/>
      <c r="X71" s="7">
        <f t="shared" si="42"/>
        <v>465.70000000000005</v>
      </c>
      <c r="Y71" s="2"/>
      <c r="Z71" s="6">
        <f t="shared" si="43"/>
        <v>4.657</v>
      </c>
    </row>
    <row r="72" spans="1:26" s="24" customFormat="1" hidden="1" outlineLevel="2" x14ac:dyDescent="0.25">
      <c r="A72" s="29"/>
      <c r="B72" s="11" t="str">
        <f>CONCATENATE("          ", "6245", " - ", "PRINTING")</f>
        <v xml:space="preserve">          6245 - PRINTING</v>
      </c>
      <c r="C72" s="11"/>
      <c r="D72" s="7">
        <v>114.75</v>
      </c>
      <c r="E72" s="2"/>
      <c r="F72" s="6">
        <f t="shared" si="36"/>
        <v>6.388717997255218E-3</v>
      </c>
      <c r="G72" s="2"/>
      <c r="H72" s="7"/>
      <c r="I72" s="2"/>
      <c r="J72" s="6">
        <f t="shared" si="37"/>
        <v>0</v>
      </c>
      <c r="K72" s="2"/>
      <c r="L72" s="7">
        <f t="shared" si="38"/>
        <v>114.75</v>
      </c>
      <c r="M72" s="2"/>
      <c r="N72" s="6">
        <f t="shared" si="39"/>
        <v>0</v>
      </c>
      <c r="O72" s="11"/>
      <c r="P72" s="7">
        <v>114.75</v>
      </c>
      <c r="Q72" s="2"/>
      <c r="R72" s="6">
        <f t="shared" si="40"/>
        <v>6.388717997255218E-3</v>
      </c>
      <c r="S72" s="2"/>
      <c r="T72" s="7"/>
      <c r="U72" s="2"/>
      <c r="V72" s="6">
        <f t="shared" si="41"/>
        <v>0</v>
      </c>
      <c r="W72" s="2"/>
      <c r="X72" s="7">
        <f t="shared" si="42"/>
        <v>114.75</v>
      </c>
      <c r="Y72" s="2"/>
      <c r="Z72" s="6">
        <f t="shared" si="43"/>
        <v>0</v>
      </c>
    </row>
    <row r="73" spans="1:26" s="27" customFormat="1" outlineLevel="1" collapsed="1" x14ac:dyDescent="0.25">
      <c r="A73" s="28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SUM(OSRRefD22_13x_0)</f>
        <v>-95</v>
      </c>
      <c r="E73" s="1"/>
      <c r="F73" s="5">
        <f t="shared" ref="F73:F76" si="44">IF(D$12=0,0,D73/D$12)</f>
        <v>-5.2891347253964764E-3</v>
      </c>
      <c r="G73" s="1"/>
      <c r="H73" s="1">
        <f>SUM(OSRRefH22_13x_0)</f>
        <v>50</v>
      </c>
      <c r="I73" s="1"/>
      <c r="J73" s="5">
        <f t="shared" ref="J73:J76" si="45">IF(H$12=0,0,H73/H$12)</f>
        <v>1.3157894736842105E-3</v>
      </c>
      <c r="K73" s="1"/>
      <c r="L73" s="1">
        <f t="shared" ref="L73:L76" si="46">+D73-H73</f>
        <v>-145</v>
      </c>
      <c r="M73" s="1"/>
      <c r="N73" s="5">
        <f t="shared" ref="N73:N76" si="47">IF(H73=0,0,L73/H73)</f>
        <v>-2.9</v>
      </c>
      <c r="O73" s="14"/>
      <c r="P73" s="1">
        <f>SUM(OSRRefP22_13x_0)</f>
        <v>-95</v>
      </c>
      <c r="Q73" s="1"/>
      <c r="R73" s="5">
        <f t="shared" ref="R73:R76" si="48">IF(P$12=0,0,P73/P$12)</f>
        <v>-5.2891347253964764E-3</v>
      </c>
      <c r="S73" s="1"/>
      <c r="T73" s="1">
        <f>SUM(OSRRefT22_13x_0)</f>
        <v>50</v>
      </c>
      <c r="U73" s="1"/>
      <c r="V73" s="5">
        <f t="shared" ref="V73:V76" si="49">IF(T$12=0,0,T73/T$12)</f>
        <v>1.3157894736842105E-3</v>
      </c>
      <c r="W73" s="1"/>
      <c r="X73" s="1">
        <f t="shared" ref="X73:X76" si="50">+P73-T73</f>
        <v>-145</v>
      </c>
      <c r="Y73" s="1"/>
      <c r="Z73" s="5">
        <f t="shared" ref="Z73:Z76" si="51">IF(T73=0,0,X73/T73)</f>
        <v>-2.9</v>
      </c>
    </row>
    <row r="74" spans="1:26" s="24" customFormat="1" hidden="1" outlineLevel="2" x14ac:dyDescent="0.25">
      <c r="A74" s="29"/>
      <c r="B74" s="11" t="str">
        <f>CONCATENATE("          ", "6309", " - ", "TELEPHONE")</f>
        <v xml:space="preserve">          6309 - TELEPHONE</v>
      </c>
      <c r="C74" s="11"/>
      <c r="D74" s="7">
        <v>-95</v>
      </c>
      <c r="E74" s="2"/>
      <c r="F74" s="6">
        <f t="shared" si="44"/>
        <v>-5.2891347253964764E-3</v>
      </c>
      <c r="G74" s="2"/>
      <c r="H74" s="7">
        <v>50</v>
      </c>
      <c r="I74" s="2"/>
      <c r="J74" s="6">
        <f t="shared" si="45"/>
        <v>1.3157894736842105E-3</v>
      </c>
      <c r="K74" s="2"/>
      <c r="L74" s="7">
        <f t="shared" si="46"/>
        <v>-145</v>
      </c>
      <c r="M74" s="2"/>
      <c r="N74" s="6">
        <f t="shared" si="47"/>
        <v>-2.9</v>
      </c>
      <c r="O74" s="11"/>
      <c r="P74" s="7">
        <v>-95</v>
      </c>
      <c r="Q74" s="2"/>
      <c r="R74" s="6">
        <f t="shared" si="48"/>
        <v>-5.2891347253964764E-3</v>
      </c>
      <c r="S74" s="2"/>
      <c r="T74" s="7">
        <v>50</v>
      </c>
      <c r="U74" s="2"/>
      <c r="V74" s="6">
        <f t="shared" si="49"/>
        <v>1.3157894736842105E-3</v>
      </c>
      <c r="W74" s="2"/>
      <c r="X74" s="7">
        <f t="shared" si="50"/>
        <v>-145</v>
      </c>
      <c r="Y74" s="2"/>
      <c r="Z74" s="6">
        <f t="shared" si="51"/>
        <v>-2.9</v>
      </c>
    </row>
    <row r="75" spans="1:26" s="27" customFormat="1" outlineLevel="1" collapsed="1" x14ac:dyDescent="0.25">
      <c r="A75" s="28"/>
      <c r="B75" s="14" t="str">
        <f>CONCATENATE("     ","Training                                          ")</f>
        <v xml:space="preserve">     Training                                          </v>
      </c>
      <c r="C75" s="14"/>
      <c r="D75" s="1">
        <f>SUM(OSRRefD22_14x_0)</f>
        <v>0</v>
      </c>
      <c r="E75" s="1"/>
      <c r="F75" s="5">
        <f t="shared" si="44"/>
        <v>0</v>
      </c>
      <c r="G75" s="1"/>
      <c r="H75" s="1">
        <f>SUM(OSRRefH22_14x_0)</f>
        <v>40</v>
      </c>
      <c r="I75" s="1"/>
      <c r="J75" s="5">
        <f t="shared" si="45"/>
        <v>1.0526315789473684E-3</v>
      </c>
      <c r="K75" s="1"/>
      <c r="L75" s="1">
        <f t="shared" si="46"/>
        <v>-40</v>
      </c>
      <c r="M75" s="1"/>
      <c r="N75" s="5">
        <f t="shared" si="47"/>
        <v>-1</v>
      </c>
      <c r="O75" s="14"/>
      <c r="P75" s="1">
        <f>SUM(OSRRefP22_14x_0)</f>
        <v>0</v>
      </c>
      <c r="Q75" s="1"/>
      <c r="R75" s="5">
        <f t="shared" si="48"/>
        <v>0</v>
      </c>
      <c r="S75" s="1"/>
      <c r="T75" s="1">
        <f>SUM(OSRRefT22_14x_0)</f>
        <v>40</v>
      </c>
      <c r="U75" s="1"/>
      <c r="V75" s="5">
        <f t="shared" si="49"/>
        <v>1.0526315789473684E-3</v>
      </c>
      <c r="W75" s="1"/>
      <c r="X75" s="1">
        <f t="shared" si="50"/>
        <v>-40</v>
      </c>
      <c r="Y75" s="1"/>
      <c r="Z75" s="5">
        <f t="shared" si="51"/>
        <v>-1</v>
      </c>
    </row>
    <row r="76" spans="1:26" s="24" customFormat="1" hidden="1" outlineLevel="2" x14ac:dyDescent="0.25">
      <c r="A76" s="29"/>
      <c r="B76" s="11" t="str">
        <f>CONCATENATE("          ", "6376", " - ", "TRAINING")</f>
        <v xml:space="preserve">          6376 - TRAINING</v>
      </c>
      <c r="C76" s="11"/>
      <c r="D76" s="7"/>
      <c r="E76" s="2"/>
      <c r="F76" s="6">
        <f t="shared" si="44"/>
        <v>0</v>
      </c>
      <c r="G76" s="2"/>
      <c r="H76" s="7">
        <v>40</v>
      </c>
      <c r="I76" s="2"/>
      <c r="J76" s="6">
        <f t="shared" si="45"/>
        <v>1.0526315789473684E-3</v>
      </c>
      <c r="K76" s="2"/>
      <c r="L76" s="7">
        <f t="shared" si="46"/>
        <v>-40</v>
      </c>
      <c r="M76" s="2"/>
      <c r="N76" s="6">
        <f t="shared" si="47"/>
        <v>-1</v>
      </c>
      <c r="O76" s="11"/>
      <c r="P76" s="7"/>
      <c r="Q76" s="2"/>
      <c r="R76" s="6">
        <f t="shared" si="48"/>
        <v>0</v>
      </c>
      <c r="S76" s="2"/>
      <c r="T76" s="7">
        <v>40</v>
      </c>
      <c r="U76" s="2"/>
      <c r="V76" s="6">
        <f t="shared" si="49"/>
        <v>1.0526315789473684E-3</v>
      </c>
      <c r="W76" s="2"/>
      <c r="X76" s="7">
        <f t="shared" si="50"/>
        <v>-40</v>
      </c>
      <c r="Y76" s="2"/>
      <c r="Z76" s="6">
        <f t="shared" si="51"/>
        <v>-1</v>
      </c>
    </row>
    <row r="77" spans="1:26" s="57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5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6" t="s">
        <v>3</v>
      </c>
      <c r="C80" s="26"/>
      <c r="D80" s="21">
        <f>+D23-D25+D78</f>
        <v>-13670.500000000004</v>
      </c>
      <c r="E80" s="13"/>
      <c r="F80" s="19">
        <f>IF(D$12=0,0,D80/D$12)</f>
        <v>-0.76110648698455319</v>
      </c>
      <c r="G80" s="13"/>
      <c r="H80" s="21">
        <f>+H23-H25+H78</f>
        <v>-4077.1761340000012</v>
      </c>
      <c r="I80" s="13"/>
      <c r="J80" s="19">
        <f>IF(H$12=0,0,H80/H$12)</f>
        <v>-0.10729410878947372</v>
      </c>
      <c r="K80" s="15"/>
      <c r="L80" s="21">
        <f>+D80-H80</f>
        <v>-9593.3238660000025</v>
      </c>
      <c r="M80" s="15"/>
      <c r="N80" s="19">
        <f>IF(H80=0,0,L80/H80)</f>
        <v>2.3529333908339805</v>
      </c>
      <c r="O80" s="25"/>
      <c r="P80" s="21">
        <f>+P23-P25+P78</f>
        <v>-13670.500000000004</v>
      </c>
      <c r="Q80" s="13"/>
      <c r="R80" s="19">
        <f>IF(P$12=0,0,P80/P$12)</f>
        <v>-0.76110648698455319</v>
      </c>
      <c r="S80" s="13"/>
      <c r="T80" s="21">
        <f>+T23-T25+T78</f>
        <v>-4077.1761340000012</v>
      </c>
      <c r="U80" s="13"/>
      <c r="V80" s="19">
        <f>IF(T$12=0,0,T80/T$12)</f>
        <v>-0.10729410878947372</v>
      </c>
      <c r="W80" s="15"/>
      <c r="X80" s="21">
        <f>+P80-T80</f>
        <v>-9593.3238660000025</v>
      </c>
      <c r="Y80" s="15"/>
      <c r="Z80" s="19">
        <f>IF(T80=0,0,X80/T80)</f>
        <v>2.3529333908339805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3734.69</v>
      </c>
      <c r="E82" s="4"/>
      <c r="F82" s="12">
        <f>IF(D$12=0,0,D82/D$12)</f>
        <v>0.20792924807990493</v>
      </c>
      <c r="G82" s="4"/>
      <c r="H82" s="4">
        <v>9261</v>
      </c>
      <c r="I82" s="4"/>
      <c r="J82" s="12">
        <f>IF(H$12=0,0,H82/H$12)</f>
        <v>0.24371052631578946</v>
      </c>
      <c r="K82" s="4"/>
      <c r="L82" s="4">
        <f>+D82-H82</f>
        <v>-5526.3099999999995</v>
      </c>
      <c r="M82" s="4"/>
      <c r="N82" s="12">
        <f>IF(H82=0,0,L82/H82)</f>
        <v>-0.5967292948925601</v>
      </c>
      <c r="O82" s="10"/>
      <c r="P82" s="4">
        <v>3734.69</v>
      </c>
      <c r="Q82" s="4"/>
      <c r="R82" s="12">
        <f>IF(P$12=0,0,P82/P$12)</f>
        <v>0.20792924807990493</v>
      </c>
      <c r="S82" s="4"/>
      <c r="T82" s="4">
        <v>9261</v>
      </c>
      <c r="U82" s="4"/>
      <c r="V82" s="12">
        <f>IF(T$12=0,0,T82/T$12)</f>
        <v>0.24371052631578946</v>
      </c>
      <c r="W82" s="4"/>
      <c r="X82" s="4">
        <f>+P82-T82</f>
        <v>-5526.3099999999995</v>
      </c>
      <c r="Y82" s="4"/>
      <c r="Z82" s="12">
        <f>IF(T82=0,0,X82/T82)</f>
        <v>-0.5967292948925601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4</v>
      </c>
      <c r="C84" s="26"/>
      <c r="D84" s="32">
        <f>+D80-D82</f>
        <v>-17405.190000000002</v>
      </c>
      <c r="E84" s="13"/>
      <c r="F84" s="31">
        <f>IF(D$12=0,0,D84/D$12)</f>
        <v>-0.96903573506445806</v>
      </c>
      <c r="G84" s="13"/>
      <c r="H84" s="32">
        <f>+H80-H82</f>
        <v>-13338.176134000001</v>
      </c>
      <c r="I84" s="13"/>
      <c r="J84" s="31">
        <f>IF(H$12=0,0,H84/H$12)</f>
        <v>-0.3510046351052632</v>
      </c>
      <c r="K84" s="15"/>
      <c r="L84" s="32">
        <f>D84-H84</f>
        <v>-4067.0138660000011</v>
      </c>
      <c r="M84" s="15"/>
      <c r="N84" s="31">
        <f>IF(H84=0,0,L84/H84)</f>
        <v>0.30491529165167347</v>
      </c>
      <c r="O84" s="25"/>
      <c r="P84" s="32">
        <f>+P80-P82</f>
        <v>-17405.190000000002</v>
      </c>
      <c r="Q84" s="13"/>
      <c r="R84" s="31">
        <f>IF(P$12=0,0,P84/P$12)</f>
        <v>-0.96903573506445806</v>
      </c>
      <c r="S84" s="13"/>
      <c r="T84" s="32">
        <f>+T80-T82</f>
        <v>-13338.176134000001</v>
      </c>
      <c r="U84" s="13"/>
      <c r="V84" s="31">
        <f>IF(T$12=0,0,T84/T$12)</f>
        <v>-0.3510046351052632</v>
      </c>
      <c r="W84" s="15"/>
      <c r="X84" s="32">
        <f>P84-T84</f>
        <v>-4067.0138660000011</v>
      </c>
      <c r="Y84" s="15"/>
      <c r="Z84" s="31">
        <f>IF(T84=0,0,X84/T84)</f>
        <v>0.30491529165167347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5</v>
      </c>
      <c r="C87" s="26"/>
      <c r="D87" s="33">
        <f>SUM(D84:D86)</f>
        <v>-17405.190000000002</v>
      </c>
      <c r="E87" s="13"/>
      <c r="F87" s="34">
        <f>IF(D$12=0,0,D87/D$12)</f>
        <v>-0.96903573506445806</v>
      </c>
      <c r="G87" s="13"/>
      <c r="H87" s="33">
        <f>SUM(H84:H86)</f>
        <v>-13338.176134000001</v>
      </c>
      <c r="I87" s="13"/>
      <c r="J87" s="34">
        <f>IF(H$12=0,0,H87/H$12)</f>
        <v>-0.3510046351052632</v>
      </c>
      <c r="K87" s="15"/>
      <c r="L87" s="33">
        <f>+D87-H87</f>
        <v>-4067.0138660000011</v>
      </c>
      <c r="M87" s="15"/>
      <c r="N87" s="34">
        <f>IF(H87=0,0,L87/H87)</f>
        <v>0.30491529165167347</v>
      </c>
      <c r="O87" s="25"/>
      <c r="P87" s="33">
        <f>SUM(P84:P86)</f>
        <v>-17405.190000000002</v>
      </c>
      <c r="Q87" s="13"/>
      <c r="R87" s="34">
        <f>IF(P$12=0,0,P87/P$12)</f>
        <v>-0.96903573506445806</v>
      </c>
      <c r="S87" s="13"/>
      <c r="T87" s="33">
        <f>SUM(T84:T86)</f>
        <v>-13338.176134000001</v>
      </c>
      <c r="U87" s="13"/>
      <c r="V87" s="34">
        <f>IF(T$12=0,0,T87/T$12)</f>
        <v>-0.3510046351052632</v>
      </c>
      <c r="W87" s="15"/>
      <c r="X87" s="33">
        <f>+P87-T87</f>
        <v>-4067.0138660000011</v>
      </c>
      <c r="Y87" s="15"/>
      <c r="Z87" s="34">
        <f>IF(T87=0,0,X87/T87)</f>
        <v>0.30491529165167347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61">
        <v>43726.679023842589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56" t="s">
        <v>314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3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","415", " - ", "Outpost")</f>
        <v>Department 415 - Outpost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25312.87</v>
      </c>
      <c r="E12" s="4"/>
      <c r="F12" s="12"/>
      <c r="G12" s="4"/>
      <c r="H12" s="4">
        <f>SUM(OSRRefH13x_0)</f>
        <v>24400</v>
      </c>
      <c r="I12" s="4"/>
      <c r="J12" s="12"/>
      <c r="K12" s="4"/>
      <c r="L12" s="4">
        <f t="shared" ref="L12:L15" si="0">+D12-H12</f>
        <v>912.86999999999898</v>
      </c>
      <c r="M12" s="4"/>
      <c r="N12" s="12">
        <f t="shared" ref="N12:N15" si="1">IF(H12=0,0,L12/H12)</f>
        <v>3.7412704918032745E-2</v>
      </c>
      <c r="O12" s="10"/>
      <c r="P12" s="4">
        <f>SUM(OSRRefP13x_0)</f>
        <v>25312.87</v>
      </c>
      <c r="Q12" s="4"/>
      <c r="R12" s="12"/>
      <c r="S12" s="4"/>
      <c r="T12" s="4">
        <f>SUM(OSRRefT13x_0)</f>
        <v>24400</v>
      </c>
      <c r="U12" s="4"/>
      <c r="V12" s="12"/>
      <c r="W12" s="4"/>
      <c r="X12" s="4">
        <f t="shared" ref="X12:X15" si="2">+P12-T12</f>
        <v>912.86999999999898</v>
      </c>
      <c r="Y12" s="4"/>
      <c r="Z12" s="12">
        <f t="shared" ref="Z12:Z15" si="3">IF(T12=0,0,X12/T12)</f>
        <v>3.7412704918032745E-2</v>
      </c>
    </row>
    <row r="13" spans="1:26" s="24" customFormat="1" hidden="1" outlineLevel="1" x14ac:dyDescent="0.25">
      <c r="A13" s="51"/>
      <c r="B13" s="11" t="str">
        <f>CONCATENATE("          ", "4051", " - ", "TAXABLE SALES-FOOD")</f>
        <v xml:space="preserve">          4051 - TAXABLE SALES-FOOD</v>
      </c>
      <c r="C13" s="11"/>
      <c r="D13" s="2">
        <f>--9771.4</f>
        <v>9771.4</v>
      </c>
      <c r="E13" s="2"/>
      <c r="F13" s="22"/>
      <c r="G13" s="2"/>
      <c r="H13" s="2"/>
      <c r="I13" s="2"/>
      <c r="J13" s="22"/>
      <c r="K13" s="2"/>
      <c r="L13" s="2">
        <f t="shared" si="0"/>
        <v>9771.4</v>
      </c>
      <c r="M13" s="2"/>
      <c r="N13" s="22">
        <f t="shared" si="1"/>
        <v>0</v>
      </c>
      <c r="O13" s="11"/>
      <c r="P13" s="2">
        <f>--9771.4</f>
        <v>9771.4</v>
      </c>
      <c r="Q13" s="2"/>
      <c r="R13" s="22"/>
      <c r="S13" s="2"/>
      <c r="T13" s="2"/>
      <c r="U13" s="2"/>
      <c r="V13" s="22"/>
      <c r="W13" s="2"/>
      <c r="X13" s="2">
        <f t="shared" si="2"/>
        <v>9771.4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24400</v>
      </c>
      <c r="I14" s="2"/>
      <c r="J14" s="22"/>
      <c r="K14" s="2"/>
      <c r="L14" s="2">
        <f t="shared" si="0"/>
        <v>-24400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24400</v>
      </c>
      <c r="U14" s="2"/>
      <c r="V14" s="22"/>
      <c r="W14" s="2"/>
      <c r="X14" s="2">
        <f t="shared" si="2"/>
        <v>-24400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--15541.47</f>
        <v>15541.47</v>
      </c>
      <c r="E15" s="2"/>
      <c r="F15" s="22"/>
      <c r="G15" s="2"/>
      <c r="H15" s="2"/>
      <c r="I15" s="2"/>
      <c r="J15" s="22"/>
      <c r="K15" s="2"/>
      <c r="L15" s="2">
        <f t="shared" si="0"/>
        <v>15541.47</v>
      </c>
      <c r="M15" s="2"/>
      <c r="N15" s="22">
        <f t="shared" si="1"/>
        <v>0</v>
      </c>
      <c r="O15" s="11"/>
      <c r="P15" s="2">
        <f>--15541.47</f>
        <v>15541.47</v>
      </c>
      <c r="Q15" s="2"/>
      <c r="R15" s="22"/>
      <c r="S15" s="2"/>
      <c r="T15" s="2"/>
      <c r="U15" s="2"/>
      <c r="V15" s="22"/>
      <c r="W15" s="2"/>
      <c r="X15" s="2">
        <f t="shared" si="2"/>
        <v>15541.47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6079.92</v>
      </c>
      <c r="E17" s="4"/>
      <c r="F17" s="12">
        <f t="shared" ref="F17:F20" si="4">IF(D$12=0,0,D17/D$12)</f>
        <v>0.24019085943237573</v>
      </c>
      <c r="G17" s="4"/>
      <c r="H17" s="4">
        <f>SUM(OSRRefH16x_0)</f>
        <v>8540</v>
      </c>
      <c r="I17" s="4"/>
      <c r="J17" s="12">
        <f t="shared" ref="J17:J20" si="5">IF(H$12=0,0,H17/H$12)</f>
        <v>0.35</v>
      </c>
      <c r="K17" s="4"/>
      <c r="L17" s="4">
        <f t="shared" ref="L17:L20" si="6">+D17-H17</f>
        <v>-2460.08</v>
      </c>
      <c r="M17" s="4"/>
      <c r="N17" s="12">
        <f t="shared" ref="N17:N20" si="7">IF(H17=0,0,L17/H17)</f>
        <v>-0.2880655737704918</v>
      </c>
      <c r="O17" s="10"/>
      <c r="P17" s="4">
        <f>SUM(OSRRefP16x_0)</f>
        <v>6079.92</v>
      </c>
      <c r="Q17" s="4"/>
      <c r="R17" s="12">
        <f t="shared" ref="R17:R20" si="8">IF(P$12=0,0,P17/P$12)</f>
        <v>0.24019085943237573</v>
      </c>
      <c r="S17" s="4"/>
      <c r="T17" s="4">
        <f>SUM(OSRRefT16x_0)</f>
        <v>8540</v>
      </c>
      <c r="U17" s="4"/>
      <c r="V17" s="12">
        <f t="shared" ref="V17:V20" si="9">IF(T$12=0,0,T17/T$12)</f>
        <v>0.35</v>
      </c>
      <c r="W17" s="4"/>
      <c r="X17" s="4">
        <f t="shared" ref="X17:X20" si="10">+P17-T17</f>
        <v>-2460.08</v>
      </c>
      <c r="Y17" s="4"/>
      <c r="Z17" s="12">
        <f t="shared" ref="Z17:Z20" si="11">IF(T17=0,0,X17/T17)</f>
        <v>-0.2880655737704918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4"/>
        <v>0</v>
      </c>
      <c r="G18" s="2"/>
      <c r="H18" s="2">
        <v>8540</v>
      </c>
      <c r="I18" s="2"/>
      <c r="J18" s="22">
        <f t="shared" si="5"/>
        <v>0.35</v>
      </c>
      <c r="K18" s="2"/>
      <c r="L18" s="2">
        <f t="shared" si="6"/>
        <v>-8540</v>
      </c>
      <c r="M18" s="2"/>
      <c r="N18" s="22">
        <f t="shared" si="7"/>
        <v>-1</v>
      </c>
      <c r="O18" s="11"/>
      <c r="P18" s="2"/>
      <c r="Q18" s="2"/>
      <c r="R18" s="22">
        <f t="shared" si="8"/>
        <v>0</v>
      </c>
      <c r="S18" s="2"/>
      <c r="T18" s="2">
        <v>8540</v>
      </c>
      <c r="U18" s="2"/>
      <c r="V18" s="22">
        <f t="shared" si="9"/>
        <v>0.35</v>
      </c>
      <c r="W18" s="2"/>
      <c r="X18" s="2">
        <f t="shared" si="10"/>
        <v>-8540</v>
      </c>
      <c r="Y18" s="2"/>
      <c r="Z18" s="22">
        <f t="shared" si="11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8059.92</v>
      </c>
      <c r="E19" s="2"/>
      <c r="F19" s="22">
        <f t="shared" si="4"/>
        <v>0.31841193827487757</v>
      </c>
      <c r="G19" s="2"/>
      <c r="H19" s="2"/>
      <c r="I19" s="2"/>
      <c r="J19" s="22">
        <f t="shared" si="5"/>
        <v>0</v>
      </c>
      <c r="K19" s="2"/>
      <c r="L19" s="2">
        <f t="shared" si="6"/>
        <v>8059.92</v>
      </c>
      <c r="M19" s="2"/>
      <c r="N19" s="22">
        <f t="shared" si="7"/>
        <v>0</v>
      </c>
      <c r="O19" s="11"/>
      <c r="P19" s="2">
        <v>8059.92</v>
      </c>
      <c r="Q19" s="2"/>
      <c r="R19" s="22">
        <f t="shared" si="8"/>
        <v>0.31841193827487757</v>
      </c>
      <c r="S19" s="2"/>
      <c r="T19" s="2"/>
      <c r="U19" s="2"/>
      <c r="V19" s="22">
        <f t="shared" si="9"/>
        <v>0</v>
      </c>
      <c r="W19" s="2"/>
      <c r="X19" s="2">
        <f t="shared" si="10"/>
        <v>8059.92</v>
      </c>
      <c r="Y19" s="2"/>
      <c r="Z19" s="22">
        <f t="shared" si="11"/>
        <v>0</v>
      </c>
    </row>
    <row r="20" spans="1:26" s="24" customFormat="1" hidden="1" outlineLevel="1" x14ac:dyDescent="0.25">
      <c r="A20" s="51"/>
      <c r="B20" s="11" t="str">
        <f>CONCATENATE("          ", "5059", " - ", "PURCHASES @ COST-FOOD")</f>
        <v xml:space="preserve">          5059 - PURCHASES @ COST-FOOD</v>
      </c>
      <c r="C20" s="11"/>
      <c r="D20" s="2">
        <v>-1980</v>
      </c>
      <c r="E20" s="2"/>
      <c r="F20" s="22">
        <f t="shared" si="4"/>
        <v>-7.8221078842501859E-2</v>
      </c>
      <c r="G20" s="2"/>
      <c r="H20" s="2"/>
      <c r="I20" s="2"/>
      <c r="J20" s="22">
        <f t="shared" si="5"/>
        <v>0</v>
      </c>
      <c r="K20" s="2"/>
      <c r="L20" s="2">
        <f t="shared" si="6"/>
        <v>-1980</v>
      </c>
      <c r="M20" s="2"/>
      <c r="N20" s="22">
        <f t="shared" si="7"/>
        <v>0</v>
      </c>
      <c r="O20" s="11"/>
      <c r="P20" s="2">
        <v>-1980</v>
      </c>
      <c r="Q20" s="2"/>
      <c r="R20" s="22">
        <f t="shared" si="8"/>
        <v>-7.8221078842501859E-2</v>
      </c>
      <c r="S20" s="2"/>
      <c r="T20" s="2"/>
      <c r="U20" s="2"/>
      <c r="V20" s="22">
        <f t="shared" si="9"/>
        <v>0</v>
      </c>
      <c r="W20" s="2"/>
      <c r="X20" s="2">
        <f t="shared" si="10"/>
        <v>-1980</v>
      </c>
      <c r="Y20" s="2"/>
      <c r="Z20" s="22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6</v>
      </c>
      <c r="C22" s="26"/>
      <c r="D22" s="21">
        <f>D12-D17</f>
        <v>19232.949999999997</v>
      </c>
      <c r="E22" s="13"/>
      <c r="F22" s="19">
        <f>IF(D$12=0,0,D22/D$12)</f>
        <v>0.75980914056762416</v>
      </c>
      <c r="G22" s="13"/>
      <c r="H22" s="21">
        <f>H12-H17</f>
        <v>15860</v>
      </c>
      <c r="I22" s="13"/>
      <c r="J22" s="19">
        <f>IF(H$12=0,0,H22/H$12)</f>
        <v>0.65</v>
      </c>
      <c r="K22" s="15"/>
      <c r="L22" s="21">
        <f>+D22-H22</f>
        <v>3372.9499999999971</v>
      </c>
      <c r="M22" s="15"/>
      <c r="N22" s="19">
        <f>IF(H22=0,0,L22/H22)</f>
        <v>0.21267023959646891</v>
      </c>
      <c r="O22" s="25"/>
      <c r="P22" s="21">
        <f>P12-P17</f>
        <v>19232.949999999997</v>
      </c>
      <c r="Q22" s="13"/>
      <c r="R22" s="19">
        <f>IF(P$12=0,0,P22/P$12)</f>
        <v>0.75980914056762416</v>
      </c>
      <c r="S22" s="13"/>
      <c r="T22" s="21">
        <f>T12-T17</f>
        <v>15860</v>
      </c>
      <c r="U22" s="13"/>
      <c r="V22" s="19">
        <f>IF(T$12=0,0,T22/T$12)</f>
        <v>0.65</v>
      </c>
      <c r="W22" s="15"/>
      <c r="X22" s="21">
        <f>+P22-T22</f>
        <v>3372.9499999999971</v>
      </c>
      <c r="Y22" s="15"/>
      <c r="Z22" s="19">
        <f>IF(T22=0,0,X22/T22)</f>
        <v>0.21267023959646891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9</v>
      </c>
      <c r="C24" s="10"/>
      <c r="D24" s="20">
        <f>SUM(OSRRefD22x_0)</f>
        <v>62615.51</v>
      </c>
      <c r="E24" s="20"/>
      <c r="F24" s="30">
        <f t="shared" ref="F24:F34" si="12">IF(D$12=0,0,D24/D$12)</f>
        <v>2.4736630022593253</v>
      </c>
      <c r="G24" s="20"/>
      <c r="H24" s="20">
        <f>SUM(OSRRefH22x_0)</f>
        <v>60977.874896153851</v>
      </c>
      <c r="I24" s="20"/>
      <c r="J24" s="30">
        <f t="shared" ref="J24:J34" si="13">IF(H$12=0,0,H24/H$12)</f>
        <v>2.4990932334489284</v>
      </c>
      <c r="K24" s="4"/>
      <c r="L24" s="20">
        <f t="shared" ref="L24:L34" si="14">+D24-H24</f>
        <v>1637.6351038461507</v>
      </c>
      <c r="M24" s="4"/>
      <c r="N24" s="30">
        <f t="shared" ref="N24:N34" si="15">IF(H24=0,0,L24/H24)</f>
        <v>2.6856218040314878E-2</v>
      </c>
      <c r="O24" s="10"/>
      <c r="P24" s="20">
        <f>SUM(OSRRefP22x_0)</f>
        <v>62615.51</v>
      </c>
      <c r="Q24" s="20"/>
      <c r="R24" s="30">
        <f t="shared" ref="R24:R34" si="16">IF(P$12=0,0,P24/P$12)</f>
        <v>2.4736630022593253</v>
      </c>
      <c r="S24" s="20"/>
      <c r="T24" s="20">
        <f>SUM(OSRRefT22x_0)</f>
        <v>60977.874896153851</v>
      </c>
      <c r="U24" s="20"/>
      <c r="V24" s="30">
        <f t="shared" ref="V24:V34" si="17">IF(T$12=0,0,T24/T$12)</f>
        <v>2.4990932334489284</v>
      </c>
      <c r="W24" s="4"/>
      <c r="X24" s="20">
        <f t="shared" ref="X24:X34" si="18">+P24-T24</f>
        <v>1637.6351038461507</v>
      </c>
      <c r="Y24" s="4"/>
      <c r="Z24" s="30">
        <f t="shared" ref="Z24:Z34" si="19">IF(T24=0,0,X24/T24)</f>
        <v>2.6856218040314878E-2</v>
      </c>
    </row>
    <row r="25" spans="1:26" s="27" customFormat="1" outlineLevel="1" collapsed="1" x14ac:dyDescent="0.25">
      <c r="A25" s="28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11148.38</v>
      </c>
      <c r="E25" s="1"/>
      <c r="F25" s="5">
        <f t="shared" si="12"/>
        <v>0.44042338936675296</v>
      </c>
      <c r="G25" s="1"/>
      <c r="H25" s="1">
        <f>SUM(OSRRefH22_0x_0)</f>
        <v>7460.0460500000036</v>
      </c>
      <c r="I25" s="1"/>
      <c r="J25" s="5">
        <f t="shared" si="13"/>
        <v>0.30573959221311492</v>
      </c>
      <c r="K25" s="1"/>
      <c r="L25" s="1">
        <f t="shared" si="14"/>
        <v>3688.3339499999956</v>
      </c>
      <c r="M25" s="1"/>
      <c r="N25" s="5">
        <f t="shared" si="15"/>
        <v>0.49441168664099516</v>
      </c>
      <c r="O25" s="14"/>
      <c r="P25" s="1">
        <f>SUM(OSRRefP22_0x_0)</f>
        <v>11148.38</v>
      </c>
      <c r="Q25" s="1"/>
      <c r="R25" s="5">
        <f t="shared" si="16"/>
        <v>0.44042338936675296</v>
      </c>
      <c r="S25" s="1"/>
      <c r="T25" s="1">
        <f>SUM(OSRRefT22_0x_0)</f>
        <v>7460.0460500000036</v>
      </c>
      <c r="U25" s="1"/>
      <c r="V25" s="5">
        <f t="shared" si="17"/>
        <v>0.30573959221311492</v>
      </c>
      <c r="W25" s="1"/>
      <c r="X25" s="1">
        <f t="shared" si="18"/>
        <v>3688.3339499999956</v>
      </c>
      <c r="Y25" s="1"/>
      <c r="Z25" s="5">
        <f t="shared" si="19"/>
        <v>0.49441168664099516</v>
      </c>
    </row>
    <row r="26" spans="1:26" s="24" customFormat="1" hidden="1" outlineLevel="2" x14ac:dyDescent="0.25">
      <c r="A26" s="29"/>
      <c r="B26" s="11" t="str">
        <f>CONCATENATE("          ", "6111", " - ", "F.I.C.A.")</f>
        <v xml:space="preserve">          6111 - F.I.C.A.</v>
      </c>
      <c r="C26" s="11"/>
      <c r="D26" s="7">
        <v>1109.3800000000001</v>
      </c>
      <c r="E26" s="2"/>
      <c r="F26" s="6">
        <f t="shared" si="12"/>
        <v>4.3826717397118548E-2</v>
      </c>
      <c r="G26" s="2"/>
      <c r="H26" s="7">
        <v>889.24916538461503</v>
      </c>
      <c r="I26" s="2"/>
      <c r="J26" s="6">
        <f t="shared" si="13"/>
        <v>3.6444637925598974E-2</v>
      </c>
      <c r="K26" s="2"/>
      <c r="L26" s="7">
        <f t="shared" si="14"/>
        <v>220.13083461538508</v>
      </c>
      <c r="M26" s="2"/>
      <c r="N26" s="6">
        <f t="shared" si="15"/>
        <v>0.24754685546449159</v>
      </c>
      <c r="O26" s="11"/>
      <c r="P26" s="7">
        <v>1109.3800000000001</v>
      </c>
      <c r="Q26" s="2"/>
      <c r="R26" s="6">
        <f t="shared" si="16"/>
        <v>4.3826717397118548E-2</v>
      </c>
      <c r="S26" s="2"/>
      <c r="T26" s="7">
        <v>889.24916538461503</v>
      </c>
      <c r="U26" s="2"/>
      <c r="V26" s="6">
        <f t="shared" si="17"/>
        <v>3.6444637925598974E-2</v>
      </c>
      <c r="W26" s="2"/>
      <c r="X26" s="7">
        <f t="shared" si="18"/>
        <v>220.13083461538508</v>
      </c>
      <c r="Y26" s="2"/>
      <c r="Z26" s="6">
        <f t="shared" si="19"/>
        <v>0.24754685546449159</v>
      </c>
    </row>
    <row r="27" spans="1:26" s="24" customFormat="1" hidden="1" outlineLevel="2" x14ac:dyDescent="0.25">
      <c r="A27" s="29"/>
      <c r="B27" s="11" t="str">
        <f>CONCATENATE("          ", "6112", " - ", "COMPENSATION INSURANCE")</f>
        <v xml:space="preserve">          6112 - COMPENSATION INSURANCE</v>
      </c>
      <c r="C27" s="11"/>
      <c r="D27" s="7">
        <v>564.29999999999995</v>
      </c>
      <c r="E27" s="2"/>
      <c r="F27" s="6">
        <f t="shared" si="12"/>
        <v>2.2293007470113028E-2</v>
      </c>
      <c r="G27" s="2"/>
      <c r="H27" s="7">
        <v>689.94607692307704</v>
      </c>
      <c r="I27" s="2"/>
      <c r="J27" s="6">
        <f t="shared" si="13"/>
        <v>2.827647856242119E-2</v>
      </c>
      <c r="K27" s="2"/>
      <c r="L27" s="7">
        <f t="shared" si="14"/>
        <v>-125.64607692307709</v>
      </c>
      <c r="M27" s="2"/>
      <c r="N27" s="6">
        <f t="shared" si="15"/>
        <v>-0.1821099954411155</v>
      </c>
      <c r="O27" s="11"/>
      <c r="P27" s="7">
        <v>564.29999999999995</v>
      </c>
      <c r="Q27" s="2"/>
      <c r="R27" s="6">
        <f t="shared" si="16"/>
        <v>2.2293007470113028E-2</v>
      </c>
      <c r="S27" s="2"/>
      <c r="T27" s="7">
        <v>689.94607692307704</v>
      </c>
      <c r="U27" s="2"/>
      <c r="V27" s="6">
        <f t="shared" si="17"/>
        <v>2.827647856242119E-2</v>
      </c>
      <c r="W27" s="2"/>
      <c r="X27" s="7">
        <f t="shared" si="18"/>
        <v>-125.64607692307709</v>
      </c>
      <c r="Y27" s="2"/>
      <c r="Z27" s="6">
        <f t="shared" si="19"/>
        <v>-0.1821099954411155</v>
      </c>
    </row>
    <row r="28" spans="1:26" s="24" customFormat="1" hidden="1" outlineLevel="2" x14ac:dyDescent="0.25">
      <c r="A28" s="29"/>
      <c r="B28" s="11" t="str">
        <f>CONCATENATE("          ", "6113", " - ", "GROUP INSURANCE")</f>
        <v xml:space="preserve">          6113 - GROUP INSURANCE</v>
      </c>
      <c r="C28" s="11"/>
      <c r="D28" s="7">
        <v>3090.11</v>
      </c>
      <c r="E28" s="2"/>
      <c r="F28" s="6">
        <f t="shared" si="12"/>
        <v>0.12207663532424416</v>
      </c>
      <c r="G28" s="2"/>
      <c r="H28" s="7">
        <v>3662.1538461538503</v>
      </c>
      <c r="I28" s="2"/>
      <c r="J28" s="6">
        <f t="shared" si="13"/>
        <v>0.15008827238335451</v>
      </c>
      <c r="K28" s="2"/>
      <c r="L28" s="7">
        <f t="shared" si="14"/>
        <v>-572.04384615385015</v>
      </c>
      <c r="M28" s="2"/>
      <c r="N28" s="6">
        <f t="shared" si="15"/>
        <v>-0.15620420937657628</v>
      </c>
      <c r="O28" s="11"/>
      <c r="P28" s="7">
        <v>3090.11</v>
      </c>
      <c r="Q28" s="2"/>
      <c r="R28" s="6">
        <f t="shared" si="16"/>
        <v>0.12207663532424416</v>
      </c>
      <c r="S28" s="2"/>
      <c r="T28" s="7">
        <v>3662.1538461538503</v>
      </c>
      <c r="U28" s="2"/>
      <c r="V28" s="6">
        <f t="shared" si="17"/>
        <v>0.15008827238335451</v>
      </c>
      <c r="W28" s="2"/>
      <c r="X28" s="7">
        <f t="shared" si="18"/>
        <v>-572.04384615385015</v>
      </c>
      <c r="Y28" s="2"/>
      <c r="Z28" s="6">
        <f t="shared" si="19"/>
        <v>-0.15620420937657628</v>
      </c>
    </row>
    <row r="29" spans="1:26" s="24" customFormat="1" hidden="1" outlineLevel="2" x14ac:dyDescent="0.25">
      <c r="A29" s="29"/>
      <c r="B29" s="11" t="str">
        <f>CONCATENATE("          ", "6114", " - ", "STATE UNEMPLOYMENT INSURANCE")</f>
        <v xml:space="preserve">          6114 - STATE UNEMPLOYMENT INSURANCE</v>
      </c>
      <c r="C29" s="11"/>
      <c r="D29" s="7">
        <v>37.81</v>
      </c>
      <c r="E29" s="2"/>
      <c r="F29" s="6">
        <f t="shared" si="12"/>
        <v>1.4937065611287856E-3</v>
      </c>
      <c r="G29" s="2"/>
      <c r="H29" s="7">
        <v>46.233499999999999</v>
      </c>
      <c r="I29" s="2"/>
      <c r="J29" s="6">
        <f t="shared" si="13"/>
        <v>1.8948155737704918E-3</v>
      </c>
      <c r="K29" s="2"/>
      <c r="L29" s="7">
        <f t="shared" si="14"/>
        <v>-8.4234999999999971</v>
      </c>
      <c r="M29" s="2"/>
      <c r="N29" s="6">
        <f t="shared" si="15"/>
        <v>-0.18219472893032101</v>
      </c>
      <c r="O29" s="11"/>
      <c r="P29" s="7">
        <v>37.81</v>
      </c>
      <c r="Q29" s="2"/>
      <c r="R29" s="6">
        <f t="shared" si="16"/>
        <v>1.4937065611287856E-3</v>
      </c>
      <c r="S29" s="2"/>
      <c r="T29" s="7">
        <v>46.233499999999999</v>
      </c>
      <c r="U29" s="2"/>
      <c r="V29" s="6">
        <f t="shared" si="17"/>
        <v>1.8948155737704918E-3</v>
      </c>
      <c r="W29" s="2"/>
      <c r="X29" s="7">
        <f t="shared" si="18"/>
        <v>-8.4234999999999971</v>
      </c>
      <c r="Y29" s="2"/>
      <c r="Z29" s="6">
        <f t="shared" si="19"/>
        <v>-0.18219472893032101</v>
      </c>
    </row>
    <row r="30" spans="1:26" s="24" customFormat="1" hidden="1" outlineLevel="2" x14ac:dyDescent="0.25">
      <c r="A30" s="29"/>
      <c r="B30" s="11" t="str">
        <f>CONCATENATE("          ", "6115", " - ", "P.E.R.S.")</f>
        <v xml:space="preserve">          6115 - P.E.R.S.</v>
      </c>
      <c r="C30" s="11"/>
      <c r="D30" s="7">
        <v>581.80999999999995</v>
      </c>
      <c r="E30" s="2"/>
      <c r="F30" s="6">
        <f t="shared" si="12"/>
        <v>2.2984750445129296E-2</v>
      </c>
      <c r="G30" s="2"/>
      <c r="H30" s="7">
        <v>579.176923076923</v>
      </c>
      <c r="I30" s="2"/>
      <c r="J30" s="6">
        <f t="shared" si="13"/>
        <v>2.3736759142496844E-2</v>
      </c>
      <c r="K30" s="2"/>
      <c r="L30" s="7">
        <f t="shared" si="14"/>
        <v>2.633076923076942</v>
      </c>
      <c r="M30" s="2"/>
      <c r="N30" s="6">
        <f t="shared" si="15"/>
        <v>4.5462393582405072E-3</v>
      </c>
      <c r="O30" s="11"/>
      <c r="P30" s="7">
        <v>581.80999999999995</v>
      </c>
      <c r="Q30" s="2"/>
      <c r="R30" s="6">
        <f t="shared" si="16"/>
        <v>2.2984750445129296E-2</v>
      </c>
      <c r="S30" s="2"/>
      <c r="T30" s="7">
        <v>579.176923076923</v>
      </c>
      <c r="U30" s="2"/>
      <c r="V30" s="6">
        <f t="shared" si="17"/>
        <v>2.3736759142496844E-2</v>
      </c>
      <c r="W30" s="2"/>
      <c r="X30" s="7">
        <f t="shared" si="18"/>
        <v>2.633076923076942</v>
      </c>
      <c r="Y30" s="2"/>
      <c r="Z30" s="6">
        <f t="shared" si="19"/>
        <v>4.5462393582405072E-3</v>
      </c>
    </row>
    <row r="31" spans="1:26" s="24" customFormat="1" hidden="1" outlineLevel="2" x14ac:dyDescent="0.25">
      <c r="A31" s="29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1739.39</v>
      </c>
      <c r="E32" s="2"/>
      <c r="F32" s="6">
        <f t="shared" si="12"/>
        <v>6.8715637539322888E-2</v>
      </c>
      <c r="G32" s="2"/>
      <c r="H32" s="7">
        <v>542.73076923076906</v>
      </c>
      <c r="I32" s="2"/>
      <c r="J32" s="6">
        <f t="shared" si="13"/>
        <v>2.2243064312736437E-2</v>
      </c>
      <c r="K32" s="2"/>
      <c r="L32" s="7">
        <f t="shared" si="14"/>
        <v>1196.659230769231</v>
      </c>
      <c r="M32" s="2"/>
      <c r="N32" s="6">
        <f t="shared" si="15"/>
        <v>2.2048855502799247</v>
      </c>
      <c r="O32" s="11"/>
      <c r="P32" s="7">
        <v>1739.39</v>
      </c>
      <c r="Q32" s="2"/>
      <c r="R32" s="6">
        <f t="shared" si="16"/>
        <v>6.8715637539322888E-2</v>
      </c>
      <c r="S32" s="2"/>
      <c r="T32" s="7">
        <v>542.73076923076906</v>
      </c>
      <c r="U32" s="2"/>
      <c r="V32" s="6">
        <f t="shared" si="17"/>
        <v>2.2243064312736437E-2</v>
      </c>
      <c r="W32" s="2"/>
      <c r="X32" s="7">
        <f t="shared" si="18"/>
        <v>1196.659230769231</v>
      </c>
      <c r="Y32" s="2"/>
      <c r="Z32" s="6">
        <f t="shared" si="19"/>
        <v>2.2048855502799247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3757.53</v>
      </c>
      <c r="E33" s="2"/>
      <c r="F33" s="6">
        <f t="shared" si="12"/>
        <v>0.1484434597894273</v>
      </c>
      <c r="G33" s="2"/>
      <c r="H33" s="7">
        <v>750.5557692307691</v>
      </c>
      <c r="I33" s="2"/>
      <c r="J33" s="6">
        <f t="shared" si="13"/>
        <v>3.0760482345523324E-2</v>
      </c>
      <c r="K33" s="2"/>
      <c r="L33" s="7">
        <f t="shared" si="14"/>
        <v>3006.9742307692313</v>
      </c>
      <c r="M33" s="2"/>
      <c r="N33" s="6">
        <f t="shared" si="15"/>
        <v>4.0063301809684635</v>
      </c>
      <c r="O33" s="11"/>
      <c r="P33" s="7">
        <v>3757.53</v>
      </c>
      <c r="Q33" s="2"/>
      <c r="R33" s="6">
        <f t="shared" si="16"/>
        <v>0.1484434597894273</v>
      </c>
      <c r="S33" s="2"/>
      <c r="T33" s="7">
        <v>750.5557692307691</v>
      </c>
      <c r="U33" s="2"/>
      <c r="V33" s="6">
        <f t="shared" si="17"/>
        <v>3.0760482345523324E-2</v>
      </c>
      <c r="W33" s="2"/>
      <c r="X33" s="7">
        <f t="shared" si="18"/>
        <v>3006.9742307692313</v>
      </c>
      <c r="Y33" s="2"/>
      <c r="Z33" s="6">
        <f t="shared" si="19"/>
        <v>4.0063301809684635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268.05</v>
      </c>
      <c r="E34" s="2"/>
      <c r="F34" s="6">
        <f t="shared" si="12"/>
        <v>1.0589474840269002E-2</v>
      </c>
      <c r="G34" s="2"/>
      <c r="H34" s="7">
        <v>300</v>
      </c>
      <c r="I34" s="2"/>
      <c r="J34" s="6">
        <f t="shared" si="13"/>
        <v>1.2295081967213115E-2</v>
      </c>
      <c r="K34" s="2"/>
      <c r="L34" s="7">
        <f t="shared" si="14"/>
        <v>-31.949999999999989</v>
      </c>
      <c r="M34" s="2"/>
      <c r="N34" s="6">
        <f t="shared" si="15"/>
        <v>-0.10649999999999996</v>
      </c>
      <c r="O34" s="11"/>
      <c r="P34" s="7">
        <v>268.05</v>
      </c>
      <c r="Q34" s="2"/>
      <c r="R34" s="6">
        <f t="shared" si="16"/>
        <v>1.0589474840269002E-2</v>
      </c>
      <c r="S34" s="2"/>
      <c r="T34" s="7">
        <v>300</v>
      </c>
      <c r="U34" s="2"/>
      <c r="V34" s="6">
        <f t="shared" si="17"/>
        <v>1.2295081967213115E-2</v>
      </c>
      <c r="W34" s="2"/>
      <c r="X34" s="7">
        <f t="shared" si="18"/>
        <v>-31.949999999999989</v>
      </c>
      <c r="Y34" s="2"/>
      <c r="Z34" s="6">
        <f t="shared" si="19"/>
        <v>-0.10649999999999996</v>
      </c>
    </row>
    <row r="35" spans="1:26" s="27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17485.48</v>
      </c>
      <c r="E35" s="1"/>
      <c r="F35" s="5">
        <f t="shared" ref="F35:F45" si="20">IF(D$12=0,0,D35/D$12)</f>
        <v>0.69077429781767141</v>
      </c>
      <c r="G35" s="1"/>
      <c r="H35" s="1">
        <f>SUM(OSRRefH22_1x_0)</f>
        <v>16488.82884615385</v>
      </c>
      <c r="I35" s="1"/>
      <c r="J35" s="5">
        <f t="shared" ref="J35:J45" si="21">IF(H$12=0,0,H35/H$12)</f>
        <v>0.67577167402269878</v>
      </c>
      <c r="K35" s="1"/>
      <c r="L35" s="1">
        <f t="shared" ref="L35:L45" si="22">+D35-H35</f>
        <v>996.6511538461491</v>
      </c>
      <c r="M35" s="1"/>
      <c r="N35" s="5">
        <f t="shared" ref="N35:N45" si="23">IF(H35=0,0,L35/H35)</f>
        <v>6.0444023232045729E-2</v>
      </c>
      <c r="O35" s="14"/>
      <c r="P35" s="1">
        <f>SUM(OSRRefP22_1x_0)</f>
        <v>17485.48</v>
      </c>
      <c r="Q35" s="1"/>
      <c r="R35" s="5">
        <f t="shared" ref="R35:R45" si="24">IF(P$12=0,0,P35/P$12)</f>
        <v>0.69077429781767141</v>
      </c>
      <c r="S35" s="1"/>
      <c r="T35" s="1">
        <f>SUM(OSRRefT22_1x_0)</f>
        <v>16488.82884615385</v>
      </c>
      <c r="U35" s="1"/>
      <c r="V35" s="5">
        <f t="shared" ref="V35:V45" si="25">IF(T$12=0,0,T35/T$12)</f>
        <v>0.67577167402269878</v>
      </c>
      <c r="W35" s="1"/>
      <c r="X35" s="1">
        <f t="shared" ref="X35:X45" si="26">+P35-T35</f>
        <v>996.6511538461491</v>
      </c>
      <c r="Y35" s="1"/>
      <c r="Z35" s="5">
        <f t="shared" ref="Z35:Z45" si="27">IF(T35=0,0,X35/T35)</f>
        <v>6.0444023232045729E-2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5692.21</v>
      </c>
      <c r="E37" s="2"/>
      <c r="F37" s="6">
        <f t="shared" si="20"/>
        <v>0.2248741450495341</v>
      </c>
      <c r="G37" s="2"/>
      <c r="H37" s="7">
        <v>6061.1538461538503</v>
      </c>
      <c r="I37" s="2"/>
      <c r="J37" s="6">
        <f t="shared" si="21"/>
        <v>0.24840794451450207</v>
      </c>
      <c r="K37" s="2"/>
      <c r="L37" s="7">
        <f t="shared" si="22"/>
        <v>-368.94384615385025</v>
      </c>
      <c r="M37" s="2"/>
      <c r="N37" s="6">
        <f t="shared" si="23"/>
        <v>-6.0870232882797769E-2</v>
      </c>
      <c r="O37" s="11"/>
      <c r="P37" s="7">
        <v>5692.21</v>
      </c>
      <c r="Q37" s="2"/>
      <c r="R37" s="6">
        <f t="shared" si="24"/>
        <v>0.2248741450495341</v>
      </c>
      <c r="S37" s="2"/>
      <c r="T37" s="7">
        <v>6061.1538461538503</v>
      </c>
      <c r="U37" s="2"/>
      <c r="V37" s="6">
        <f t="shared" si="25"/>
        <v>0.24840794451450207</v>
      </c>
      <c r="W37" s="2"/>
      <c r="X37" s="7">
        <f t="shared" si="26"/>
        <v>-368.94384615385025</v>
      </c>
      <c r="Y37" s="2"/>
      <c r="Z37" s="6">
        <f t="shared" si="27"/>
        <v>-6.0870232882797769E-2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>
        <v>3249.32</v>
      </c>
      <c r="E39" s="2"/>
      <c r="F39" s="6">
        <f t="shared" si="20"/>
        <v>0.12836632116389807</v>
      </c>
      <c r="G39" s="2"/>
      <c r="H39" s="7">
        <v>3708</v>
      </c>
      <c r="I39" s="2"/>
      <c r="J39" s="6">
        <f t="shared" si="21"/>
        <v>0.15196721311475409</v>
      </c>
      <c r="K39" s="2"/>
      <c r="L39" s="7">
        <f t="shared" si="22"/>
        <v>-458.67999999999984</v>
      </c>
      <c r="M39" s="2"/>
      <c r="N39" s="6">
        <f t="shared" si="23"/>
        <v>-0.12370010787486511</v>
      </c>
      <c r="O39" s="11"/>
      <c r="P39" s="7">
        <v>3249.32</v>
      </c>
      <c r="Q39" s="2"/>
      <c r="R39" s="6">
        <f t="shared" si="24"/>
        <v>0.12836632116389807</v>
      </c>
      <c r="S39" s="2"/>
      <c r="T39" s="7">
        <v>3708</v>
      </c>
      <c r="U39" s="2"/>
      <c r="V39" s="6">
        <f t="shared" si="25"/>
        <v>0.15196721311475409</v>
      </c>
      <c r="W39" s="2"/>
      <c r="X39" s="7">
        <f t="shared" si="26"/>
        <v>-458.67999999999984</v>
      </c>
      <c r="Y39" s="2"/>
      <c r="Z39" s="6">
        <f t="shared" si="27"/>
        <v>-0.12370010787486511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>
        <v>3458.39</v>
      </c>
      <c r="E40" s="2"/>
      <c r="F40" s="6">
        <f t="shared" si="20"/>
        <v>0.13662575598894949</v>
      </c>
      <c r="G40" s="2"/>
      <c r="H40" s="7">
        <v>5977.625</v>
      </c>
      <c r="I40" s="2"/>
      <c r="J40" s="6">
        <f t="shared" si="21"/>
        <v>0.24498463114754099</v>
      </c>
      <c r="K40" s="2"/>
      <c r="L40" s="7">
        <f t="shared" si="22"/>
        <v>-2519.2350000000001</v>
      </c>
      <c r="M40" s="2"/>
      <c r="N40" s="6">
        <f t="shared" si="23"/>
        <v>-0.42144413542167669</v>
      </c>
      <c r="O40" s="11"/>
      <c r="P40" s="7">
        <v>3458.39</v>
      </c>
      <c r="Q40" s="2"/>
      <c r="R40" s="6">
        <f t="shared" si="24"/>
        <v>0.13662575598894949</v>
      </c>
      <c r="S40" s="2"/>
      <c r="T40" s="7">
        <v>5977.625</v>
      </c>
      <c r="U40" s="2"/>
      <c r="V40" s="6">
        <f t="shared" si="25"/>
        <v>0.24498463114754099</v>
      </c>
      <c r="W40" s="2"/>
      <c r="X40" s="7">
        <f t="shared" si="26"/>
        <v>-2519.2350000000001</v>
      </c>
      <c r="Y40" s="2"/>
      <c r="Z40" s="6">
        <f t="shared" si="27"/>
        <v>-0.42144413542167669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5085.5600000000004</v>
      </c>
      <c r="E42" s="2"/>
      <c r="F42" s="6">
        <f t="shared" si="20"/>
        <v>0.20090807561528978</v>
      </c>
      <c r="G42" s="2"/>
      <c r="H42" s="7">
        <v>742.05</v>
      </c>
      <c r="I42" s="2"/>
      <c r="J42" s="6">
        <f t="shared" si="21"/>
        <v>3.0411885245901639E-2</v>
      </c>
      <c r="K42" s="2"/>
      <c r="L42" s="7">
        <f t="shared" si="22"/>
        <v>4343.51</v>
      </c>
      <c r="M42" s="2"/>
      <c r="N42" s="6">
        <f t="shared" si="23"/>
        <v>5.8533926285290754</v>
      </c>
      <c r="O42" s="11"/>
      <c r="P42" s="7">
        <v>5085.5600000000004</v>
      </c>
      <c r="Q42" s="2"/>
      <c r="R42" s="6">
        <f t="shared" si="24"/>
        <v>0.20090807561528978</v>
      </c>
      <c r="S42" s="2"/>
      <c r="T42" s="7">
        <v>742.05</v>
      </c>
      <c r="U42" s="2"/>
      <c r="V42" s="6">
        <f t="shared" si="25"/>
        <v>3.0411885245901639E-2</v>
      </c>
      <c r="W42" s="2"/>
      <c r="X42" s="7">
        <f t="shared" si="26"/>
        <v>4343.51</v>
      </c>
      <c r="Y42" s="2"/>
      <c r="Z42" s="6">
        <f t="shared" si="27"/>
        <v>5.8533926285290754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1640.28</v>
      </c>
      <c r="E46" s="1"/>
      <c r="F46" s="5">
        <f t="shared" ref="F46:F54" si="28">IF(D$12=0,0,D46/D$12)</f>
        <v>6.4800237981706546E-2</v>
      </c>
      <c r="G46" s="1"/>
      <c r="H46" s="1">
        <f>SUM(OSRRefH22_2x_0)</f>
        <v>100</v>
      </c>
      <c r="I46" s="1"/>
      <c r="J46" s="5">
        <f t="shared" ref="J46:J54" si="29">IF(H$12=0,0,H46/H$12)</f>
        <v>4.0983606557377051E-3</v>
      </c>
      <c r="K46" s="1"/>
      <c r="L46" s="1">
        <f t="shared" ref="L46:L54" si="30">+D46-H46</f>
        <v>1540.28</v>
      </c>
      <c r="M46" s="1"/>
      <c r="N46" s="5">
        <f t="shared" ref="N46:N54" si="31">IF(H46=0,0,L46/H46)</f>
        <v>15.402799999999999</v>
      </c>
      <c r="O46" s="14"/>
      <c r="P46" s="1">
        <f>SUM(OSRRefP22_2x_0)</f>
        <v>1640.28</v>
      </c>
      <c r="Q46" s="1"/>
      <c r="R46" s="5">
        <f t="shared" ref="R46:R54" si="32">IF(P$12=0,0,P46/P$12)</f>
        <v>6.4800237981706546E-2</v>
      </c>
      <c r="S46" s="1"/>
      <c r="T46" s="1">
        <f>SUM(OSRRefT22_2x_0)</f>
        <v>100</v>
      </c>
      <c r="U46" s="1"/>
      <c r="V46" s="5">
        <f t="shared" ref="V46:V54" si="33">IF(T$12=0,0,T46/T$12)</f>
        <v>4.0983606557377051E-3</v>
      </c>
      <c r="W46" s="1"/>
      <c r="X46" s="1">
        <f t="shared" ref="X46:X54" si="34">+P46-T46</f>
        <v>1540.28</v>
      </c>
      <c r="Y46" s="1"/>
      <c r="Z46" s="5">
        <f t="shared" ref="Z46:Z54" si="35">IF(T46=0,0,X46/T46)</f>
        <v>15.402799999999999</v>
      </c>
    </row>
    <row r="47" spans="1:26" s="24" customFormat="1" hidden="1" outlineLevel="2" x14ac:dyDescent="0.25">
      <c r="A47" s="29"/>
      <c r="B47" s="11" t="str">
        <f>CONCATENATE("          ", "6362", " - ", "ADVERTISING EXPENSE")</f>
        <v xml:space="preserve">          6362 - ADVERTISING EXPENSE</v>
      </c>
      <c r="C47" s="11"/>
      <c r="D47" s="7">
        <v>1640.28</v>
      </c>
      <c r="E47" s="2"/>
      <c r="F47" s="6">
        <f t="shared" si="28"/>
        <v>6.4800237981706546E-2</v>
      </c>
      <c r="G47" s="2"/>
      <c r="H47" s="7">
        <v>100</v>
      </c>
      <c r="I47" s="2"/>
      <c r="J47" s="6">
        <f t="shared" si="29"/>
        <v>4.0983606557377051E-3</v>
      </c>
      <c r="K47" s="2"/>
      <c r="L47" s="7">
        <f t="shared" si="30"/>
        <v>1540.28</v>
      </c>
      <c r="M47" s="2"/>
      <c r="N47" s="6">
        <f t="shared" si="31"/>
        <v>15.402799999999999</v>
      </c>
      <c r="O47" s="11"/>
      <c r="P47" s="7">
        <v>1640.28</v>
      </c>
      <c r="Q47" s="2"/>
      <c r="R47" s="6">
        <f t="shared" si="32"/>
        <v>6.4800237981706546E-2</v>
      </c>
      <c r="S47" s="2"/>
      <c r="T47" s="7">
        <v>100</v>
      </c>
      <c r="U47" s="2"/>
      <c r="V47" s="6">
        <f t="shared" si="33"/>
        <v>4.0983606557377051E-3</v>
      </c>
      <c r="W47" s="2"/>
      <c r="X47" s="7">
        <f t="shared" si="34"/>
        <v>1540.28</v>
      </c>
      <c r="Y47" s="2"/>
      <c r="Z47" s="6">
        <f t="shared" si="35"/>
        <v>15.402799999999999</v>
      </c>
    </row>
    <row r="48" spans="1:26" s="27" customFormat="1" outlineLevel="1" collapsed="1" x14ac:dyDescent="0.25">
      <c r="A48" s="28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-4.97</v>
      </c>
      <c r="E48" s="1"/>
      <c r="F48" s="5">
        <f t="shared" si="28"/>
        <v>-1.9634280901375465E-4</v>
      </c>
      <c r="G48" s="1"/>
      <c r="H48" s="1">
        <f>SUM(OSRRefH22_3x_0)</f>
        <v>10</v>
      </c>
      <c r="I48" s="1"/>
      <c r="J48" s="5">
        <f t="shared" si="29"/>
        <v>4.0983606557377049E-4</v>
      </c>
      <c r="K48" s="1"/>
      <c r="L48" s="1">
        <f t="shared" si="30"/>
        <v>-14.969999999999999</v>
      </c>
      <c r="M48" s="1"/>
      <c r="N48" s="5">
        <f t="shared" si="31"/>
        <v>-1.4969999999999999</v>
      </c>
      <c r="O48" s="14"/>
      <c r="P48" s="1">
        <f>SUM(OSRRefP22_3x_0)</f>
        <v>-4.97</v>
      </c>
      <c r="Q48" s="1"/>
      <c r="R48" s="5">
        <f t="shared" si="32"/>
        <v>-1.9634280901375465E-4</v>
      </c>
      <c r="S48" s="1"/>
      <c r="T48" s="1">
        <f>SUM(OSRRefT22_3x_0)</f>
        <v>10</v>
      </c>
      <c r="U48" s="1"/>
      <c r="V48" s="5">
        <f t="shared" si="33"/>
        <v>4.0983606557377049E-4</v>
      </c>
      <c r="W48" s="1"/>
      <c r="X48" s="1">
        <f t="shared" si="34"/>
        <v>-14.969999999999999</v>
      </c>
      <c r="Y48" s="1"/>
      <c r="Z48" s="5">
        <f t="shared" si="35"/>
        <v>-1.4969999999999999</v>
      </c>
    </row>
    <row r="49" spans="1:26" s="24" customFormat="1" hidden="1" outlineLevel="2" x14ac:dyDescent="0.25">
      <c r="A49" s="29"/>
      <c r="B49" s="11" t="str">
        <f>CONCATENATE("          ", "6272", " - ", "CASH (OVER/SHORT)")</f>
        <v xml:space="preserve">          6272 - CASH (OVER/SHORT)</v>
      </c>
      <c r="C49" s="11"/>
      <c r="D49" s="7">
        <v>-4.97</v>
      </c>
      <c r="E49" s="2"/>
      <c r="F49" s="6">
        <f t="shared" si="28"/>
        <v>-1.9634280901375465E-4</v>
      </c>
      <c r="G49" s="2"/>
      <c r="H49" s="7">
        <v>10</v>
      </c>
      <c r="I49" s="2"/>
      <c r="J49" s="6">
        <f t="shared" si="29"/>
        <v>4.0983606557377049E-4</v>
      </c>
      <c r="K49" s="2"/>
      <c r="L49" s="7">
        <f t="shared" si="30"/>
        <v>-14.969999999999999</v>
      </c>
      <c r="M49" s="2"/>
      <c r="N49" s="6">
        <f t="shared" si="31"/>
        <v>-1.4969999999999999</v>
      </c>
      <c r="O49" s="11"/>
      <c r="P49" s="7">
        <v>-4.97</v>
      </c>
      <c r="Q49" s="2"/>
      <c r="R49" s="6">
        <f t="shared" si="32"/>
        <v>-1.9634280901375465E-4</v>
      </c>
      <c r="S49" s="2"/>
      <c r="T49" s="7">
        <v>10</v>
      </c>
      <c r="U49" s="2"/>
      <c r="V49" s="6">
        <f t="shared" si="33"/>
        <v>4.0983606557377049E-4</v>
      </c>
      <c r="W49" s="2"/>
      <c r="X49" s="7">
        <f t="shared" si="34"/>
        <v>-14.969999999999999</v>
      </c>
      <c r="Y49" s="2"/>
      <c r="Z49" s="6">
        <f t="shared" si="35"/>
        <v>-1.4969999999999999</v>
      </c>
    </row>
    <row r="50" spans="1:26" s="27" customFormat="1" outlineLevel="1" collapsed="1" x14ac:dyDescent="0.25">
      <c r="A50" s="28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852.21</v>
      </c>
      <c r="E50" s="1"/>
      <c r="F50" s="5">
        <f t="shared" si="28"/>
        <v>3.3667063434529555E-2</v>
      </c>
      <c r="G50" s="1"/>
      <c r="H50" s="1">
        <f>SUM(OSRRefH22_4x_0)</f>
        <v>850</v>
      </c>
      <c r="I50" s="1"/>
      <c r="J50" s="5">
        <f t="shared" si="29"/>
        <v>3.4836065573770489E-2</v>
      </c>
      <c r="K50" s="1"/>
      <c r="L50" s="1">
        <f t="shared" si="30"/>
        <v>2.2100000000000364</v>
      </c>
      <c r="M50" s="1"/>
      <c r="N50" s="5">
        <f t="shared" si="31"/>
        <v>2.6000000000000428E-3</v>
      </c>
      <c r="O50" s="14"/>
      <c r="P50" s="1">
        <f>SUM(OSRRefP22_4x_0)</f>
        <v>852.21</v>
      </c>
      <c r="Q50" s="1"/>
      <c r="R50" s="5">
        <f t="shared" si="32"/>
        <v>3.3667063434529555E-2</v>
      </c>
      <c r="S50" s="1"/>
      <c r="T50" s="1">
        <f>SUM(OSRRefT22_4x_0)</f>
        <v>850</v>
      </c>
      <c r="U50" s="1"/>
      <c r="V50" s="5">
        <f t="shared" si="33"/>
        <v>3.4836065573770489E-2</v>
      </c>
      <c r="W50" s="1"/>
      <c r="X50" s="1">
        <f t="shared" si="34"/>
        <v>2.2100000000000364</v>
      </c>
      <c r="Y50" s="1"/>
      <c r="Z50" s="5">
        <f t="shared" si="35"/>
        <v>2.6000000000000428E-3</v>
      </c>
    </row>
    <row r="51" spans="1:26" s="24" customFormat="1" hidden="1" outlineLevel="2" x14ac:dyDescent="0.25">
      <c r="A51" s="29"/>
      <c r="B51" s="11" t="str">
        <f>CONCATENATE("          ", "6381", " - ", "BANK/CREDIT CARD FEES")</f>
        <v xml:space="preserve">          6381 - BANK/CREDIT CARD FEES</v>
      </c>
      <c r="C51" s="11"/>
      <c r="D51" s="7">
        <v>852.21</v>
      </c>
      <c r="E51" s="2"/>
      <c r="F51" s="6">
        <f t="shared" si="28"/>
        <v>3.3667063434529555E-2</v>
      </c>
      <c r="G51" s="2"/>
      <c r="H51" s="7">
        <v>850</v>
      </c>
      <c r="I51" s="2"/>
      <c r="J51" s="6">
        <f t="shared" si="29"/>
        <v>3.4836065573770489E-2</v>
      </c>
      <c r="K51" s="2"/>
      <c r="L51" s="7">
        <f t="shared" si="30"/>
        <v>2.2100000000000364</v>
      </c>
      <c r="M51" s="2"/>
      <c r="N51" s="6">
        <f t="shared" si="31"/>
        <v>2.6000000000000428E-3</v>
      </c>
      <c r="O51" s="11"/>
      <c r="P51" s="7">
        <v>852.21</v>
      </c>
      <c r="Q51" s="2"/>
      <c r="R51" s="6">
        <f t="shared" si="32"/>
        <v>3.3667063434529555E-2</v>
      </c>
      <c r="S51" s="2"/>
      <c r="T51" s="7">
        <v>850</v>
      </c>
      <c r="U51" s="2"/>
      <c r="V51" s="6">
        <f t="shared" si="33"/>
        <v>3.4836065573770489E-2</v>
      </c>
      <c r="W51" s="2"/>
      <c r="X51" s="7">
        <f t="shared" si="34"/>
        <v>2.2100000000000364</v>
      </c>
      <c r="Y51" s="2"/>
      <c r="Z51" s="6">
        <f t="shared" si="35"/>
        <v>2.6000000000000428E-3</v>
      </c>
    </row>
    <row r="52" spans="1:26" s="27" customFormat="1" outlineLevel="1" collapsed="1" x14ac:dyDescent="0.25">
      <c r="A52" s="28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13266.91</v>
      </c>
      <c r="E52" s="1"/>
      <c r="F52" s="5">
        <f t="shared" si="28"/>
        <v>0.52411717833655369</v>
      </c>
      <c r="G52" s="1"/>
      <c r="H52" s="1">
        <f>SUM(OSRRefH22_5x_0)</f>
        <v>13266</v>
      </c>
      <c r="I52" s="1"/>
      <c r="J52" s="5">
        <f t="shared" si="29"/>
        <v>0.54368852459016392</v>
      </c>
      <c r="K52" s="1"/>
      <c r="L52" s="1">
        <f t="shared" si="30"/>
        <v>0.90999999999985448</v>
      </c>
      <c r="M52" s="1"/>
      <c r="N52" s="5">
        <f t="shared" si="31"/>
        <v>6.8596411879983006E-5</v>
      </c>
      <c r="O52" s="14"/>
      <c r="P52" s="1">
        <f>SUM(OSRRefP22_5x_0)</f>
        <v>13266.91</v>
      </c>
      <c r="Q52" s="1"/>
      <c r="R52" s="5">
        <f t="shared" si="32"/>
        <v>0.52411717833655369</v>
      </c>
      <c r="S52" s="1"/>
      <c r="T52" s="1">
        <f>SUM(OSRRefT22_5x_0)</f>
        <v>13266</v>
      </c>
      <c r="U52" s="1"/>
      <c r="V52" s="5">
        <f t="shared" si="33"/>
        <v>0.54368852459016392</v>
      </c>
      <c r="W52" s="1"/>
      <c r="X52" s="1">
        <f t="shared" si="34"/>
        <v>0.90999999999985448</v>
      </c>
      <c r="Y52" s="1"/>
      <c r="Z52" s="5">
        <f t="shared" si="35"/>
        <v>6.8596411879983006E-5</v>
      </c>
    </row>
    <row r="53" spans="1:26" s="24" customFormat="1" hidden="1" outlineLevel="2" x14ac:dyDescent="0.25">
      <c r="A53" s="29"/>
      <c r="B53" s="11" t="str">
        <f>CONCATENATE("          ", "6321", " - ", "BUILDING DEPRECIATION")</f>
        <v xml:space="preserve">          6321 - BUILDING DEPRECIATION</v>
      </c>
      <c r="C53" s="11"/>
      <c r="D53" s="7">
        <v>10612.46</v>
      </c>
      <c r="E53" s="2"/>
      <c r="F53" s="6">
        <f t="shared" si="28"/>
        <v>0.41925155069338244</v>
      </c>
      <c r="G53" s="2"/>
      <c r="H53" s="7">
        <v>10612</v>
      </c>
      <c r="I53" s="2"/>
      <c r="J53" s="6">
        <f t="shared" si="29"/>
        <v>0.43491803278688523</v>
      </c>
      <c r="K53" s="2"/>
      <c r="L53" s="7">
        <f t="shared" si="30"/>
        <v>0.45999999999912689</v>
      </c>
      <c r="M53" s="2"/>
      <c r="N53" s="6">
        <f t="shared" si="31"/>
        <v>4.3347154165013841E-5</v>
      </c>
      <c r="O53" s="11"/>
      <c r="P53" s="7">
        <v>10612.46</v>
      </c>
      <c r="Q53" s="2"/>
      <c r="R53" s="6">
        <f t="shared" si="32"/>
        <v>0.41925155069338244</v>
      </c>
      <c r="S53" s="2"/>
      <c r="T53" s="7">
        <v>10612</v>
      </c>
      <c r="U53" s="2"/>
      <c r="V53" s="6">
        <f t="shared" si="33"/>
        <v>0.43491803278688523</v>
      </c>
      <c r="W53" s="2"/>
      <c r="X53" s="7">
        <f t="shared" si="34"/>
        <v>0.45999999999912689</v>
      </c>
      <c r="Y53" s="2"/>
      <c r="Z53" s="6">
        <f t="shared" si="35"/>
        <v>4.3347154165013841E-5</v>
      </c>
    </row>
    <row r="54" spans="1:26" s="24" customFormat="1" hidden="1" outlineLevel="2" x14ac:dyDescent="0.25">
      <c r="A54" s="29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2654.45</v>
      </c>
      <c r="E54" s="2"/>
      <c r="F54" s="6">
        <f t="shared" si="28"/>
        <v>0.10486562764317124</v>
      </c>
      <c r="G54" s="2"/>
      <c r="H54" s="7">
        <v>2654</v>
      </c>
      <c r="I54" s="2"/>
      <c r="J54" s="6">
        <f t="shared" si="29"/>
        <v>0.10877049180327869</v>
      </c>
      <c r="K54" s="2"/>
      <c r="L54" s="7">
        <f t="shared" si="30"/>
        <v>0.4499999999998181</v>
      </c>
      <c r="M54" s="2"/>
      <c r="N54" s="6">
        <f t="shared" si="31"/>
        <v>1.6955538809337533E-4</v>
      </c>
      <c r="O54" s="11"/>
      <c r="P54" s="7">
        <v>2654.45</v>
      </c>
      <c r="Q54" s="2"/>
      <c r="R54" s="6">
        <f t="shared" si="32"/>
        <v>0.10486562764317124</v>
      </c>
      <c r="S54" s="2"/>
      <c r="T54" s="7">
        <v>2654</v>
      </c>
      <c r="U54" s="2"/>
      <c r="V54" s="6">
        <f t="shared" si="33"/>
        <v>0.10877049180327869</v>
      </c>
      <c r="W54" s="2"/>
      <c r="X54" s="7">
        <f t="shared" si="34"/>
        <v>0.4499999999998181</v>
      </c>
      <c r="Y54" s="2"/>
      <c r="Z54" s="6">
        <f t="shared" si="35"/>
        <v>1.6955538809337533E-4</v>
      </c>
    </row>
    <row r="55" spans="1:26" s="27" customFormat="1" outlineLevel="1" collapsed="1" x14ac:dyDescent="0.25">
      <c r="A55" s="28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SUM(OSRRefD22_6x_0)</f>
        <v>15.35</v>
      </c>
      <c r="E55" s="1"/>
      <c r="F55" s="5">
        <f t="shared" ref="F55:F72" si="36">IF(D$12=0,0,D55/D$12)</f>
        <v>6.0641088900626437E-4</v>
      </c>
      <c r="G55" s="1"/>
      <c r="H55" s="1">
        <f>SUM(OSRRefH22_6x_0)</f>
        <v>25</v>
      </c>
      <c r="I55" s="1"/>
      <c r="J55" s="5">
        <f t="shared" ref="J55:J72" si="37">IF(H$12=0,0,H55/H$12)</f>
        <v>1.0245901639344263E-3</v>
      </c>
      <c r="K55" s="1"/>
      <c r="L55" s="1">
        <f t="shared" ref="L55:L72" si="38">+D55-H55</f>
        <v>-9.65</v>
      </c>
      <c r="M55" s="1"/>
      <c r="N55" s="5">
        <f t="shared" ref="N55:N72" si="39">IF(H55=0,0,L55/H55)</f>
        <v>-0.38600000000000001</v>
      </c>
      <c r="O55" s="14"/>
      <c r="P55" s="1">
        <f>SUM(OSRRefP22_6x_0)</f>
        <v>15.35</v>
      </c>
      <c r="Q55" s="1"/>
      <c r="R55" s="5">
        <f t="shared" ref="R55:R72" si="40">IF(P$12=0,0,P55/P$12)</f>
        <v>6.0641088900626437E-4</v>
      </c>
      <c r="S55" s="1"/>
      <c r="T55" s="1">
        <f>SUM(OSRRefT22_6x_0)</f>
        <v>25</v>
      </c>
      <c r="U55" s="1"/>
      <c r="V55" s="5">
        <f t="shared" ref="V55:V72" si="41">IF(T$12=0,0,T55/T$12)</f>
        <v>1.0245901639344263E-3</v>
      </c>
      <c r="W55" s="1"/>
      <c r="X55" s="1">
        <f t="shared" ref="X55:X72" si="42">+P55-T55</f>
        <v>-9.65</v>
      </c>
      <c r="Y55" s="1"/>
      <c r="Z55" s="5">
        <f t="shared" ref="Z55:Z72" si="43">IF(T55=0,0,X55/T55)</f>
        <v>-0.38600000000000001</v>
      </c>
    </row>
    <row r="56" spans="1:26" s="24" customFormat="1" hidden="1" outlineLevel="2" x14ac:dyDescent="0.25">
      <c r="A56" s="29"/>
      <c r="B56" s="11" t="str">
        <f>CONCATENATE("          ", "6277", " - ", "EMPLOYEE APPRECIATION")</f>
        <v xml:space="preserve">          6277 - EMPLOYEE APPRECIATION</v>
      </c>
      <c r="C56" s="11"/>
      <c r="D56" s="7">
        <v>15.35</v>
      </c>
      <c r="E56" s="2"/>
      <c r="F56" s="6">
        <f t="shared" si="36"/>
        <v>6.0641088900626437E-4</v>
      </c>
      <c r="G56" s="2"/>
      <c r="H56" s="7">
        <v>25</v>
      </c>
      <c r="I56" s="2"/>
      <c r="J56" s="6">
        <f t="shared" si="37"/>
        <v>1.0245901639344263E-3</v>
      </c>
      <c r="K56" s="2"/>
      <c r="L56" s="7">
        <f t="shared" si="38"/>
        <v>-9.65</v>
      </c>
      <c r="M56" s="2"/>
      <c r="N56" s="6">
        <f t="shared" si="39"/>
        <v>-0.38600000000000001</v>
      </c>
      <c r="O56" s="11"/>
      <c r="P56" s="7">
        <v>15.35</v>
      </c>
      <c r="Q56" s="2"/>
      <c r="R56" s="6">
        <f t="shared" si="40"/>
        <v>6.0641088900626437E-4</v>
      </c>
      <c r="S56" s="2"/>
      <c r="T56" s="7">
        <v>25</v>
      </c>
      <c r="U56" s="2"/>
      <c r="V56" s="6">
        <f t="shared" si="41"/>
        <v>1.0245901639344263E-3</v>
      </c>
      <c r="W56" s="2"/>
      <c r="X56" s="7">
        <f t="shared" si="42"/>
        <v>-9.65</v>
      </c>
      <c r="Y56" s="2"/>
      <c r="Z56" s="6">
        <f t="shared" si="43"/>
        <v>-0.38600000000000001</v>
      </c>
    </row>
    <row r="57" spans="1:26" s="27" customFormat="1" outlineLevel="1" collapsed="1" x14ac:dyDescent="0.25">
      <c r="A57" s="28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SUM(OSRRefD22_7x_0)</f>
        <v>146.47</v>
      </c>
      <c r="E57" s="1"/>
      <c r="F57" s="5">
        <f t="shared" si="36"/>
        <v>5.7863845545763877E-3</v>
      </c>
      <c r="G57" s="1"/>
      <c r="H57" s="1">
        <f>SUM(OSRRefH22_7x_0)</f>
        <v>125</v>
      </c>
      <c r="I57" s="1"/>
      <c r="J57" s="5">
        <f t="shared" si="37"/>
        <v>5.1229508196721308E-3</v>
      </c>
      <c r="K57" s="1"/>
      <c r="L57" s="1">
        <f t="shared" si="38"/>
        <v>21.47</v>
      </c>
      <c r="M57" s="1"/>
      <c r="N57" s="5">
        <f t="shared" si="39"/>
        <v>0.17176</v>
      </c>
      <c r="O57" s="14"/>
      <c r="P57" s="1">
        <f>SUM(OSRRefP22_7x_0)</f>
        <v>146.47</v>
      </c>
      <c r="Q57" s="1"/>
      <c r="R57" s="5">
        <f t="shared" si="40"/>
        <v>5.7863845545763877E-3</v>
      </c>
      <c r="S57" s="1"/>
      <c r="T57" s="1">
        <f>SUM(OSRRefT22_7x_0)</f>
        <v>125</v>
      </c>
      <c r="U57" s="1"/>
      <c r="V57" s="5">
        <f t="shared" si="41"/>
        <v>5.1229508196721308E-3</v>
      </c>
      <c r="W57" s="1"/>
      <c r="X57" s="1">
        <f t="shared" si="42"/>
        <v>21.47</v>
      </c>
      <c r="Y57" s="1"/>
      <c r="Z57" s="5">
        <f t="shared" si="43"/>
        <v>0.17176</v>
      </c>
    </row>
    <row r="58" spans="1:26" s="24" customFormat="1" hidden="1" outlineLevel="2" x14ac:dyDescent="0.25">
      <c r="A58" s="29"/>
      <c r="B58" s="11" t="str">
        <f>CONCATENATE("          ", "6351", " - ", "EQUIPMENT RENTAL")</f>
        <v xml:space="preserve">          6351 - EQUIPMENT RENTAL</v>
      </c>
      <c r="C58" s="11"/>
      <c r="D58" s="7">
        <v>146.47</v>
      </c>
      <c r="E58" s="2"/>
      <c r="F58" s="6">
        <f t="shared" si="36"/>
        <v>5.7863845545763877E-3</v>
      </c>
      <c r="G58" s="2"/>
      <c r="H58" s="7">
        <v>125</v>
      </c>
      <c r="I58" s="2"/>
      <c r="J58" s="6">
        <f t="shared" si="37"/>
        <v>5.1229508196721308E-3</v>
      </c>
      <c r="K58" s="2"/>
      <c r="L58" s="7">
        <f t="shared" si="38"/>
        <v>21.47</v>
      </c>
      <c r="M58" s="2"/>
      <c r="N58" s="6">
        <f t="shared" si="39"/>
        <v>0.17176</v>
      </c>
      <c r="O58" s="11"/>
      <c r="P58" s="7">
        <v>146.47</v>
      </c>
      <c r="Q58" s="2"/>
      <c r="R58" s="6">
        <f t="shared" si="40"/>
        <v>5.7863845545763877E-3</v>
      </c>
      <c r="S58" s="2"/>
      <c r="T58" s="7">
        <v>125</v>
      </c>
      <c r="U58" s="2"/>
      <c r="V58" s="6">
        <f t="shared" si="41"/>
        <v>5.1229508196721308E-3</v>
      </c>
      <c r="W58" s="2"/>
      <c r="X58" s="7">
        <f t="shared" si="42"/>
        <v>21.47</v>
      </c>
      <c r="Y58" s="2"/>
      <c r="Z58" s="6">
        <f t="shared" si="43"/>
        <v>0.17176</v>
      </c>
    </row>
    <row r="59" spans="1:26" s="27" customFormat="1" outlineLevel="1" collapsed="1" x14ac:dyDescent="0.25">
      <c r="A59" s="28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SUM(OSRRefD22_8x_0)</f>
        <v>1354.55</v>
      </c>
      <c r="E59" s="1"/>
      <c r="F59" s="5">
        <f t="shared" si="36"/>
        <v>5.3512304215207522E-2</v>
      </c>
      <c r="G59" s="1"/>
      <c r="H59" s="1">
        <f>SUM(OSRRefH22_8x_0)</f>
        <v>1400</v>
      </c>
      <c r="I59" s="1"/>
      <c r="J59" s="5">
        <f t="shared" si="37"/>
        <v>5.737704918032787E-2</v>
      </c>
      <c r="K59" s="1"/>
      <c r="L59" s="1">
        <f t="shared" si="38"/>
        <v>-45.450000000000045</v>
      </c>
      <c r="M59" s="1"/>
      <c r="N59" s="5">
        <f t="shared" si="39"/>
        <v>-3.2464285714285744E-2</v>
      </c>
      <c r="O59" s="14"/>
      <c r="P59" s="1">
        <f>SUM(OSRRefP22_8x_0)</f>
        <v>1354.55</v>
      </c>
      <c r="Q59" s="1"/>
      <c r="R59" s="5">
        <f t="shared" si="40"/>
        <v>5.3512304215207522E-2</v>
      </c>
      <c r="S59" s="1"/>
      <c r="T59" s="1">
        <f>SUM(OSRRefT22_8x_0)</f>
        <v>1400</v>
      </c>
      <c r="U59" s="1"/>
      <c r="V59" s="5">
        <f t="shared" si="41"/>
        <v>5.737704918032787E-2</v>
      </c>
      <c r="W59" s="1"/>
      <c r="X59" s="1">
        <f t="shared" si="42"/>
        <v>-45.450000000000045</v>
      </c>
      <c r="Y59" s="1"/>
      <c r="Z59" s="5">
        <f t="shared" si="43"/>
        <v>-3.2464285714285744E-2</v>
      </c>
    </row>
    <row r="60" spans="1:26" s="24" customFormat="1" hidden="1" outlineLevel="2" x14ac:dyDescent="0.25">
      <c r="A60" s="29"/>
      <c r="B60" s="11" t="str">
        <f>CONCATENATE("          ", "6279", " - ", "GENERAL EXPENSE")</f>
        <v xml:space="preserve">          6279 - GENERAL EXPENSE</v>
      </c>
      <c r="C60" s="11"/>
      <c r="D60" s="7">
        <v>1354.55</v>
      </c>
      <c r="E60" s="2"/>
      <c r="F60" s="6">
        <f t="shared" si="36"/>
        <v>5.3512304215207522E-2</v>
      </c>
      <c r="G60" s="2"/>
      <c r="H60" s="7">
        <v>1400</v>
      </c>
      <c r="I60" s="2"/>
      <c r="J60" s="6">
        <f t="shared" si="37"/>
        <v>5.737704918032787E-2</v>
      </c>
      <c r="K60" s="2"/>
      <c r="L60" s="7">
        <f t="shared" si="38"/>
        <v>-45.450000000000045</v>
      </c>
      <c r="M60" s="2"/>
      <c r="N60" s="6">
        <f t="shared" si="39"/>
        <v>-3.2464285714285744E-2</v>
      </c>
      <c r="O60" s="11"/>
      <c r="P60" s="7">
        <v>1354.55</v>
      </c>
      <c r="Q60" s="2"/>
      <c r="R60" s="6">
        <f t="shared" si="40"/>
        <v>5.3512304215207522E-2</v>
      </c>
      <c r="S60" s="2"/>
      <c r="T60" s="7">
        <v>1400</v>
      </c>
      <c r="U60" s="2"/>
      <c r="V60" s="6">
        <f t="shared" si="41"/>
        <v>5.737704918032787E-2</v>
      </c>
      <c r="W60" s="2"/>
      <c r="X60" s="7">
        <f t="shared" si="42"/>
        <v>-45.450000000000045</v>
      </c>
      <c r="Y60" s="2"/>
      <c r="Z60" s="6">
        <f t="shared" si="43"/>
        <v>-3.2464285714285744E-2</v>
      </c>
    </row>
    <row r="61" spans="1:26" s="27" customFormat="1" outlineLevel="1" collapsed="1" x14ac:dyDescent="0.25">
      <c r="A61" s="28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SUM(OSRRefD22_9x_0)</f>
        <v>641.28</v>
      </c>
      <c r="E61" s="1"/>
      <c r="F61" s="5">
        <f t="shared" si="36"/>
        <v>2.5334148202080603E-2</v>
      </c>
      <c r="G61" s="1"/>
      <c r="H61" s="1">
        <f>SUM(OSRRefH22_9x_0)</f>
        <v>604</v>
      </c>
      <c r="I61" s="1"/>
      <c r="J61" s="5">
        <f t="shared" si="37"/>
        <v>2.4754098360655737E-2</v>
      </c>
      <c r="K61" s="1"/>
      <c r="L61" s="1">
        <f t="shared" si="38"/>
        <v>37.279999999999973</v>
      </c>
      <c r="M61" s="1"/>
      <c r="N61" s="5">
        <f t="shared" si="39"/>
        <v>6.1721854304635719E-2</v>
      </c>
      <c r="O61" s="14"/>
      <c r="P61" s="1">
        <f>SUM(OSRRefP22_9x_0)</f>
        <v>641.28</v>
      </c>
      <c r="Q61" s="1"/>
      <c r="R61" s="5">
        <f t="shared" si="40"/>
        <v>2.5334148202080603E-2</v>
      </c>
      <c r="S61" s="1"/>
      <c r="T61" s="1">
        <f>SUM(OSRRefT22_9x_0)</f>
        <v>604</v>
      </c>
      <c r="U61" s="1"/>
      <c r="V61" s="5">
        <f t="shared" si="41"/>
        <v>2.4754098360655737E-2</v>
      </c>
      <c r="W61" s="1"/>
      <c r="X61" s="1">
        <f t="shared" si="42"/>
        <v>37.279999999999973</v>
      </c>
      <c r="Y61" s="1"/>
      <c r="Z61" s="5">
        <f t="shared" si="43"/>
        <v>6.1721854304635719E-2</v>
      </c>
    </row>
    <row r="62" spans="1:26" s="24" customFormat="1" hidden="1" outlineLevel="2" x14ac:dyDescent="0.25">
      <c r="A62" s="29"/>
      <c r="B62" s="11" t="str">
        <f>CONCATENATE("          ", "6314", " - ", "LIABILITY INSURANCE")</f>
        <v xml:space="preserve">          6314 - LIABILITY INSURANCE</v>
      </c>
      <c r="C62" s="11"/>
      <c r="D62" s="7">
        <v>641.28</v>
      </c>
      <c r="E62" s="2"/>
      <c r="F62" s="6">
        <f t="shared" si="36"/>
        <v>2.5334148202080603E-2</v>
      </c>
      <c r="G62" s="2"/>
      <c r="H62" s="7">
        <v>604</v>
      </c>
      <c r="I62" s="2"/>
      <c r="J62" s="6">
        <f t="shared" si="37"/>
        <v>2.4754098360655737E-2</v>
      </c>
      <c r="K62" s="2"/>
      <c r="L62" s="7">
        <f t="shared" si="38"/>
        <v>37.279999999999973</v>
      </c>
      <c r="M62" s="2"/>
      <c r="N62" s="6">
        <f t="shared" si="39"/>
        <v>6.1721854304635719E-2</v>
      </c>
      <c r="O62" s="11"/>
      <c r="P62" s="7">
        <v>641.28</v>
      </c>
      <c r="Q62" s="2"/>
      <c r="R62" s="6">
        <f t="shared" si="40"/>
        <v>2.5334148202080603E-2</v>
      </c>
      <c r="S62" s="2"/>
      <c r="T62" s="7">
        <v>604</v>
      </c>
      <c r="U62" s="2"/>
      <c r="V62" s="6">
        <f t="shared" si="41"/>
        <v>2.4754098360655737E-2</v>
      </c>
      <c r="W62" s="2"/>
      <c r="X62" s="7">
        <f t="shared" si="42"/>
        <v>37.279999999999973</v>
      </c>
      <c r="Y62" s="2"/>
      <c r="Z62" s="6">
        <f t="shared" si="43"/>
        <v>6.1721854304635719E-2</v>
      </c>
    </row>
    <row r="63" spans="1:26" s="27" customFormat="1" outlineLevel="1" collapsed="1" x14ac:dyDescent="0.25">
      <c r="A63" s="28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SUM(OSRRefD22_10x_0)</f>
        <v>7630</v>
      </c>
      <c r="E63" s="1"/>
      <c r="F63" s="5">
        <f t="shared" si="36"/>
        <v>0.30142769271125719</v>
      </c>
      <c r="G63" s="1"/>
      <c r="H63" s="1">
        <f>SUM(OSRRefH22_10x_0)</f>
        <v>7754</v>
      </c>
      <c r="I63" s="1"/>
      <c r="J63" s="5">
        <f t="shared" si="37"/>
        <v>0.31778688524590165</v>
      </c>
      <c r="K63" s="1"/>
      <c r="L63" s="1">
        <f t="shared" si="38"/>
        <v>-124</v>
      </c>
      <c r="M63" s="1"/>
      <c r="N63" s="5">
        <f t="shared" si="39"/>
        <v>-1.5991746195511993E-2</v>
      </c>
      <c r="O63" s="14"/>
      <c r="P63" s="1">
        <f>SUM(OSRRefP22_10x_0)</f>
        <v>7630</v>
      </c>
      <c r="Q63" s="1"/>
      <c r="R63" s="5">
        <f t="shared" si="40"/>
        <v>0.30142769271125719</v>
      </c>
      <c r="S63" s="1"/>
      <c r="T63" s="1">
        <f>SUM(OSRRefT22_10x_0)</f>
        <v>7754</v>
      </c>
      <c r="U63" s="1"/>
      <c r="V63" s="5">
        <f t="shared" si="41"/>
        <v>0.31778688524590165</v>
      </c>
      <c r="W63" s="1"/>
      <c r="X63" s="1">
        <f t="shared" si="42"/>
        <v>-124</v>
      </c>
      <c r="Y63" s="1"/>
      <c r="Z63" s="5">
        <f t="shared" si="43"/>
        <v>-1.5991746195511993E-2</v>
      </c>
    </row>
    <row r="64" spans="1:26" s="24" customFormat="1" hidden="1" outlineLevel="2" x14ac:dyDescent="0.25">
      <c r="A64" s="29"/>
      <c r="B64" s="11" t="str">
        <f>CONCATENATE("          ", "6401", " - ", "INTEREST EXPENSE")</f>
        <v xml:space="preserve">          6401 - INTEREST EXPENSE</v>
      </c>
      <c r="C64" s="11"/>
      <c r="D64" s="7">
        <v>7630</v>
      </c>
      <c r="E64" s="2"/>
      <c r="F64" s="6">
        <f t="shared" si="36"/>
        <v>0.30142769271125719</v>
      </c>
      <c r="G64" s="2"/>
      <c r="H64" s="7">
        <v>7754</v>
      </c>
      <c r="I64" s="2"/>
      <c r="J64" s="6">
        <f t="shared" si="37"/>
        <v>0.31778688524590165</v>
      </c>
      <c r="K64" s="2"/>
      <c r="L64" s="7">
        <f t="shared" si="38"/>
        <v>-124</v>
      </c>
      <c r="M64" s="2"/>
      <c r="N64" s="6">
        <f t="shared" si="39"/>
        <v>-1.5991746195511993E-2</v>
      </c>
      <c r="O64" s="11"/>
      <c r="P64" s="7">
        <v>7630</v>
      </c>
      <c r="Q64" s="2"/>
      <c r="R64" s="6">
        <f t="shared" si="40"/>
        <v>0.30142769271125719</v>
      </c>
      <c r="S64" s="2"/>
      <c r="T64" s="7">
        <v>7754</v>
      </c>
      <c r="U64" s="2"/>
      <c r="V64" s="6">
        <f t="shared" si="41"/>
        <v>0.31778688524590165</v>
      </c>
      <c r="W64" s="2"/>
      <c r="X64" s="7">
        <f t="shared" si="42"/>
        <v>-124</v>
      </c>
      <c r="Y64" s="2"/>
      <c r="Z64" s="6">
        <f t="shared" si="43"/>
        <v>-1.5991746195511993E-2</v>
      </c>
    </row>
    <row r="65" spans="1:26" s="27" customFormat="1" outlineLevel="1" collapsed="1" x14ac:dyDescent="0.25">
      <c r="A65" s="28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SUM(OSRRefD22_11x_0)</f>
        <v>837.4</v>
      </c>
      <c r="E65" s="1"/>
      <c r="F65" s="5">
        <f t="shared" si="36"/>
        <v>3.3081985567025789E-2</v>
      </c>
      <c r="G65" s="1"/>
      <c r="H65" s="1">
        <f>SUM(OSRRefH22_11x_0)</f>
        <v>3000</v>
      </c>
      <c r="I65" s="1"/>
      <c r="J65" s="5">
        <f t="shared" si="37"/>
        <v>0.12295081967213115</v>
      </c>
      <c r="K65" s="1"/>
      <c r="L65" s="1">
        <f t="shared" si="38"/>
        <v>-2162.6</v>
      </c>
      <c r="M65" s="1"/>
      <c r="N65" s="5">
        <f t="shared" si="39"/>
        <v>-0.72086666666666666</v>
      </c>
      <c r="O65" s="14"/>
      <c r="P65" s="1">
        <f>SUM(OSRRefP22_11x_0)</f>
        <v>837.4</v>
      </c>
      <c r="Q65" s="1"/>
      <c r="R65" s="5">
        <f t="shared" si="40"/>
        <v>3.3081985567025789E-2</v>
      </c>
      <c r="S65" s="1"/>
      <c r="T65" s="1">
        <f>SUM(OSRRefT22_11x_0)</f>
        <v>3000</v>
      </c>
      <c r="U65" s="1"/>
      <c r="V65" s="5">
        <f t="shared" si="41"/>
        <v>0.12295081967213115</v>
      </c>
      <c r="W65" s="1"/>
      <c r="X65" s="1">
        <f t="shared" si="42"/>
        <v>-2162.6</v>
      </c>
      <c r="Y65" s="1"/>
      <c r="Z65" s="5">
        <f t="shared" si="43"/>
        <v>-0.72086666666666666</v>
      </c>
    </row>
    <row r="66" spans="1:26" s="24" customFormat="1" hidden="1" outlineLevel="2" x14ac:dyDescent="0.25">
      <c r="A66" s="29"/>
      <c r="B66" s="11" t="str">
        <f>CONCATENATE("          ", "6375", " - ", "OUTSIDE REPAIRS &amp; MAINTENANCE")</f>
        <v xml:space="preserve">          6375 - OUTSIDE REPAIRS &amp; MAINTENANCE</v>
      </c>
      <c r="C66" s="11"/>
      <c r="D66" s="7">
        <v>837.4</v>
      </c>
      <c r="E66" s="2"/>
      <c r="F66" s="6">
        <f t="shared" si="36"/>
        <v>3.3081985567025789E-2</v>
      </c>
      <c r="G66" s="2"/>
      <c r="H66" s="7">
        <v>3000</v>
      </c>
      <c r="I66" s="2"/>
      <c r="J66" s="6">
        <f t="shared" si="37"/>
        <v>0.12295081967213115</v>
      </c>
      <c r="K66" s="2"/>
      <c r="L66" s="7">
        <f t="shared" si="38"/>
        <v>-2162.6</v>
      </c>
      <c r="M66" s="2"/>
      <c r="N66" s="6">
        <f t="shared" si="39"/>
        <v>-0.72086666666666666</v>
      </c>
      <c r="O66" s="11"/>
      <c r="P66" s="7">
        <v>837.4</v>
      </c>
      <c r="Q66" s="2"/>
      <c r="R66" s="6">
        <f t="shared" si="40"/>
        <v>3.3081985567025789E-2</v>
      </c>
      <c r="S66" s="2"/>
      <c r="T66" s="7">
        <v>3000</v>
      </c>
      <c r="U66" s="2"/>
      <c r="V66" s="6">
        <f t="shared" si="41"/>
        <v>0.12295081967213115</v>
      </c>
      <c r="W66" s="2"/>
      <c r="X66" s="7">
        <f t="shared" si="42"/>
        <v>-2162.6</v>
      </c>
      <c r="Y66" s="2"/>
      <c r="Z66" s="6">
        <f t="shared" si="43"/>
        <v>-0.72086666666666666</v>
      </c>
    </row>
    <row r="67" spans="1:26" s="27" customFormat="1" outlineLevel="1" collapsed="1" x14ac:dyDescent="0.25">
      <c r="A67" s="28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SUM(OSRRefD22_12x_0)</f>
        <v>4293.7</v>
      </c>
      <c r="E67" s="1"/>
      <c r="F67" s="5">
        <f t="shared" si="36"/>
        <v>0.16962517486164153</v>
      </c>
      <c r="G67" s="1"/>
      <c r="H67" s="1">
        <f>SUM(OSRRefH22_12x_0)</f>
        <v>4035</v>
      </c>
      <c r="I67" s="1"/>
      <c r="J67" s="5">
        <f t="shared" si="37"/>
        <v>0.16536885245901639</v>
      </c>
      <c r="K67" s="1"/>
      <c r="L67" s="1">
        <f t="shared" si="38"/>
        <v>258.69999999999982</v>
      </c>
      <c r="M67" s="1"/>
      <c r="N67" s="5">
        <f t="shared" si="39"/>
        <v>6.4114002478314697E-2</v>
      </c>
      <c r="O67" s="14"/>
      <c r="P67" s="1">
        <f>SUM(OSRRefP22_12x_0)</f>
        <v>4293.7</v>
      </c>
      <c r="Q67" s="1"/>
      <c r="R67" s="5">
        <f t="shared" si="40"/>
        <v>0.16962517486164153</v>
      </c>
      <c r="S67" s="1"/>
      <c r="T67" s="1">
        <f>SUM(OSRRefT22_12x_0)</f>
        <v>4035</v>
      </c>
      <c r="U67" s="1"/>
      <c r="V67" s="5">
        <f t="shared" si="41"/>
        <v>0.16536885245901639</v>
      </c>
      <c r="W67" s="1"/>
      <c r="X67" s="1">
        <f t="shared" si="42"/>
        <v>258.69999999999982</v>
      </c>
      <c r="Y67" s="1"/>
      <c r="Z67" s="5">
        <f t="shared" si="43"/>
        <v>6.4114002478314697E-2</v>
      </c>
    </row>
    <row r="68" spans="1:26" s="24" customFormat="1" hidden="1" outlineLevel="2" x14ac:dyDescent="0.25">
      <c r="A68" s="29"/>
      <c r="B68" s="11" t="str">
        <f>CONCATENATE("          ", "6282", " - ", "JANITORIAL/EXTERMINATOR EXPENS")</f>
        <v xml:space="preserve">          6282 - JANITORIAL/EXTERMINATOR EXPENS</v>
      </c>
      <c r="C68" s="11"/>
      <c r="D68" s="7">
        <v>328.54</v>
      </c>
      <c r="E68" s="2"/>
      <c r="F68" s="6">
        <f t="shared" si="36"/>
        <v>1.2979168304502809E-2</v>
      </c>
      <c r="G68" s="2"/>
      <c r="H68" s="7">
        <v>350</v>
      </c>
      <c r="I68" s="2"/>
      <c r="J68" s="6">
        <f t="shared" si="37"/>
        <v>1.4344262295081968E-2</v>
      </c>
      <c r="K68" s="2"/>
      <c r="L68" s="7">
        <f t="shared" si="38"/>
        <v>-21.45999999999998</v>
      </c>
      <c r="M68" s="2"/>
      <c r="N68" s="6">
        <f t="shared" si="39"/>
        <v>-6.1314285714285655E-2</v>
      </c>
      <c r="O68" s="11"/>
      <c r="P68" s="7">
        <v>328.54</v>
      </c>
      <c r="Q68" s="2"/>
      <c r="R68" s="6">
        <f t="shared" si="40"/>
        <v>1.2979168304502809E-2</v>
      </c>
      <c r="S68" s="2"/>
      <c r="T68" s="7">
        <v>350</v>
      </c>
      <c r="U68" s="2"/>
      <c r="V68" s="6">
        <f t="shared" si="41"/>
        <v>1.4344262295081968E-2</v>
      </c>
      <c r="W68" s="2"/>
      <c r="X68" s="7">
        <f t="shared" si="42"/>
        <v>-21.45999999999998</v>
      </c>
      <c r="Y68" s="2"/>
      <c r="Z68" s="6">
        <f t="shared" si="43"/>
        <v>-6.1314285714285655E-2</v>
      </c>
    </row>
    <row r="69" spans="1:26" s="24" customFormat="1" hidden="1" outlineLevel="2" x14ac:dyDescent="0.25">
      <c r="A69" s="29"/>
      <c r="B69" s="11" t="str">
        <f>CONCATENATE("          ", "6283", " - ", "PLANT SERVICE")</f>
        <v xml:space="preserve">          6283 - PLANT SERVICE</v>
      </c>
      <c r="C69" s="11"/>
      <c r="D69" s="7">
        <v>61.55</v>
      </c>
      <c r="E69" s="2"/>
      <c r="F69" s="6">
        <f t="shared" si="36"/>
        <v>2.4315693953313078E-3</v>
      </c>
      <c r="G69" s="2"/>
      <c r="H69" s="7">
        <v>60</v>
      </c>
      <c r="I69" s="2"/>
      <c r="J69" s="6">
        <f t="shared" si="37"/>
        <v>2.4590163934426232E-3</v>
      </c>
      <c r="K69" s="2"/>
      <c r="L69" s="7">
        <f t="shared" si="38"/>
        <v>1.5499999999999972</v>
      </c>
      <c r="M69" s="2"/>
      <c r="N69" s="6">
        <f t="shared" si="39"/>
        <v>2.5833333333333285E-2</v>
      </c>
      <c r="O69" s="11"/>
      <c r="P69" s="7">
        <v>61.55</v>
      </c>
      <c r="Q69" s="2"/>
      <c r="R69" s="6">
        <f t="shared" si="40"/>
        <v>2.4315693953313078E-3</v>
      </c>
      <c r="S69" s="2"/>
      <c r="T69" s="7">
        <v>60</v>
      </c>
      <c r="U69" s="2"/>
      <c r="V69" s="6">
        <f t="shared" si="41"/>
        <v>2.4590163934426232E-3</v>
      </c>
      <c r="W69" s="2"/>
      <c r="X69" s="7">
        <f t="shared" si="42"/>
        <v>1.5499999999999972</v>
      </c>
      <c r="Y69" s="2"/>
      <c r="Z69" s="6">
        <f t="shared" si="43"/>
        <v>2.5833333333333285E-2</v>
      </c>
    </row>
    <row r="70" spans="1:26" s="24" customFormat="1" hidden="1" outlineLevel="2" x14ac:dyDescent="0.25">
      <c r="A70" s="29"/>
      <c r="B70" s="11" t="str">
        <f>CONCATENATE("          ", "6284", " - ", "TRASH REMOVAL EXPENSE")</f>
        <v xml:space="preserve">          6284 - TRASH REMOVAL EXPENSE</v>
      </c>
      <c r="C70" s="11"/>
      <c r="D70" s="7">
        <v>623</v>
      </c>
      <c r="E70" s="2"/>
      <c r="F70" s="6">
        <f t="shared" si="36"/>
        <v>2.4611985918625585E-2</v>
      </c>
      <c r="G70" s="2"/>
      <c r="H70" s="7">
        <v>475</v>
      </c>
      <c r="I70" s="2"/>
      <c r="J70" s="6">
        <f t="shared" si="37"/>
        <v>1.9467213114754099E-2</v>
      </c>
      <c r="K70" s="2"/>
      <c r="L70" s="7">
        <f t="shared" si="38"/>
        <v>148</v>
      </c>
      <c r="M70" s="2"/>
      <c r="N70" s="6">
        <f t="shared" si="39"/>
        <v>0.31157894736842107</v>
      </c>
      <c r="O70" s="11"/>
      <c r="P70" s="7">
        <v>623</v>
      </c>
      <c r="Q70" s="2"/>
      <c r="R70" s="6">
        <f t="shared" si="40"/>
        <v>2.4611985918625585E-2</v>
      </c>
      <c r="S70" s="2"/>
      <c r="T70" s="7">
        <v>475</v>
      </c>
      <c r="U70" s="2"/>
      <c r="V70" s="6">
        <f t="shared" si="41"/>
        <v>1.9467213114754099E-2</v>
      </c>
      <c r="W70" s="2"/>
      <c r="X70" s="7">
        <f t="shared" si="42"/>
        <v>148</v>
      </c>
      <c r="Y70" s="2"/>
      <c r="Z70" s="6">
        <f t="shared" si="43"/>
        <v>0.31157894736842107</v>
      </c>
    </row>
    <row r="71" spans="1:26" s="24" customFormat="1" hidden="1" outlineLevel="2" x14ac:dyDescent="0.25">
      <c r="A71" s="29"/>
      <c r="B71" s="11" t="str">
        <f>CONCATENATE("          ", "6285", " - ", "JANITORIAL SERVICES")</f>
        <v xml:space="preserve">          6285 - JANITORIAL SERVICES</v>
      </c>
      <c r="C71" s="11"/>
      <c r="D71" s="7">
        <v>3040.95</v>
      </c>
      <c r="E71" s="2"/>
      <c r="F71" s="6">
        <f t="shared" si="36"/>
        <v>0.1201345402556091</v>
      </c>
      <c r="G71" s="2"/>
      <c r="H71" s="7">
        <v>3000</v>
      </c>
      <c r="I71" s="2"/>
      <c r="J71" s="6">
        <f t="shared" si="37"/>
        <v>0.12295081967213115</v>
      </c>
      <c r="K71" s="2"/>
      <c r="L71" s="7">
        <f t="shared" si="38"/>
        <v>40.949999999999818</v>
      </c>
      <c r="M71" s="2"/>
      <c r="N71" s="6">
        <f t="shared" si="39"/>
        <v>1.364999999999994E-2</v>
      </c>
      <c r="O71" s="11"/>
      <c r="P71" s="7">
        <v>3040.95</v>
      </c>
      <c r="Q71" s="2"/>
      <c r="R71" s="6">
        <f t="shared" si="40"/>
        <v>0.1201345402556091</v>
      </c>
      <c r="S71" s="2"/>
      <c r="T71" s="7">
        <v>3000</v>
      </c>
      <c r="U71" s="2"/>
      <c r="V71" s="6">
        <f t="shared" si="41"/>
        <v>0.12295081967213115</v>
      </c>
      <c r="W71" s="2"/>
      <c r="X71" s="7">
        <f t="shared" si="42"/>
        <v>40.949999999999818</v>
      </c>
      <c r="Y71" s="2"/>
      <c r="Z71" s="6">
        <f t="shared" si="43"/>
        <v>1.364999999999994E-2</v>
      </c>
    </row>
    <row r="72" spans="1:26" s="24" customFormat="1" hidden="1" outlineLevel="2" x14ac:dyDescent="0.25">
      <c r="A72" s="29"/>
      <c r="B72" s="11" t="str">
        <f>CONCATENATE("          ", "6286", " - ", "LAUNDRY EXPENSE")</f>
        <v xml:space="preserve">          6286 - LAUNDRY EXPENSE</v>
      </c>
      <c r="C72" s="11"/>
      <c r="D72" s="7">
        <v>239.66</v>
      </c>
      <c r="E72" s="2"/>
      <c r="F72" s="6">
        <f t="shared" si="36"/>
        <v>9.4679109875727245E-3</v>
      </c>
      <c r="G72" s="2"/>
      <c r="H72" s="7">
        <v>150</v>
      </c>
      <c r="I72" s="2"/>
      <c r="J72" s="6">
        <f t="shared" si="37"/>
        <v>6.1475409836065573E-3</v>
      </c>
      <c r="K72" s="2"/>
      <c r="L72" s="7">
        <f t="shared" si="38"/>
        <v>89.66</v>
      </c>
      <c r="M72" s="2"/>
      <c r="N72" s="6">
        <f t="shared" si="39"/>
        <v>0.59773333333333334</v>
      </c>
      <c r="O72" s="11"/>
      <c r="P72" s="7">
        <v>239.66</v>
      </c>
      <c r="Q72" s="2"/>
      <c r="R72" s="6">
        <f t="shared" si="40"/>
        <v>9.4679109875727245E-3</v>
      </c>
      <c r="S72" s="2"/>
      <c r="T72" s="7">
        <v>150</v>
      </c>
      <c r="U72" s="2"/>
      <c r="V72" s="6">
        <f t="shared" si="41"/>
        <v>6.1475409836065573E-3</v>
      </c>
      <c r="W72" s="2"/>
      <c r="X72" s="7">
        <f t="shared" si="42"/>
        <v>89.66</v>
      </c>
      <c r="Y72" s="2"/>
      <c r="Z72" s="6">
        <f t="shared" si="43"/>
        <v>0.59773333333333334</v>
      </c>
    </row>
    <row r="73" spans="1:26" s="27" customFormat="1" outlineLevel="1" collapsed="1" x14ac:dyDescent="0.25">
      <c r="A73" s="28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SUM(OSRRefD22_13x_0)</f>
        <v>196.71</v>
      </c>
      <c r="E73" s="1"/>
      <c r="F73" s="5">
        <f t="shared" ref="F73:F82" si="44">IF(D$12=0,0,D73/D$12)</f>
        <v>7.7711456662164355E-3</v>
      </c>
      <c r="G73" s="1"/>
      <c r="H73" s="1">
        <f>SUM(OSRRefH22_13x_0)</f>
        <v>200</v>
      </c>
      <c r="I73" s="1"/>
      <c r="J73" s="5">
        <f t="shared" ref="J73:J82" si="45">IF(H$12=0,0,H73/H$12)</f>
        <v>8.1967213114754103E-3</v>
      </c>
      <c r="K73" s="1"/>
      <c r="L73" s="1">
        <f t="shared" ref="L73:L82" si="46">+D73-H73</f>
        <v>-3.289999999999992</v>
      </c>
      <c r="M73" s="1"/>
      <c r="N73" s="5">
        <f t="shared" ref="N73:N82" si="47">IF(H73=0,0,L73/H73)</f>
        <v>-1.6449999999999961E-2</v>
      </c>
      <c r="O73" s="14"/>
      <c r="P73" s="1">
        <f>SUM(OSRRefP22_13x_0)</f>
        <v>196.71</v>
      </c>
      <c r="Q73" s="1"/>
      <c r="R73" s="5">
        <f t="shared" ref="R73:R82" si="48">IF(P$12=0,0,P73/P$12)</f>
        <v>7.7711456662164355E-3</v>
      </c>
      <c r="S73" s="1"/>
      <c r="T73" s="1">
        <f>SUM(OSRRefT22_13x_0)</f>
        <v>200</v>
      </c>
      <c r="U73" s="1"/>
      <c r="V73" s="5">
        <f t="shared" ref="V73:V82" si="49">IF(T$12=0,0,T73/T$12)</f>
        <v>8.1967213114754103E-3</v>
      </c>
      <c r="W73" s="1"/>
      <c r="X73" s="1">
        <f t="shared" ref="X73:X82" si="50">+P73-T73</f>
        <v>-3.289999999999992</v>
      </c>
      <c r="Y73" s="1"/>
      <c r="Z73" s="5">
        <f t="shared" ref="Z73:Z82" si="51">IF(T73=0,0,X73/T73)</f>
        <v>-1.6449999999999961E-2</v>
      </c>
    </row>
    <row r="74" spans="1:26" s="24" customFormat="1" hidden="1" outlineLevel="2" x14ac:dyDescent="0.25">
      <c r="A74" s="29"/>
      <c r="B74" s="11" t="str">
        <f>CONCATENATE("          ", "6275", " - ", "SUBSCRIPTIONS")</f>
        <v xml:space="preserve">          6275 - SUBSCRIPTIONS</v>
      </c>
      <c r="C74" s="11"/>
      <c r="D74" s="7">
        <v>196.71</v>
      </c>
      <c r="E74" s="2"/>
      <c r="F74" s="6">
        <f t="shared" si="44"/>
        <v>7.7711456662164355E-3</v>
      </c>
      <c r="G74" s="2"/>
      <c r="H74" s="7">
        <v>200</v>
      </c>
      <c r="I74" s="2"/>
      <c r="J74" s="6">
        <f t="shared" si="45"/>
        <v>8.1967213114754103E-3</v>
      </c>
      <c r="K74" s="2"/>
      <c r="L74" s="7">
        <f t="shared" si="46"/>
        <v>-3.289999999999992</v>
      </c>
      <c r="M74" s="2"/>
      <c r="N74" s="6">
        <f t="shared" si="47"/>
        <v>-1.6449999999999961E-2</v>
      </c>
      <c r="O74" s="11"/>
      <c r="P74" s="7">
        <v>196.71</v>
      </c>
      <c r="Q74" s="2"/>
      <c r="R74" s="6">
        <f t="shared" si="48"/>
        <v>7.7711456662164355E-3</v>
      </c>
      <c r="S74" s="2"/>
      <c r="T74" s="7">
        <v>200</v>
      </c>
      <c r="U74" s="2"/>
      <c r="V74" s="6">
        <f t="shared" si="49"/>
        <v>8.1967213114754103E-3</v>
      </c>
      <c r="W74" s="2"/>
      <c r="X74" s="7">
        <f t="shared" si="50"/>
        <v>-3.289999999999992</v>
      </c>
      <c r="Y74" s="2"/>
      <c r="Z74" s="6">
        <f t="shared" si="51"/>
        <v>-1.6449999999999961E-2</v>
      </c>
    </row>
    <row r="75" spans="1:26" s="27" customFormat="1" outlineLevel="1" collapsed="1" x14ac:dyDescent="0.25">
      <c r="A75" s="28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SUM(OSRRefD22_14x_0)</f>
        <v>988.7600000000001</v>
      </c>
      <c r="E75" s="1"/>
      <c r="F75" s="5">
        <f t="shared" si="44"/>
        <v>3.9061552482985935E-2</v>
      </c>
      <c r="G75" s="1"/>
      <c r="H75" s="1">
        <f>SUM(OSRRefH22_14x_0)</f>
        <v>2210</v>
      </c>
      <c r="I75" s="1"/>
      <c r="J75" s="5">
        <f t="shared" si="45"/>
        <v>9.0573770491803277E-2</v>
      </c>
      <c r="K75" s="1"/>
      <c r="L75" s="1">
        <f t="shared" si="46"/>
        <v>-1221.2399999999998</v>
      </c>
      <c r="M75" s="1"/>
      <c r="N75" s="5">
        <f t="shared" si="47"/>
        <v>-0.5525972850678732</v>
      </c>
      <c r="O75" s="14"/>
      <c r="P75" s="1">
        <f>SUM(OSRRefP22_14x_0)</f>
        <v>988.7600000000001</v>
      </c>
      <c r="Q75" s="1"/>
      <c r="R75" s="5">
        <f t="shared" si="48"/>
        <v>3.9061552482985935E-2</v>
      </c>
      <c r="S75" s="1"/>
      <c r="T75" s="1">
        <f>SUM(OSRRefT22_14x_0)</f>
        <v>2210</v>
      </c>
      <c r="U75" s="1"/>
      <c r="V75" s="5">
        <f t="shared" si="49"/>
        <v>9.0573770491803277E-2</v>
      </c>
      <c r="W75" s="1"/>
      <c r="X75" s="1">
        <f t="shared" si="50"/>
        <v>-1221.2399999999998</v>
      </c>
      <c r="Y75" s="1"/>
      <c r="Z75" s="5">
        <f t="shared" si="51"/>
        <v>-0.5525972850678732</v>
      </c>
    </row>
    <row r="76" spans="1:26" s="24" customFormat="1" hidden="1" outlineLevel="2" x14ac:dyDescent="0.25">
      <c r="A76" s="29"/>
      <c r="B76" s="11" t="str">
        <f>CONCATENATE("          ", "6234", " - ", "EXPENDABLE SUPPLIES &amp; EQUIPMEN")</f>
        <v xml:space="preserve">          6234 - EXPENDABLE SUPPLIES &amp; EQUIPMEN</v>
      </c>
      <c r="C76" s="11"/>
      <c r="D76" s="7"/>
      <c r="E76" s="2"/>
      <c r="F76" s="6">
        <f t="shared" si="44"/>
        <v>0</v>
      </c>
      <c r="G76" s="2"/>
      <c r="H76" s="7">
        <v>200</v>
      </c>
      <c r="I76" s="2"/>
      <c r="J76" s="6">
        <f t="shared" si="45"/>
        <v>8.1967213114754103E-3</v>
      </c>
      <c r="K76" s="2"/>
      <c r="L76" s="7">
        <f t="shared" si="46"/>
        <v>-200</v>
      </c>
      <c r="M76" s="2"/>
      <c r="N76" s="6">
        <f t="shared" si="47"/>
        <v>-1</v>
      </c>
      <c r="O76" s="11"/>
      <c r="P76" s="7"/>
      <c r="Q76" s="2"/>
      <c r="R76" s="6">
        <f t="shared" si="48"/>
        <v>0</v>
      </c>
      <c r="S76" s="2"/>
      <c r="T76" s="7">
        <v>200</v>
      </c>
      <c r="U76" s="2"/>
      <c r="V76" s="6">
        <f t="shared" si="49"/>
        <v>8.1967213114754103E-3</v>
      </c>
      <c r="W76" s="2"/>
      <c r="X76" s="7">
        <f t="shared" si="50"/>
        <v>-200</v>
      </c>
      <c r="Y76" s="2"/>
      <c r="Z76" s="6">
        <f t="shared" si="51"/>
        <v>-1</v>
      </c>
    </row>
    <row r="77" spans="1:26" s="24" customFormat="1" hidden="1" outlineLevel="2" x14ac:dyDescent="0.25">
      <c r="A77" s="29"/>
      <c r="B77" s="11" t="str">
        <f>CONCATENATE("          ", "6237", " - ", "JANITORIAL SUPPLIES")</f>
        <v xml:space="preserve">          6237 - JANITORIAL SUPPLIES</v>
      </c>
      <c r="C77" s="11"/>
      <c r="D77" s="7">
        <v>522.86</v>
      </c>
      <c r="E77" s="2"/>
      <c r="F77" s="6">
        <f t="shared" si="44"/>
        <v>2.0655895597772991E-2</v>
      </c>
      <c r="G77" s="2"/>
      <c r="H77" s="7">
        <v>250</v>
      </c>
      <c r="I77" s="2"/>
      <c r="J77" s="6">
        <f t="shared" si="45"/>
        <v>1.0245901639344262E-2</v>
      </c>
      <c r="K77" s="2"/>
      <c r="L77" s="7">
        <f t="shared" si="46"/>
        <v>272.86</v>
      </c>
      <c r="M77" s="2"/>
      <c r="N77" s="6">
        <f t="shared" si="47"/>
        <v>1.09144</v>
      </c>
      <c r="O77" s="11"/>
      <c r="P77" s="7">
        <v>522.86</v>
      </c>
      <c r="Q77" s="2"/>
      <c r="R77" s="6">
        <f t="shared" si="48"/>
        <v>2.0655895597772991E-2</v>
      </c>
      <c r="S77" s="2"/>
      <c r="T77" s="7">
        <v>250</v>
      </c>
      <c r="U77" s="2"/>
      <c r="V77" s="6">
        <f t="shared" si="49"/>
        <v>1.0245901639344262E-2</v>
      </c>
      <c r="W77" s="2"/>
      <c r="X77" s="7">
        <f t="shared" si="50"/>
        <v>272.86</v>
      </c>
      <c r="Y77" s="2"/>
      <c r="Z77" s="6">
        <f t="shared" si="51"/>
        <v>1.09144</v>
      </c>
    </row>
    <row r="78" spans="1:26" s="24" customFormat="1" hidden="1" outlineLevel="2" x14ac:dyDescent="0.25">
      <c r="A78" s="29"/>
      <c r="B78" s="11" t="str">
        <f>CONCATENATE("          ", "6239", " - ", "KITCHEN SUPPLIES")</f>
        <v xml:space="preserve">          6239 - KITCHEN SUPPLIES</v>
      </c>
      <c r="C78" s="11"/>
      <c r="D78" s="7">
        <v>63.23</v>
      </c>
      <c r="E78" s="2"/>
      <c r="F78" s="6">
        <f t="shared" si="44"/>
        <v>2.4979387955613094E-3</v>
      </c>
      <c r="G78" s="2"/>
      <c r="H78" s="7">
        <v>250</v>
      </c>
      <c r="I78" s="2"/>
      <c r="J78" s="6">
        <f t="shared" si="45"/>
        <v>1.0245901639344262E-2</v>
      </c>
      <c r="K78" s="2"/>
      <c r="L78" s="7">
        <f t="shared" si="46"/>
        <v>-186.77</v>
      </c>
      <c r="M78" s="2"/>
      <c r="N78" s="6">
        <f t="shared" si="47"/>
        <v>-0.74708000000000008</v>
      </c>
      <c r="O78" s="11"/>
      <c r="P78" s="7">
        <v>63.23</v>
      </c>
      <c r="Q78" s="2"/>
      <c r="R78" s="6">
        <f t="shared" si="48"/>
        <v>2.4979387955613094E-3</v>
      </c>
      <c r="S78" s="2"/>
      <c r="T78" s="7">
        <v>250</v>
      </c>
      <c r="U78" s="2"/>
      <c r="V78" s="6">
        <f t="shared" si="49"/>
        <v>1.0245901639344262E-2</v>
      </c>
      <c r="W78" s="2"/>
      <c r="X78" s="7">
        <f t="shared" si="50"/>
        <v>-186.77</v>
      </c>
      <c r="Y78" s="2"/>
      <c r="Z78" s="6">
        <f t="shared" si="51"/>
        <v>-0.74708000000000008</v>
      </c>
    </row>
    <row r="79" spans="1:26" s="24" customFormat="1" hidden="1" outlineLevel="2" x14ac:dyDescent="0.25">
      <c r="A79" s="29"/>
      <c r="B79" s="11" t="str">
        <f>CONCATENATE("          ", "6241", " - ", "OFFICE EXPENSE")</f>
        <v xml:space="preserve">          6241 - OFFICE EXPENSE</v>
      </c>
      <c r="C79" s="11"/>
      <c r="D79" s="7">
        <v>44.06</v>
      </c>
      <c r="E79" s="2"/>
      <c r="F79" s="6">
        <f t="shared" si="44"/>
        <v>1.7406165322225416E-3</v>
      </c>
      <c r="G79" s="2"/>
      <c r="H79" s="7">
        <v>150</v>
      </c>
      <c r="I79" s="2"/>
      <c r="J79" s="6">
        <f t="shared" si="45"/>
        <v>6.1475409836065573E-3</v>
      </c>
      <c r="K79" s="2"/>
      <c r="L79" s="7">
        <f t="shared" si="46"/>
        <v>-105.94</v>
      </c>
      <c r="M79" s="2"/>
      <c r="N79" s="6">
        <f t="shared" si="47"/>
        <v>-0.7062666666666666</v>
      </c>
      <c r="O79" s="11"/>
      <c r="P79" s="7">
        <v>44.06</v>
      </c>
      <c r="Q79" s="2"/>
      <c r="R79" s="6">
        <f t="shared" si="48"/>
        <v>1.7406165322225416E-3</v>
      </c>
      <c r="S79" s="2"/>
      <c r="T79" s="7">
        <v>150</v>
      </c>
      <c r="U79" s="2"/>
      <c r="V79" s="6">
        <f t="shared" si="49"/>
        <v>6.1475409836065573E-3</v>
      </c>
      <c r="W79" s="2"/>
      <c r="X79" s="7">
        <f t="shared" si="50"/>
        <v>-105.94</v>
      </c>
      <c r="Y79" s="2"/>
      <c r="Z79" s="6">
        <f t="shared" si="51"/>
        <v>-0.7062666666666666</v>
      </c>
    </row>
    <row r="80" spans="1:26" s="24" customFormat="1" hidden="1" outlineLevel="2" x14ac:dyDescent="0.25">
      <c r="A80" s="29"/>
      <c r="B80" s="11" t="str">
        <f>CONCATENATE("          ", "6243", " - ", "PAPER SUPPLIES")</f>
        <v xml:space="preserve">          6243 - PAPER SUPPLIES</v>
      </c>
      <c r="C80" s="11"/>
      <c r="D80" s="7">
        <v>358.61</v>
      </c>
      <c r="E80" s="2"/>
      <c r="F80" s="6">
        <f t="shared" si="44"/>
        <v>1.4167101557429087E-2</v>
      </c>
      <c r="G80" s="2"/>
      <c r="H80" s="7">
        <v>500</v>
      </c>
      <c r="I80" s="2"/>
      <c r="J80" s="6">
        <f t="shared" si="45"/>
        <v>2.0491803278688523E-2</v>
      </c>
      <c r="K80" s="2"/>
      <c r="L80" s="7">
        <f t="shared" si="46"/>
        <v>-141.38999999999999</v>
      </c>
      <c r="M80" s="2"/>
      <c r="N80" s="6">
        <f t="shared" si="47"/>
        <v>-0.28277999999999998</v>
      </c>
      <c r="O80" s="11"/>
      <c r="P80" s="7">
        <v>358.61</v>
      </c>
      <c r="Q80" s="2"/>
      <c r="R80" s="6">
        <f t="shared" si="48"/>
        <v>1.4167101557429087E-2</v>
      </c>
      <c r="S80" s="2"/>
      <c r="T80" s="7">
        <v>500</v>
      </c>
      <c r="U80" s="2"/>
      <c r="V80" s="6">
        <f t="shared" si="49"/>
        <v>2.0491803278688523E-2</v>
      </c>
      <c r="W80" s="2"/>
      <c r="X80" s="7">
        <f t="shared" si="50"/>
        <v>-141.38999999999999</v>
      </c>
      <c r="Y80" s="2"/>
      <c r="Z80" s="6">
        <f t="shared" si="51"/>
        <v>-0.28277999999999998</v>
      </c>
    </row>
    <row r="81" spans="1:26" s="24" customFormat="1" hidden="1" outlineLevel="2" x14ac:dyDescent="0.25">
      <c r="A81" s="29"/>
      <c r="B81" s="11" t="str">
        <f>CONCATENATE("          ", "6244", " - ", "SAFETY SUPPLY EXPENSE")</f>
        <v xml:space="preserve">          6244 - SAFETY SUPPLY EXPENSE</v>
      </c>
      <c r="C81" s="11"/>
      <c r="D81" s="7"/>
      <c r="E81" s="2"/>
      <c r="F81" s="6">
        <f t="shared" si="44"/>
        <v>0</v>
      </c>
      <c r="G81" s="2"/>
      <c r="H81" s="7">
        <v>60</v>
      </c>
      <c r="I81" s="2"/>
      <c r="J81" s="6">
        <f t="shared" si="45"/>
        <v>2.4590163934426232E-3</v>
      </c>
      <c r="K81" s="2"/>
      <c r="L81" s="7">
        <f t="shared" si="46"/>
        <v>-60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60</v>
      </c>
      <c r="U81" s="2"/>
      <c r="V81" s="6">
        <f t="shared" si="49"/>
        <v>2.4590163934426232E-3</v>
      </c>
      <c r="W81" s="2"/>
      <c r="X81" s="7">
        <f t="shared" si="50"/>
        <v>-60</v>
      </c>
      <c r="Y81" s="2"/>
      <c r="Z81" s="6">
        <f t="shared" si="51"/>
        <v>-1</v>
      </c>
    </row>
    <row r="82" spans="1:26" s="24" customFormat="1" hidden="1" outlineLevel="2" x14ac:dyDescent="0.25">
      <c r="A82" s="29"/>
      <c r="B82" s="11" t="str">
        <f>CONCATENATE("          ", "6248", " - ", "UNIFORMS")</f>
        <v xml:space="preserve">          6248 - UNIFORMS</v>
      </c>
      <c r="C82" s="11"/>
      <c r="D82" s="7"/>
      <c r="E82" s="2"/>
      <c r="F82" s="6">
        <f t="shared" si="44"/>
        <v>0</v>
      </c>
      <c r="G82" s="2"/>
      <c r="H82" s="7">
        <v>800</v>
      </c>
      <c r="I82" s="2"/>
      <c r="J82" s="6">
        <f t="shared" si="45"/>
        <v>3.2786885245901641E-2</v>
      </c>
      <c r="K82" s="2"/>
      <c r="L82" s="7">
        <f t="shared" si="46"/>
        <v>-800</v>
      </c>
      <c r="M82" s="2"/>
      <c r="N82" s="6">
        <f t="shared" si="47"/>
        <v>-1</v>
      </c>
      <c r="O82" s="11"/>
      <c r="P82" s="7"/>
      <c r="Q82" s="2"/>
      <c r="R82" s="6">
        <f t="shared" si="48"/>
        <v>0</v>
      </c>
      <c r="S82" s="2"/>
      <c r="T82" s="7">
        <v>800</v>
      </c>
      <c r="U82" s="2"/>
      <c r="V82" s="6">
        <f t="shared" si="49"/>
        <v>3.2786885245901641E-2</v>
      </c>
      <c r="W82" s="2"/>
      <c r="X82" s="7">
        <f t="shared" si="50"/>
        <v>-800</v>
      </c>
      <c r="Y82" s="2"/>
      <c r="Z82" s="6">
        <f t="shared" si="51"/>
        <v>-1</v>
      </c>
    </row>
    <row r="83" spans="1:26" s="27" customFormat="1" outlineLevel="1" collapsed="1" x14ac:dyDescent="0.25">
      <c r="A83" s="28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SUM(OSRRefD22_15x_0)</f>
        <v>92</v>
      </c>
      <c r="E83" s="1"/>
      <c r="F83" s="5">
        <f t="shared" ref="F83:F87" si="52">IF(D$12=0,0,D83/D$12)</f>
        <v>3.6345147745000866E-3</v>
      </c>
      <c r="G83" s="1"/>
      <c r="H83" s="1">
        <f>SUM(OSRRefH22_15x_0)</f>
        <v>150</v>
      </c>
      <c r="I83" s="1"/>
      <c r="J83" s="5">
        <f t="shared" ref="J83:J87" si="53">IF(H$12=0,0,H83/H$12)</f>
        <v>6.1475409836065573E-3</v>
      </c>
      <c r="K83" s="1"/>
      <c r="L83" s="1">
        <f t="shared" ref="L83:L87" si="54">+D83-H83</f>
        <v>-58</v>
      </c>
      <c r="M83" s="1"/>
      <c r="N83" s="5">
        <f t="shared" ref="N83:N87" si="55">IF(H83=0,0,L83/H83)</f>
        <v>-0.38666666666666666</v>
      </c>
      <c r="O83" s="14"/>
      <c r="P83" s="1">
        <f>SUM(OSRRefP22_15x_0)</f>
        <v>92</v>
      </c>
      <c r="Q83" s="1"/>
      <c r="R83" s="5">
        <f t="shared" ref="R83:R87" si="56">IF(P$12=0,0,P83/P$12)</f>
        <v>3.6345147745000866E-3</v>
      </c>
      <c r="S83" s="1"/>
      <c r="T83" s="1">
        <f>SUM(OSRRefT22_15x_0)</f>
        <v>150</v>
      </c>
      <c r="U83" s="1"/>
      <c r="V83" s="5">
        <f t="shared" ref="V83:V87" si="57">IF(T$12=0,0,T83/T$12)</f>
        <v>6.1475409836065573E-3</v>
      </c>
      <c r="W83" s="1"/>
      <c r="X83" s="1">
        <f t="shared" ref="X83:X87" si="58">+P83-T83</f>
        <v>-58</v>
      </c>
      <c r="Y83" s="1"/>
      <c r="Z83" s="5">
        <f t="shared" ref="Z83:Z87" si="59">IF(T83=0,0,X83/T83)</f>
        <v>-0.38666666666666666</v>
      </c>
    </row>
    <row r="84" spans="1:26" s="24" customFormat="1" hidden="1" outlineLevel="2" x14ac:dyDescent="0.25">
      <c r="A84" s="29"/>
      <c r="B84" s="11" t="str">
        <f>CONCATENATE("          ", "6309", " - ", "TELEPHONE")</f>
        <v xml:space="preserve">          6309 - TELEPHONE</v>
      </c>
      <c r="C84" s="11"/>
      <c r="D84" s="7">
        <v>92</v>
      </c>
      <c r="E84" s="2"/>
      <c r="F84" s="6">
        <f t="shared" si="52"/>
        <v>3.6345147745000866E-3</v>
      </c>
      <c r="G84" s="2"/>
      <c r="H84" s="7">
        <v>150</v>
      </c>
      <c r="I84" s="2"/>
      <c r="J84" s="6">
        <f t="shared" si="53"/>
        <v>6.1475409836065573E-3</v>
      </c>
      <c r="K84" s="2"/>
      <c r="L84" s="7">
        <f t="shared" si="54"/>
        <v>-58</v>
      </c>
      <c r="M84" s="2"/>
      <c r="N84" s="6">
        <f t="shared" si="55"/>
        <v>-0.38666666666666666</v>
      </c>
      <c r="O84" s="11"/>
      <c r="P84" s="7">
        <v>92</v>
      </c>
      <c r="Q84" s="2"/>
      <c r="R84" s="6">
        <f t="shared" si="56"/>
        <v>3.6345147745000866E-3</v>
      </c>
      <c r="S84" s="2"/>
      <c r="T84" s="7">
        <v>150</v>
      </c>
      <c r="U84" s="2"/>
      <c r="V84" s="6">
        <f t="shared" si="57"/>
        <v>6.1475409836065573E-3</v>
      </c>
      <c r="W84" s="2"/>
      <c r="X84" s="7">
        <f t="shared" si="58"/>
        <v>-58</v>
      </c>
      <c r="Y84" s="2"/>
      <c r="Z84" s="6">
        <f t="shared" si="59"/>
        <v>-0.38666666666666666</v>
      </c>
    </row>
    <row r="85" spans="1:26" s="27" customFormat="1" outlineLevel="1" collapsed="1" x14ac:dyDescent="0.25">
      <c r="A85" s="28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SUM(OSRRefD22_16x_0)</f>
        <v>0</v>
      </c>
      <c r="E85" s="1"/>
      <c r="F85" s="5">
        <f t="shared" si="52"/>
        <v>0</v>
      </c>
      <c r="G85" s="1"/>
      <c r="H85" s="1">
        <f>SUM(OSRRefH22_16x_0)</f>
        <v>1200</v>
      </c>
      <c r="I85" s="1"/>
      <c r="J85" s="5">
        <f t="shared" si="53"/>
        <v>4.9180327868852458E-2</v>
      </c>
      <c r="K85" s="1"/>
      <c r="L85" s="1">
        <f t="shared" si="54"/>
        <v>-1200</v>
      </c>
      <c r="M85" s="1"/>
      <c r="N85" s="5">
        <f t="shared" si="55"/>
        <v>-1</v>
      </c>
      <c r="O85" s="14"/>
      <c r="P85" s="1">
        <f>SUM(OSRRefP22_16x_0)</f>
        <v>0</v>
      </c>
      <c r="Q85" s="1"/>
      <c r="R85" s="5">
        <f t="shared" si="56"/>
        <v>0</v>
      </c>
      <c r="S85" s="1"/>
      <c r="T85" s="1">
        <f>SUM(OSRRefT22_16x_0)</f>
        <v>1200</v>
      </c>
      <c r="U85" s="1"/>
      <c r="V85" s="5">
        <f t="shared" si="57"/>
        <v>4.9180327868852458E-2</v>
      </c>
      <c r="W85" s="1"/>
      <c r="X85" s="1">
        <f t="shared" si="58"/>
        <v>-1200</v>
      </c>
      <c r="Y85" s="1"/>
      <c r="Z85" s="5">
        <f t="shared" si="59"/>
        <v>-1</v>
      </c>
    </row>
    <row r="86" spans="1:26" s="24" customFormat="1" hidden="1" outlineLevel="2" x14ac:dyDescent="0.25">
      <c r="A86" s="29"/>
      <c r="B86" s="11" t="str">
        <f>CONCATENATE("          ", "6292", " - ", "TRAVEL/CONFERENCE")</f>
        <v xml:space="preserve">          6292 - TRAVEL/CONFERENCE</v>
      </c>
      <c r="C86" s="11"/>
      <c r="D86" s="7"/>
      <c r="E86" s="2"/>
      <c r="F86" s="6">
        <f t="shared" si="52"/>
        <v>0</v>
      </c>
      <c r="G86" s="2"/>
      <c r="H86" s="7">
        <v>1200</v>
      </c>
      <c r="I86" s="2"/>
      <c r="J86" s="6">
        <f t="shared" si="53"/>
        <v>4.9180327868852458E-2</v>
      </c>
      <c r="K86" s="2"/>
      <c r="L86" s="7">
        <f t="shared" si="54"/>
        <v>-1200</v>
      </c>
      <c r="M86" s="2"/>
      <c r="N86" s="6">
        <f t="shared" si="55"/>
        <v>-1</v>
      </c>
      <c r="O86" s="11"/>
      <c r="P86" s="7"/>
      <c r="Q86" s="2"/>
      <c r="R86" s="6">
        <f t="shared" si="56"/>
        <v>0</v>
      </c>
      <c r="S86" s="2"/>
      <c r="T86" s="7">
        <v>1200</v>
      </c>
      <c r="U86" s="2"/>
      <c r="V86" s="6">
        <f t="shared" si="57"/>
        <v>4.9180327868852458E-2</v>
      </c>
      <c r="W86" s="2"/>
      <c r="X86" s="7">
        <f t="shared" si="58"/>
        <v>-1200</v>
      </c>
      <c r="Y86" s="2"/>
      <c r="Z86" s="6">
        <f t="shared" si="59"/>
        <v>-1</v>
      </c>
    </row>
    <row r="87" spans="1:26" s="24" customFormat="1" hidden="1" outlineLevel="2" x14ac:dyDescent="0.25">
      <c r="A87" s="29"/>
      <c r="B87" s="11" t="str">
        <f>CONCATENATE("          ", "6298", " - ", "VEHICLE MILEAGE")</f>
        <v xml:space="preserve">          6298 - VEHICLE MILEAGE</v>
      </c>
      <c r="C87" s="11"/>
      <c r="D87" s="7"/>
      <c r="E87" s="2"/>
      <c r="F87" s="6">
        <f t="shared" si="52"/>
        <v>0</v>
      </c>
      <c r="G87" s="2"/>
      <c r="H87" s="7">
        <v>0</v>
      </c>
      <c r="I87" s="2"/>
      <c r="J87" s="6">
        <f t="shared" si="53"/>
        <v>0</v>
      </c>
      <c r="K87" s="2"/>
      <c r="L87" s="7">
        <f t="shared" si="54"/>
        <v>0</v>
      </c>
      <c r="M87" s="2"/>
      <c r="N87" s="6">
        <f t="shared" si="55"/>
        <v>0</v>
      </c>
      <c r="O87" s="11"/>
      <c r="P87" s="7"/>
      <c r="Q87" s="2"/>
      <c r="R87" s="6">
        <f t="shared" si="56"/>
        <v>0</v>
      </c>
      <c r="S87" s="2"/>
      <c r="T87" s="7">
        <v>0</v>
      </c>
      <c r="U87" s="2"/>
      <c r="V87" s="6">
        <f t="shared" si="57"/>
        <v>0</v>
      </c>
      <c r="W87" s="2"/>
      <c r="X87" s="7">
        <f t="shared" si="58"/>
        <v>0</v>
      </c>
      <c r="Y87" s="2"/>
      <c r="Z87" s="6">
        <f t="shared" si="59"/>
        <v>0</v>
      </c>
    </row>
    <row r="88" spans="1:26" s="27" customFormat="1" outlineLevel="1" collapsed="1" x14ac:dyDescent="0.25">
      <c r="A88" s="28"/>
      <c r="B88" s="14" t="str">
        <f>CONCATENATE("     ","Utilities                                         ")</f>
        <v xml:space="preserve">     Utilities                                         </v>
      </c>
      <c r="C88" s="14"/>
      <c r="D88" s="1">
        <f>SUM(OSRRefD22_17x_0)</f>
        <v>2031</v>
      </c>
      <c r="E88" s="1"/>
      <c r="F88" s="5">
        <f t="shared" ref="F88:F89" si="60">IF(D$12=0,0,D88/D$12)</f>
        <v>8.0235864206626914E-2</v>
      </c>
      <c r="G88" s="1"/>
      <c r="H88" s="1">
        <f>SUM(OSRRefH22_17x_0)</f>
        <v>2100</v>
      </c>
      <c r="I88" s="1"/>
      <c r="J88" s="5">
        <f t="shared" ref="J88:J89" si="61">IF(H$12=0,0,H88/H$12)</f>
        <v>8.6065573770491802E-2</v>
      </c>
      <c r="K88" s="1"/>
      <c r="L88" s="1">
        <f t="shared" ref="L88:L89" si="62">+D88-H88</f>
        <v>-69</v>
      </c>
      <c r="M88" s="1"/>
      <c r="N88" s="5">
        <f t="shared" ref="N88:N89" si="63">IF(H88=0,0,L88/H88)</f>
        <v>-3.2857142857142856E-2</v>
      </c>
      <c r="O88" s="14"/>
      <c r="P88" s="1">
        <f>SUM(OSRRefP22_17x_0)</f>
        <v>2031</v>
      </c>
      <c r="Q88" s="1"/>
      <c r="R88" s="5">
        <f t="shared" ref="R88:R89" si="64">IF(P$12=0,0,P88/P$12)</f>
        <v>8.0235864206626914E-2</v>
      </c>
      <c r="S88" s="1"/>
      <c r="T88" s="1">
        <f>SUM(OSRRefT22_17x_0)</f>
        <v>2100</v>
      </c>
      <c r="U88" s="1"/>
      <c r="V88" s="5">
        <f t="shared" ref="V88:V89" si="65">IF(T$12=0,0,T88/T$12)</f>
        <v>8.6065573770491802E-2</v>
      </c>
      <c r="W88" s="1"/>
      <c r="X88" s="1">
        <f t="shared" ref="X88:X89" si="66">+P88-T88</f>
        <v>-69</v>
      </c>
      <c r="Y88" s="1"/>
      <c r="Z88" s="5">
        <f t="shared" ref="Z88:Z89" si="67">IF(T88=0,0,X88/T88)</f>
        <v>-3.2857142857142856E-2</v>
      </c>
    </row>
    <row r="89" spans="1:26" s="24" customFormat="1" hidden="1" outlineLevel="2" x14ac:dyDescent="0.25">
      <c r="A89" s="29"/>
      <c r="B89" s="11" t="str">
        <f>CONCATENATE("          ", "6274", " - ", "UTILITIES")</f>
        <v xml:space="preserve">          6274 - UTILITIES</v>
      </c>
      <c r="C89" s="11"/>
      <c r="D89" s="7">
        <v>2031</v>
      </c>
      <c r="E89" s="2"/>
      <c r="F89" s="6">
        <f t="shared" si="60"/>
        <v>8.0235864206626914E-2</v>
      </c>
      <c r="G89" s="2"/>
      <c r="H89" s="7">
        <v>2100</v>
      </c>
      <c r="I89" s="2"/>
      <c r="J89" s="6">
        <f t="shared" si="61"/>
        <v>8.6065573770491802E-2</v>
      </c>
      <c r="K89" s="2"/>
      <c r="L89" s="7">
        <f t="shared" si="62"/>
        <v>-69</v>
      </c>
      <c r="M89" s="2"/>
      <c r="N89" s="6">
        <f t="shared" si="63"/>
        <v>-3.2857142857142856E-2</v>
      </c>
      <c r="O89" s="11"/>
      <c r="P89" s="7">
        <v>2031</v>
      </c>
      <c r="Q89" s="2"/>
      <c r="R89" s="6">
        <f t="shared" si="64"/>
        <v>8.0235864206626914E-2</v>
      </c>
      <c r="S89" s="2"/>
      <c r="T89" s="7">
        <v>2100</v>
      </c>
      <c r="U89" s="2"/>
      <c r="V89" s="6">
        <f t="shared" si="65"/>
        <v>8.6065573770491802E-2</v>
      </c>
      <c r="W89" s="2"/>
      <c r="X89" s="7">
        <f t="shared" si="66"/>
        <v>-69</v>
      </c>
      <c r="Y89" s="2"/>
      <c r="Z89" s="6">
        <f t="shared" si="67"/>
        <v>-3.2857142857142856E-2</v>
      </c>
    </row>
    <row r="90" spans="1:26" s="57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5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6" t="s">
        <v>3</v>
      </c>
      <c r="C93" s="26"/>
      <c r="D93" s="21">
        <f>+D22-D24+D91</f>
        <v>-43382.560000000005</v>
      </c>
      <c r="E93" s="13"/>
      <c r="F93" s="19">
        <f>IF(D$12=0,0,D93/D$12)</f>
        <v>-1.713853861691701</v>
      </c>
      <c r="G93" s="13"/>
      <c r="H93" s="21">
        <f>+H22-H24+H91</f>
        <v>-45117.874896153851</v>
      </c>
      <c r="I93" s="13"/>
      <c r="J93" s="19">
        <f>IF(H$12=0,0,H93/H$12)</f>
        <v>-1.8490932334489283</v>
      </c>
      <c r="K93" s="15"/>
      <c r="L93" s="21">
        <f>+D93-H93</f>
        <v>1735.3148961538463</v>
      </c>
      <c r="M93" s="15"/>
      <c r="N93" s="19">
        <f>IF(H93=0,0,L93/H93)</f>
        <v>-3.8461804775778041E-2</v>
      </c>
      <c r="O93" s="25"/>
      <c r="P93" s="21">
        <f>+P22-P24+P91</f>
        <v>-43382.560000000005</v>
      </c>
      <c r="Q93" s="13"/>
      <c r="R93" s="19">
        <f>IF(P$12=0,0,P93/P$12)</f>
        <v>-1.713853861691701</v>
      </c>
      <c r="S93" s="13"/>
      <c r="T93" s="21">
        <f>+T22-T24+T91</f>
        <v>-45117.874896153851</v>
      </c>
      <c r="U93" s="13"/>
      <c r="V93" s="19">
        <f>IF(T$12=0,0,T93/T$12)</f>
        <v>-1.8490932334489283</v>
      </c>
      <c r="W93" s="15"/>
      <c r="X93" s="21">
        <f>+P93-T93</f>
        <v>1735.3148961538463</v>
      </c>
      <c r="Y93" s="15"/>
      <c r="Z93" s="19">
        <f>IF(T93=0,0,X93/T93)</f>
        <v>-3.8461804775778041E-2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5263.29</v>
      </c>
      <c r="E95" s="4"/>
      <c r="F95" s="12">
        <f>IF(D$12=0,0,D95/D$12)</f>
        <v>0.20792940508128868</v>
      </c>
      <c r="G95" s="4"/>
      <c r="H95" s="4">
        <v>5946</v>
      </c>
      <c r="I95" s="4"/>
      <c r="J95" s="12">
        <f>IF(H$12=0,0,H95/H$12)</f>
        <v>0.24368852459016394</v>
      </c>
      <c r="K95" s="4"/>
      <c r="L95" s="4">
        <f>+D95-H95</f>
        <v>-682.71</v>
      </c>
      <c r="M95" s="4"/>
      <c r="N95" s="12">
        <f>IF(H95=0,0,L95/H95)</f>
        <v>-0.11481836528758831</v>
      </c>
      <c r="O95" s="10"/>
      <c r="P95" s="4">
        <v>5263.29</v>
      </c>
      <c r="Q95" s="4"/>
      <c r="R95" s="12">
        <f>IF(P$12=0,0,P95/P$12)</f>
        <v>0.20792940508128868</v>
      </c>
      <c r="S95" s="4"/>
      <c r="T95" s="4">
        <v>5946</v>
      </c>
      <c r="U95" s="4"/>
      <c r="V95" s="12">
        <f>IF(T$12=0,0,T95/T$12)</f>
        <v>0.24368852459016394</v>
      </c>
      <c r="W95" s="4"/>
      <c r="X95" s="4">
        <f>+P95-T95</f>
        <v>-682.71</v>
      </c>
      <c r="Y95" s="4"/>
      <c r="Z95" s="12">
        <f>IF(T95=0,0,X95/T95)</f>
        <v>-0.11481836528758831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6" t="s">
        <v>4</v>
      </c>
      <c r="C97" s="26"/>
      <c r="D97" s="32">
        <f>+D93-D95</f>
        <v>-48645.850000000006</v>
      </c>
      <c r="E97" s="13"/>
      <c r="F97" s="31">
        <f>IF(D$12=0,0,D97/D$12)</f>
        <v>-1.9217832667729897</v>
      </c>
      <c r="G97" s="13"/>
      <c r="H97" s="32">
        <f>+H93-H95</f>
        <v>-51063.874896153851</v>
      </c>
      <c r="I97" s="13"/>
      <c r="J97" s="31">
        <f>IF(H$12=0,0,H97/H$12)</f>
        <v>-2.0927817580390924</v>
      </c>
      <c r="K97" s="15"/>
      <c r="L97" s="32">
        <f>D97-H97</f>
        <v>2418.0248961538455</v>
      </c>
      <c r="M97" s="15"/>
      <c r="N97" s="31">
        <f>IF(H97=0,0,L97/H97)</f>
        <v>-4.7352945718891613E-2</v>
      </c>
      <c r="O97" s="25"/>
      <c r="P97" s="32">
        <f>+P93-P95</f>
        <v>-48645.850000000006</v>
      </c>
      <c r="Q97" s="13"/>
      <c r="R97" s="31">
        <f>IF(P$12=0,0,P97/P$12)</f>
        <v>-1.9217832667729897</v>
      </c>
      <c r="S97" s="13"/>
      <c r="T97" s="32">
        <f>+T93-T95</f>
        <v>-51063.874896153851</v>
      </c>
      <c r="U97" s="13"/>
      <c r="V97" s="31">
        <f>IF(T$12=0,0,T97/T$12)</f>
        <v>-2.0927817580390924</v>
      </c>
      <c r="W97" s="15"/>
      <c r="X97" s="32">
        <f>P97-T97</f>
        <v>2418.0248961538455</v>
      </c>
      <c r="Y97" s="15"/>
      <c r="Z97" s="31">
        <f>IF(T97=0,0,X97/T97)</f>
        <v>-4.7352945718891613E-2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6" t="s">
        <v>5</v>
      </c>
      <c r="C100" s="26"/>
      <c r="D100" s="33">
        <f>SUM(D97:D99)</f>
        <v>-48645.850000000006</v>
      </c>
      <c r="E100" s="13"/>
      <c r="F100" s="34">
        <f>IF(D$12=0,0,D100/D$12)</f>
        <v>-1.9217832667729897</v>
      </c>
      <c r="G100" s="13"/>
      <c r="H100" s="33">
        <f>SUM(H97:H99)</f>
        <v>-51063.874896153851</v>
      </c>
      <c r="I100" s="13"/>
      <c r="J100" s="34">
        <f>IF(H$12=0,0,H100/H$12)</f>
        <v>-2.0927817580390924</v>
      </c>
      <c r="K100" s="15"/>
      <c r="L100" s="33">
        <f>+D100-H100</f>
        <v>2418.0248961538455</v>
      </c>
      <c r="M100" s="15"/>
      <c r="N100" s="34">
        <f>IF(H100=0,0,L100/H100)</f>
        <v>-4.7352945718891613E-2</v>
      </c>
      <c r="O100" s="25"/>
      <c r="P100" s="33">
        <f>SUM(P97:P99)</f>
        <v>-48645.850000000006</v>
      </c>
      <c r="Q100" s="13"/>
      <c r="R100" s="34">
        <f>IF(P$12=0,0,P100/P$12)</f>
        <v>-1.9217832667729897</v>
      </c>
      <c r="S100" s="13"/>
      <c r="T100" s="33">
        <f>SUM(T97:T99)</f>
        <v>-51063.874896153851</v>
      </c>
      <c r="U100" s="13"/>
      <c r="V100" s="34">
        <f>IF(T$12=0,0,T100/T$12)</f>
        <v>-2.0927817580390924</v>
      </c>
      <c r="W100" s="15"/>
      <c r="X100" s="33">
        <f>+P100-T100</f>
        <v>2418.0248961538455</v>
      </c>
      <c r="Y100" s="15"/>
      <c r="Z100" s="34">
        <f>IF(T100=0,0,X100/T100)</f>
        <v>-4.7352945718891613E-2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61">
        <v>43726.67904383102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6" t="s">
        <v>314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3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","418", " - ", "Nugget")</f>
        <v>Department 418 - Nugget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39880.29</v>
      </c>
      <c r="E12" s="4"/>
      <c r="F12" s="12"/>
      <c r="G12" s="4"/>
      <c r="H12" s="4">
        <f>SUM(OSRRefH13x_0)</f>
        <v>41200</v>
      </c>
      <c r="I12" s="4"/>
      <c r="J12" s="12"/>
      <c r="K12" s="4"/>
      <c r="L12" s="4">
        <f t="shared" ref="L12:L16" si="0">+D12-H12</f>
        <v>-1319.7099999999991</v>
      </c>
      <c r="M12" s="4"/>
      <c r="N12" s="12">
        <f t="shared" ref="N12:N16" si="1">IF(H12=0,0,L12/H12)</f>
        <v>-3.2031796116504835E-2</v>
      </c>
      <c r="O12" s="10"/>
      <c r="P12" s="4">
        <f>SUM(OSRRefP13x_0)</f>
        <v>39880.29</v>
      </c>
      <c r="Q12" s="4"/>
      <c r="R12" s="12"/>
      <c r="S12" s="4"/>
      <c r="T12" s="4">
        <f>SUM(OSRRefT13x_0)</f>
        <v>41200</v>
      </c>
      <c r="U12" s="4"/>
      <c r="V12" s="12"/>
      <c r="W12" s="4"/>
      <c r="X12" s="4">
        <f t="shared" ref="X12:X16" si="2">+P12-T12</f>
        <v>-1319.7099999999991</v>
      </c>
      <c r="Y12" s="4"/>
      <c r="Z12" s="12">
        <f t="shared" ref="Z12:Z16" si="3">IF(T12=0,0,X12/T12)</f>
        <v>-3.2031796116504835E-2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16480</v>
      </c>
      <c r="I13" s="2"/>
      <c r="J13" s="22"/>
      <c r="K13" s="2"/>
      <c r="L13" s="2">
        <f t="shared" si="0"/>
        <v>-16480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16480</v>
      </c>
      <c r="U13" s="2"/>
      <c r="V13" s="22"/>
      <c r="W13" s="2"/>
      <c r="X13" s="2">
        <f t="shared" si="2"/>
        <v>-16480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"4055", " - ", "TAXABLE SALES-FOOD")</f>
        <v xml:space="preserve">          4055 - TAXABLE SALES-FOOD</v>
      </c>
      <c r="C14" s="11"/>
      <c r="D14" s="2">
        <f>--14243.63</f>
        <v>14243.63</v>
      </c>
      <c r="E14" s="2"/>
      <c r="F14" s="22"/>
      <c r="G14" s="2"/>
      <c r="H14" s="2"/>
      <c r="I14" s="2"/>
      <c r="J14" s="22"/>
      <c r="K14" s="2"/>
      <c r="L14" s="2">
        <f t="shared" si="0"/>
        <v>14243.63</v>
      </c>
      <c r="M14" s="2"/>
      <c r="N14" s="22">
        <f t="shared" si="1"/>
        <v>0</v>
      </c>
      <c r="O14" s="11"/>
      <c r="P14" s="2">
        <f>--14243.63</f>
        <v>14243.63</v>
      </c>
      <c r="Q14" s="2"/>
      <c r="R14" s="22"/>
      <c r="S14" s="2"/>
      <c r="T14" s="2"/>
      <c r="U14" s="2"/>
      <c r="V14" s="22"/>
      <c r="W14" s="2"/>
      <c r="X14" s="2">
        <f t="shared" si="2"/>
        <v>14243.63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2"/>
      <c r="G15" s="2"/>
      <c r="H15" s="2">
        <v>24720</v>
      </c>
      <c r="I15" s="2"/>
      <c r="J15" s="22"/>
      <c r="K15" s="2"/>
      <c r="L15" s="2">
        <f t="shared" si="0"/>
        <v>-24720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24720</v>
      </c>
      <c r="U15" s="2"/>
      <c r="V15" s="22"/>
      <c r="W15" s="2"/>
      <c r="X15" s="2">
        <f t="shared" si="2"/>
        <v>-24720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"4155", " - ", "NON-TAXABLE SALES-FOOD")</f>
        <v xml:space="preserve">          4155 - NON-TAXABLE SALES-FOOD</v>
      </c>
      <c r="C16" s="11"/>
      <c r="D16" s="2">
        <f>--25636.66</f>
        <v>25636.66</v>
      </c>
      <c r="E16" s="2"/>
      <c r="F16" s="22"/>
      <c r="G16" s="2"/>
      <c r="H16" s="2"/>
      <c r="I16" s="2"/>
      <c r="J16" s="22"/>
      <c r="K16" s="2"/>
      <c r="L16" s="2">
        <f t="shared" si="0"/>
        <v>25636.66</v>
      </c>
      <c r="M16" s="2"/>
      <c r="N16" s="22">
        <f t="shared" si="1"/>
        <v>0</v>
      </c>
      <c r="O16" s="11"/>
      <c r="P16" s="2">
        <f>--25636.66</f>
        <v>25636.66</v>
      </c>
      <c r="Q16" s="2"/>
      <c r="R16" s="22"/>
      <c r="S16" s="2"/>
      <c r="T16" s="2"/>
      <c r="U16" s="2"/>
      <c r="V16" s="22"/>
      <c r="W16" s="2"/>
      <c r="X16" s="2">
        <f t="shared" si="2"/>
        <v>25636.66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16032.14</v>
      </c>
      <c r="E18" s="4"/>
      <c r="F18" s="12">
        <f t="shared" ref="F18:F21" si="4">IF(D$12=0,0,D18/D$12)</f>
        <v>0.40200660526791554</v>
      </c>
      <c r="G18" s="4"/>
      <c r="H18" s="4">
        <f>SUM(OSRRefH16x_0)</f>
        <v>12937</v>
      </c>
      <c r="I18" s="4"/>
      <c r="J18" s="12">
        <f t="shared" ref="J18:J21" si="5">IF(H$12=0,0,H18/H$12)</f>
        <v>0.31400485436893205</v>
      </c>
      <c r="K18" s="4"/>
      <c r="L18" s="4">
        <f t="shared" ref="L18:L21" si="6">+D18-H18</f>
        <v>3095.1399999999994</v>
      </c>
      <c r="M18" s="4"/>
      <c r="N18" s="12">
        <f t="shared" ref="N18:N21" si="7">IF(H18=0,0,L18/H18)</f>
        <v>0.23924712066166803</v>
      </c>
      <c r="O18" s="10"/>
      <c r="P18" s="4">
        <f>SUM(OSRRefP16x_0)</f>
        <v>16032.14</v>
      </c>
      <c r="Q18" s="4"/>
      <c r="R18" s="12">
        <f t="shared" ref="R18:R21" si="8">IF(P$12=0,0,P18/P$12)</f>
        <v>0.40200660526791554</v>
      </c>
      <c r="S18" s="4"/>
      <c r="T18" s="4">
        <f>SUM(OSRRefT16x_0)</f>
        <v>12937</v>
      </c>
      <c r="U18" s="4"/>
      <c r="V18" s="12">
        <f t="shared" ref="V18:V21" si="9">IF(T$12=0,0,T18/T$12)</f>
        <v>0.31400485436893205</v>
      </c>
      <c r="W18" s="4"/>
      <c r="X18" s="4">
        <f t="shared" ref="X18:X21" si="10">+P18-T18</f>
        <v>3095.1399999999994</v>
      </c>
      <c r="Y18" s="4"/>
      <c r="Z18" s="12">
        <f t="shared" ref="Z18:Z21" si="11">IF(T18=0,0,X18/T18)</f>
        <v>0.23924712066166803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12937</v>
      </c>
      <c r="I19" s="2"/>
      <c r="J19" s="22">
        <f t="shared" si="5"/>
        <v>0.31400485436893205</v>
      </c>
      <c r="K19" s="2"/>
      <c r="L19" s="2">
        <f t="shared" si="6"/>
        <v>-12937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12937</v>
      </c>
      <c r="U19" s="2"/>
      <c r="V19" s="22">
        <f t="shared" si="9"/>
        <v>0.31400485436893205</v>
      </c>
      <c r="W19" s="2"/>
      <c r="X19" s="2">
        <f t="shared" si="10"/>
        <v>-12937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15005.14</v>
      </c>
      <c r="E20" s="2"/>
      <c r="F20" s="22">
        <f t="shared" si="4"/>
        <v>0.37625453576190143</v>
      </c>
      <c r="G20" s="2"/>
      <c r="H20" s="2"/>
      <c r="I20" s="2"/>
      <c r="J20" s="22">
        <f t="shared" si="5"/>
        <v>0</v>
      </c>
      <c r="K20" s="2"/>
      <c r="L20" s="2">
        <f t="shared" si="6"/>
        <v>15005.14</v>
      </c>
      <c r="M20" s="2"/>
      <c r="N20" s="22">
        <f t="shared" si="7"/>
        <v>0</v>
      </c>
      <c r="O20" s="11"/>
      <c r="P20" s="2">
        <v>15005.14</v>
      </c>
      <c r="Q20" s="2"/>
      <c r="R20" s="22">
        <f t="shared" si="8"/>
        <v>0.37625453576190143</v>
      </c>
      <c r="S20" s="2"/>
      <c r="T20" s="2"/>
      <c r="U20" s="2"/>
      <c r="V20" s="22">
        <f t="shared" si="9"/>
        <v>0</v>
      </c>
      <c r="W20" s="2"/>
      <c r="X20" s="2">
        <f t="shared" si="10"/>
        <v>15005.14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1027</v>
      </c>
      <c r="E21" s="2"/>
      <c r="F21" s="22">
        <f t="shared" si="4"/>
        <v>2.5752069506014122E-2</v>
      </c>
      <c r="G21" s="2"/>
      <c r="H21" s="2"/>
      <c r="I21" s="2"/>
      <c r="J21" s="22">
        <f t="shared" si="5"/>
        <v>0</v>
      </c>
      <c r="K21" s="2"/>
      <c r="L21" s="2">
        <f t="shared" si="6"/>
        <v>1027</v>
      </c>
      <c r="M21" s="2"/>
      <c r="N21" s="22">
        <f t="shared" si="7"/>
        <v>0</v>
      </c>
      <c r="O21" s="11"/>
      <c r="P21" s="2">
        <v>1027</v>
      </c>
      <c r="Q21" s="2"/>
      <c r="R21" s="22">
        <f t="shared" si="8"/>
        <v>2.5752069506014122E-2</v>
      </c>
      <c r="S21" s="2"/>
      <c r="T21" s="2"/>
      <c r="U21" s="2"/>
      <c r="V21" s="22">
        <f t="shared" si="9"/>
        <v>0</v>
      </c>
      <c r="W21" s="2"/>
      <c r="X21" s="2">
        <f t="shared" si="10"/>
        <v>1027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1">
        <f>D12-D18</f>
        <v>23848.15</v>
      </c>
      <c r="E23" s="13"/>
      <c r="F23" s="19">
        <f>IF(D$12=0,0,D23/D$12)</f>
        <v>0.59799339473208446</v>
      </c>
      <c r="G23" s="13"/>
      <c r="H23" s="21">
        <f>H12-H18</f>
        <v>28263</v>
      </c>
      <c r="I23" s="13"/>
      <c r="J23" s="19">
        <f>IF(H$12=0,0,H23/H$12)</f>
        <v>0.685995145631068</v>
      </c>
      <c r="K23" s="15"/>
      <c r="L23" s="21">
        <f>+D23-H23</f>
        <v>-4414.8499999999985</v>
      </c>
      <c r="M23" s="15"/>
      <c r="N23" s="19">
        <f>IF(H23=0,0,L23/H23)</f>
        <v>-0.15620599370201319</v>
      </c>
      <c r="O23" s="25"/>
      <c r="P23" s="21">
        <f>P12-P18</f>
        <v>23848.15</v>
      </c>
      <c r="Q23" s="13"/>
      <c r="R23" s="19">
        <f>IF(P$12=0,0,P23/P$12)</f>
        <v>0.59799339473208446</v>
      </c>
      <c r="S23" s="13"/>
      <c r="T23" s="21">
        <f>T12-T18</f>
        <v>28263</v>
      </c>
      <c r="U23" s="13"/>
      <c r="V23" s="19">
        <f>IF(T$12=0,0,T23/T$12)</f>
        <v>0.685995145631068</v>
      </c>
      <c r="W23" s="15"/>
      <c r="X23" s="21">
        <f>+P23-T23</f>
        <v>-4414.8499999999985</v>
      </c>
      <c r="Y23" s="15"/>
      <c r="Z23" s="19">
        <f>IF(T23=0,0,X23/T23)</f>
        <v>-0.15620599370201319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0">
        <f>SUM(OSRRefD22x_0)</f>
        <v>36747.24</v>
      </c>
      <c r="E25" s="20"/>
      <c r="F25" s="30">
        <f t="shared" ref="F25:F35" si="12">IF(D$12=0,0,D25/D$12)</f>
        <v>0.92143863547632165</v>
      </c>
      <c r="G25" s="20"/>
      <c r="H25" s="20">
        <f>SUM(OSRRefH22x_0)</f>
        <v>43893.204317230819</v>
      </c>
      <c r="I25" s="20"/>
      <c r="J25" s="30">
        <f t="shared" ref="J25:J35" si="13">IF(H$12=0,0,H25/H$12)</f>
        <v>1.0653690368259907</v>
      </c>
      <c r="K25" s="4"/>
      <c r="L25" s="20">
        <f t="shared" ref="L25:L35" si="14">+D25-H25</f>
        <v>-7145.9643172308206</v>
      </c>
      <c r="M25" s="4"/>
      <c r="N25" s="30">
        <f t="shared" ref="N25:N35" si="15">IF(H25=0,0,L25/H25)</f>
        <v>-0.16280343229408714</v>
      </c>
      <c r="O25" s="10"/>
      <c r="P25" s="20">
        <f>SUM(OSRRefP22x_0)</f>
        <v>36747.24</v>
      </c>
      <c r="Q25" s="20"/>
      <c r="R25" s="30">
        <f t="shared" ref="R25:R35" si="16">IF(P$12=0,0,P25/P$12)</f>
        <v>0.92143863547632165</v>
      </c>
      <c r="S25" s="20"/>
      <c r="T25" s="20">
        <f>SUM(OSRRefT22x_0)</f>
        <v>43893.204317230819</v>
      </c>
      <c r="U25" s="20"/>
      <c r="V25" s="30">
        <f t="shared" ref="V25:V35" si="17">IF(T$12=0,0,T25/T$12)</f>
        <v>1.0653690368259907</v>
      </c>
      <c r="W25" s="4"/>
      <c r="X25" s="20">
        <f t="shared" ref="X25:X35" si="18">+P25-T25</f>
        <v>-7145.9643172308206</v>
      </c>
      <c r="Y25" s="4"/>
      <c r="Z25" s="30">
        <f t="shared" ref="Z25:Z35" si="19">IF(T25=0,0,X25/T25)</f>
        <v>-0.16280343229408714</v>
      </c>
    </row>
    <row r="26" spans="1:26" s="27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5261.35</v>
      </c>
      <c r="E26" s="1"/>
      <c r="F26" s="5">
        <f t="shared" si="12"/>
        <v>0.13192857925556711</v>
      </c>
      <c r="G26" s="1"/>
      <c r="H26" s="1">
        <f>SUM(OSRRefH22_0x_0)</f>
        <v>8209.6181633846118</v>
      </c>
      <c r="I26" s="1"/>
      <c r="J26" s="5">
        <f t="shared" si="13"/>
        <v>0.1992625767811799</v>
      </c>
      <c r="K26" s="1"/>
      <c r="L26" s="1">
        <f t="shared" si="14"/>
        <v>-2948.2681633846114</v>
      </c>
      <c r="M26" s="1"/>
      <c r="N26" s="5">
        <f t="shared" si="15"/>
        <v>-0.35912366503646465</v>
      </c>
      <c r="O26" s="14"/>
      <c r="P26" s="1">
        <f>SUM(OSRRefP22_0x_0)</f>
        <v>5261.35</v>
      </c>
      <c r="Q26" s="1"/>
      <c r="R26" s="5">
        <f t="shared" si="16"/>
        <v>0.13192857925556711</v>
      </c>
      <c r="S26" s="1"/>
      <c r="T26" s="1">
        <f>SUM(OSRRefT22_0x_0)</f>
        <v>8209.6181633846118</v>
      </c>
      <c r="U26" s="1"/>
      <c r="V26" s="5">
        <f t="shared" si="17"/>
        <v>0.1992625767811799</v>
      </c>
      <c r="W26" s="1"/>
      <c r="X26" s="1">
        <f t="shared" si="18"/>
        <v>-2948.2681633846114</v>
      </c>
      <c r="Y26" s="1"/>
      <c r="Z26" s="5">
        <f t="shared" si="19"/>
        <v>-0.35912366503646465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1117.83</v>
      </c>
      <c r="E27" s="2"/>
      <c r="F27" s="6">
        <f t="shared" si="12"/>
        <v>2.8029635692217884E-2</v>
      </c>
      <c r="G27" s="2"/>
      <c r="H27" s="7">
        <v>1111.13789261538</v>
      </c>
      <c r="I27" s="2"/>
      <c r="J27" s="6">
        <f t="shared" si="13"/>
        <v>2.6969366325616018E-2</v>
      </c>
      <c r="K27" s="2"/>
      <c r="L27" s="7">
        <f t="shared" si="14"/>
        <v>6.6921073846199306</v>
      </c>
      <c r="M27" s="2"/>
      <c r="N27" s="6">
        <f t="shared" si="15"/>
        <v>6.0227514776479696E-3</v>
      </c>
      <c r="O27" s="11"/>
      <c r="P27" s="7">
        <v>1117.83</v>
      </c>
      <c r="Q27" s="2"/>
      <c r="R27" s="6">
        <f t="shared" si="16"/>
        <v>2.8029635692217884E-2</v>
      </c>
      <c r="S27" s="2"/>
      <c r="T27" s="7">
        <v>1111.13789261538</v>
      </c>
      <c r="U27" s="2"/>
      <c r="V27" s="6">
        <f t="shared" si="17"/>
        <v>2.6969366325616018E-2</v>
      </c>
      <c r="W27" s="2"/>
      <c r="X27" s="7">
        <f t="shared" si="18"/>
        <v>6.6921073846199306</v>
      </c>
      <c r="Y27" s="2"/>
      <c r="Z27" s="6">
        <f t="shared" si="19"/>
        <v>6.0227514776479696E-3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503.05</v>
      </c>
      <c r="E28" s="2"/>
      <c r="F28" s="6">
        <f t="shared" si="12"/>
        <v>1.2614000550146451E-2</v>
      </c>
      <c r="G28" s="2"/>
      <c r="H28" s="7">
        <v>719.70060307692302</v>
      </c>
      <c r="I28" s="2"/>
      <c r="J28" s="6">
        <f t="shared" si="13"/>
        <v>1.7468461239731142E-2</v>
      </c>
      <c r="K28" s="2"/>
      <c r="L28" s="7">
        <f t="shared" si="14"/>
        <v>-216.65060307692301</v>
      </c>
      <c r="M28" s="2"/>
      <c r="N28" s="6">
        <f t="shared" si="15"/>
        <v>-0.30102879190413429</v>
      </c>
      <c r="O28" s="11"/>
      <c r="P28" s="7">
        <v>503.05</v>
      </c>
      <c r="Q28" s="2"/>
      <c r="R28" s="6">
        <f t="shared" si="16"/>
        <v>1.2614000550146451E-2</v>
      </c>
      <c r="S28" s="2"/>
      <c r="T28" s="7">
        <v>719.70060307692302</v>
      </c>
      <c r="U28" s="2"/>
      <c r="V28" s="6">
        <f t="shared" si="17"/>
        <v>1.7468461239731142E-2</v>
      </c>
      <c r="W28" s="2"/>
      <c r="X28" s="7">
        <f t="shared" si="18"/>
        <v>-216.65060307692301</v>
      </c>
      <c r="Y28" s="2"/>
      <c r="Z28" s="6">
        <f t="shared" si="19"/>
        <v>-0.30102879190413429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2533.4</v>
      </c>
      <c r="E29" s="2"/>
      <c r="F29" s="6">
        <f t="shared" si="12"/>
        <v>6.3525114787279638E-2</v>
      </c>
      <c r="G29" s="2"/>
      <c r="H29" s="7">
        <v>3814.23076923077</v>
      </c>
      <c r="I29" s="2"/>
      <c r="J29" s="6">
        <f t="shared" si="13"/>
        <v>9.2578416728902185E-2</v>
      </c>
      <c r="K29" s="2"/>
      <c r="L29" s="7">
        <f t="shared" si="14"/>
        <v>-1280.8307692307699</v>
      </c>
      <c r="M29" s="2"/>
      <c r="N29" s="6">
        <f t="shared" si="15"/>
        <v>-0.33580316628012513</v>
      </c>
      <c r="O29" s="11"/>
      <c r="P29" s="7">
        <v>2533.4</v>
      </c>
      <c r="Q29" s="2"/>
      <c r="R29" s="6">
        <f t="shared" si="16"/>
        <v>6.3525114787279638E-2</v>
      </c>
      <c r="S29" s="2"/>
      <c r="T29" s="7">
        <v>3814.23076923077</v>
      </c>
      <c r="U29" s="2"/>
      <c r="V29" s="6">
        <f t="shared" si="17"/>
        <v>9.2578416728902185E-2</v>
      </c>
      <c r="W29" s="2"/>
      <c r="X29" s="7">
        <f t="shared" si="18"/>
        <v>-1280.8307692307699</v>
      </c>
      <c r="Y29" s="2"/>
      <c r="Z29" s="6">
        <f t="shared" si="19"/>
        <v>-0.33580316628012513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33.71</v>
      </c>
      <c r="E30" s="2"/>
      <c r="F30" s="6">
        <f t="shared" si="12"/>
        <v>8.4527971085466029E-4</v>
      </c>
      <c r="G30" s="2"/>
      <c r="H30" s="7">
        <v>48.227359999999997</v>
      </c>
      <c r="I30" s="2"/>
      <c r="J30" s="6">
        <f t="shared" si="13"/>
        <v>1.170566990291262E-3</v>
      </c>
      <c r="K30" s="2"/>
      <c r="L30" s="7">
        <f t="shared" si="14"/>
        <v>-14.517359999999996</v>
      </c>
      <c r="M30" s="2"/>
      <c r="N30" s="6">
        <f t="shared" si="15"/>
        <v>-0.30101917251949922</v>
      </c>
      <c r="O30" s="11"/>
      <c r="P30" s="7">
        <v>33.71</v>
      </c>
      <c r="Q30" s="2"/>
      <c r="R30" s="6">
        <f t="shared" si="16"/>
        <v>8.4527971085466029E-4</v>
      </c>
      <c r="S30" s="2"/>
      <c r="T30" s="7">
        <v>48.227359999999997</v>
      </c>
      <c r="U30" s="2"/>
      <c r="V30" s="6">
        <f t="shared" si="17"/>
        <v>1.170566990291262E-3</v>
      </c>
      <c r="W30" s="2"/>
      <c r="X30" s="7">
        <f t="shared" si="18"/>
        <v>-14.517359999999996</v>
      </c>
      <c r="Y30" s="2"/>
      <c r="Z30" s="6">
        <f t="shared" si="19"/>
        <v>-0.30101917251949922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268.22000000000003</v>
      </c>
      <c r="E31" s="2"/>
      <c r="F31" s="6">
        <f t="shared" si="12"/>
        <v>6.7256281235668052E-3</v>
      </c>
      <c r="G31" s="2"/>
      <c r="H31" s="7">
        <v>970.97307692307697</v>
      </c>
      <c r="I31" s="2"/>
      <c r="J31" s="6">
        <f t="shared" si="13"/>
        <v>2.3567307692307693E-2</v>
      </c>
      <c r="K31" s="2"/>
      <c r="L31" s="7">
        <f t="shared" si="14"/>
        <v>-702.75307692307695</v>
      </c>
      <c r="M31" s="2"/>
      <c r="N31" s="6">
        <f t="shared" si="15"/>
        <v>-0.72376165068349352</v>
      </c>
      <c r="O31" s="11"/>
      <c r="P31" s="7">
        <v>268.22000000000003</v>
      </c>
      <c r="Q31" s="2"/>
      <c r="R31" s="6">
        <f t="shared" si="16"/>
        <v>6.7256281235668052E-3</v>
      </c>
      <c r="S31" s="2"/>
      <c r="T31" s="7">
        <v>970.97307692307697</v>
      </c>
      <c r="U31" s="2"/>
      <c r="V31" s="6">
        <f t="shared" si="17"/>
        <v>2.3567307692307693E-2</v>
      </c>
      <c r="W31" s="2"/>
      <c r="X31" s="7">
        <f t="shared" si="18"/>
        <v>-702.75307692307695</v>
      </c>
      <c r="Y31" s="2"/>
      <c r="Z31" s="6">
        <f t="shared" si="19"/>
        <v>-0.72376165068349352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367.51</v>
      </c>
      <c r="E33" s="2"/>
      <c r="F33" s="6">
        <f t="shared" si="12"/>
        <v>9.2153291763926483E-3</v>
      </c>
      <c r="G33" s="2"/>
      <c r="H33" s="7">
        <v>599.19923076923089</v>
      </c>
      <c r="I33" s="2"/>
      <c r="J33" s="6">
        <f t="shared" si="13"/>
        <v>1.4543670649738613E-2</v>
      </c>
      <c r="K33" s="2"/>
      <c r="L33" s="7">
        <f t="shared" si="14"/>
        <v>-231.6892307692309</v>
      </c>
      <c r="M33" s="2"/>
      <c r="N33" s="6">
        <f t="shared" si="15"/>
        <v>-0.38666476669503802</v>
      </c>
      <c r="O33" s="11"/>
      <c r="P33" s="7">
        <v>367.51</v>
      </c>
      <c r="Q33" s="2"/>
      <c r="R33" s="6">
        <f t="shared" si="16"/>
        <v>9.2153291763926483E-3</v>
      </c>
      <c r="S33" s="2"/>
      <c r="T33" s="7">
        <v>599.19923076923089</v>
      </c>
      <c r="U33" s="2"/>
      <c r="V33" s="6">
        <f t="shared" si="17"/>
        <v>1.4543670649738613E-2</v>
      </c>
      <c r="W33" s="2"/>
      <c r="X33" s="7">
        <f t="shared" si="18"/>
        <v>-231.6892307692309</v>
      </c>
      <c r="Y33" s="2"/>
      <c r="Z33" s="6">
        <f t="shared" si="19"/>
        <v>-0.38666476669503802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325.74</v>
      </c>
      <c r="E34" s="2"/>
      <c r="F34" s="6">
        <f t="shared" si="12"/>
        <v>8.1679446162502833E-3</v>
      </c>
      <c r="G34" s="2"/>
      <c r="H34" s="7">
        <v>796.14923076923094</v>
      </c>
      <c r="I34" s="2"/>
      <c r="J34" s="6">
        <f t="shared" si="13"/>
        <v>1.9324010455563857E-2</v>
      </c>
      <c r="K34" s="2"/>
      <c r="L34" s="7">
        <f t="shared" si="14"/>
        <v>-470.40923076923093</v>
      </c>
      <c r="M34" s="2"/>
      <c r="N34" s="6">
        <f t="shared" si="15"/>
        <v>-0.59085559916289376</v>
      </c>
      <c r="O34" s="11"/>
      <c r="P34" s="7">
        <v>325.74</v>
      </c>
      <c r="Q34" s="2"/>
      <c r="R34" s="6">
        <f t="shared" si="16"/>
        <v>8.1679446162502833E-3</v>
      </c>
      <c r="S34" s="2"/>
      <c r="T34" s="7">
        <v>796.14923076923094</v>
      </c>
      <c r="U34" s="2"/>
      <c r="V34" s="6">
        <f t="shared" si="17"/>
        <v>1.9324010455563857E-2</v>
      </c>
      <c r="W34" s="2"/>
      <c r="X34" s="7">
        <f t="shared" si="18"/>
        <v>-470.40923076923093</v>
      </c>
      <c r="Y34" s="2"/>
      <c r="Z34" s="6">
        <f t="shared" si="19"/>
        <v>-0.59085559916289376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7">
        <v>111.89</v>
      </c>
      <c r="E35" s="2"/>
      <c r="F35" s="6">
        <f t="shared" si="12"/>
        <v>2.8056465988587345E-3</v>
      </c>
      <c r="G35" s="2"/>
      <c r="H35" s="7">
        <v>150</v>
      </c>
      <c r="I35" s="2"/>
      <c r="J35" s="6">
        <f t="shared" si="13"/>
        <v>3.6407766990291263E-3</v>
      </c>
      <c r="K35" s="2"/>
      <c r="L35" s="7">
        <f t="shared" si="14"/>
        <v>-38.11</v>
      </c>
      <c r="M35" s="2"/>
      <c r="N35" s="6">
        <f t="shared" si="15"/>
        <v>-0.25406666666666666</v>
      </c>
      <c r="O35" s="11"/>
      <c r="P35" s="7">
        <v>111.89</v>
      </c>
      <c r="Q35" s="2"/>
      <c r="R35" s="6">
        <f t="shared" si="16"/>
        <v>2.8056465988587345E-3</v>
      </c>
      <c r="S35" s="2"/>
      <c r="T35" s="7">
        <v>150</v>
      </c>
      <c r="U35" s="2"/>
      <c r="V35" s="6">
        <f t="shared" si="17"/>
        <v>3.6407766990291263E-3</v>
      </c>
      <c r="W35" s="2"/>
      <c r="X35" s="7">
        <f t="shared" si="18"/>
        <v>-38.11</v>
      </c>
      <c r="Y35" s="2"/>
      <c r="Z35" s="6">
        <f t="shared" si="19"/>
        <v>-0.25406666666666666</v>
      </c>
    </row>
    <row r="36" spans="1:26" s="27" customFormat="1" outlineLevel="1" collapsed="1" x14ac:dyDescent="0.25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15742.359999999999</v>
      </c>
      <c r="E36" s="1"/>
      <c r="F36" s="5">
        <f t="shared" ref="F36:F46" si="20">IF(D$12=0,0,D36/D$12)</f>
        <v>0.39474035921002576</v>
      </c>
      <c r="G36" s="1"/>
      <c r="H36" s="1">
        <f>SUM(OSRRefH22_1x_0)</f>
        <v>17350.586153846201</v>
      </c>
      <c r="I36" s="1"/>
      <c r="J36" s="5">
        <f t="shared" ref="J36:J46" si="21">IF(H$12=0,0,H36/H$12)</f>
        <v>0.42113073188947092</v>
      </c>
      <c r="K36" s="1"/>
      <c r="L36" s="1">
        <f t="shared" ref="L36:L46" si="22">+D36-H36</f>
        <v>-1608.2261538462026</v>
      </c>
      <c r="M36" s="1"/>
      <c r="N36" s="5">
        <f t="shared" ref="N36:N46" si="23">IF(H36=0,0,L36/H36)</f>
        <v>-9.2690018630275386E-2</v>
      </c>
      <c r="O36" s="14"/>
      <c r="P36" s="1">
        <f>SUM(OSRRefP22_1x_0)</f>
        <v>15742.359999999999</v>
      </c>
      <c r="Q36" s="1"/>
      <c r="R36" s="5">
        <f t="shared" ref="R36:R46" si="24">IF(P$12=0,0,P36/P$12)</f>
        <v>0.39474035921002576</v>
      </c>
      <c r="S36" s="1"/>
      <c r="T36" s="1">
        <f>SUM(OSRRefT22_1x_0)</f>
        <v>17350.586153846201</v>
      </c>
      <c r="U36" s="1"/>
      <c r="V36" s="5">
        <f t="shared" ref="V36:V46" si="25">IF(T$12=0,0,T36/T$12)</f>
        <v>0.42113073188947092</v>
      </c>
      <c r="W36" s="1"/>
      <c r="X36" s="1">
        <f t="shared" ref="X36:X46" si="26">+P36-T36</f>
        <v>-1608.2261538462026</v>
      </c>
      <c r="Y36" s="1"/>
      <c r="Z36" s="5">
        <f t="shared" ref="Z36:Z46" si="27">IF(T36=0,0,X36/T36)</f>
        <v>-9.2690018630275386E-2</v>
      </c>
    </row>
    <row r="37" spans="1:26" s="24" customFormat="1" hidden="1" outlineLevel="2" x14ac:dyDescent="0.2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"6002", " - ", "STAFF SALARIES")</f>
        <v xml:space="preserve">          6002 - STAFF SALARIES</v>
      </c>
      <c r="C38" s="11"/>
      <c r="D38" s="7">
        <v>3840</v>
      </c>
      <c r="E38" s="2"/>
      <c r="F38" s="6">
        <f t="shared" si="20"/>
        <v>9.6288166410023593E-2</v>
      </c>
      <c r="G38" s="2"/>
      <c r="H38" s="7">
        <v>10161.346153846202</v>
      </c>
      <c r="I38" s="2"/>
      <c r="J38" s="6">
        <f t="shared" si="21"/>
        <v>0.24663461538461653</v>
      </c>
      <c r="K38" s="2"/>
      <c r="L38" s="7">
        <f t="shared" si="22"/>
        <v>-6321.3461538462016</v>
      </c>
      <c r="M38" s="2"/>
      <c r="N38" s="6">
        <f t="shared" si="23"/>
        <v>-0.62209731448362182</v>
      </c>
      <c r="O38" s="11"/>
      <c r="P38" s="7">
        <v>3840</v>
      </c>
      <c r="Q38" s="2"/>
      <c r="R38" s="6">
        <f t="shared" si="24"/>
        <v>9.6288166410023593E-2</v>
      </c>
      <c r="S38" s="2"/>
      <c r="T38" s="7">
        <v>10161.346153846202</v>
      </c>
      <c r="U38" s="2"/>
      <c r="V38" s="6">
        <f t="shared" si="25"/>
        <v>0.24663461538461653</v>
      </c>
      <c r="W38" s="2"/>
      <c r="X38" s="7">
        <f t="shared" si="26"/>
        <v>-6321.3461538462016</v>
      </c>
      <c r="Y38" s="2"/>
      <c r="Z38" s="6">
        <f t="shared" si="27"/>
        <v>-0.62209731448362182</v>
      </c>
    </row>
    <row r="39" spans="1:26" s="24" customFormat="1" hidden="1" outlineLevel="2" x14ac:dyDescent="0.25">
      <c r="A39" s="29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7">
        <v>140.08000000000001</v>
      </c>
      <c r="E40" s="2"/>
      <c r="F40" s="6">
        <f t="shared" si="20"/>
        <v>3.5125120704989862E-3</v>
      </c>
      <c r="G40" s="2"/>
      <c r="H40" s="7">
        <v>624.24</v>
      </c>
      <c r="I40" s="2"/>
      <c r="J40" s="6">
        <f t="shared" si="21"/>
        <v>1.5151456310679611E-2</v>
      </c>
      <c r="K40" s="2"/>
      <c r="L40" s="7">
        <f t="shared" si="22"/>
        <v>-484.15999999999997</v>
      </c>
      <c r="M40" s="2"/>
      <c r="N40" s="6">
        <f t="shared" si="23"/>
        <v>-0.77559912854030499</v>
      </c>
      <c r="O40" s="11"/>
      <c r="P40" s="7">
        <v>140.08000000000001</v>
      </c>
      <c r="Q40" s="2"/>
      <c r="R40" s="6">
        <f t="shared" si="24"/>
        <v>3.5125120704989862E-3</v>
      </c>
      <c r="S40" s="2"/>
      <c r="T40" s="7">
        <v>624.24</v>
      </c>
      <c r="U40" s="2"/>
      <c r="V40" s="6">
        <f t="shared" si="25"/>
        <v>1.5151456310679611E-2</v>
      </c>
      <c r="W40" s="2"/>
      <c r="X40" s="7">
        <f t="shared" si="26"/>
        <v>-484.15999999999997</v>
      </c>
      <c r="Y40" s="2"/>
      <c r="Z40" s="6">
        <f t="shared" si="27"/>
        <v>-0.77559912854030499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>
        <v>6196.15</v>
      </c>
      <c r="E41" s="2"/>
      <c r="F41" s="6">
        <f t="shared" si="20"/>
        <v>0.15536872976600721</v>
      </c>
      <c r="G41" s="2"/>
      <c r="H41" s="7">
        <v>4030</v>
      </c>
      <c r="I41" s="2"/>
      <c r="J41" s="6">
        <f t="shared" si="21"/>
        <v>9.7815533980582528E-2</v>
      </c>
      <c r="K41" s="2"/>
      <c r="L41" s="7">
        <f t="shared" si="22"/>
        <v>2166.1499999999996</v>
      </c>
      <c r="M41" s="2"/>
      <c r="N41" s="6">
        <f t="shared" si="23"/>
        <v>0.53750620347394529</v>
      </c>
      <c r="O41" s="11"/>
      <c r="P41" s="7">
        <v>6196.15</v>
      </c>
      <c r="Q41" s="2"/>
      <c r="R41" s="6">
        <f t="shared" si="24"/>
        <v>0.15536872976600721</v>
      </c>
      <c r="S41" s="2"/>
      <c r="T41" s="7">
        <v>4030</v>
      </c>
      <c r="U41" s="2"/>
      <c r="V41" s="6">
        <f t="shared" si="25"/>
        <v>9.7815533980582528E-2</v>
      </c>
      <c r="W41" s="2"/>
      <c r="X41" s="7">
        <f t="shared" si="26"/>
        <v>2166.1499999999996</v>
      </c>
      <c r="Y41" s="2"/>
      <c r="Z41" s="6">
        <f t="shared" si="27"/>
        <v>0.53750620347394529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7">
        <v>970.13</v>
      </c>
      <c r="E42" s="2"/>
      <c r="F42" s="6">
        <f t="shared" si="20"/>
        <v>2.4326051791499007E-2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970.13</v>
      </c>
      <c r="M42" s="2"/>
      <c r="N42" s="6">
        <f t="shared" si="23"/>
        <v>0</v>
      </c>
      <c r="O42" s="11"/>
      <c r="P42" s="7">
        <v>970.13</v>
      </c>
      <c r="Q42" s="2"/>
      <c r="R42" s="6">
        <f t="shared" si="24"/>
        <v>2.4326051791499007E-2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970.13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>
        <v>4596</v>
      </c>
      <c r="E43" s="2"/>
      <c r="F43" s="6">
        <f t="shared" si="20"/>
        <v>0.115244899171997</v>
      </c>
      <c r="G43" s="2"/>
      <c r="H43" s="7">
        <v>2535</v>
      </c>
      <c r="I43" s="2"/>
      <c r="J43" s="6">
        <f t="shared" si="21"/>
        <v>6.1529126213592231E-2</v>
      </c>
      <c r="K43" s="2"/>
      <c r="L43" s="7">
        <f t="shared" si="22"/>
        <v>2061</v>
      </c>
      <c r="M43" s="2"/>
      <c r="N43" s="6">
        <f t="shared" si="23"/>
        <v>0.8130177514792899</v>
      </c>
      <c r="O43" s="11"/>
      <c r="P43" s="7">
        <v>4596</v>
      </c>
      <c r="Q43" s="2"/>
      <c r="R43" s="6">
        <f t="shared" si="24"/>
        <v>0.115244899171997</v>
      </c>
      <c r="S43" s="2"/>
      <c r="T43" s="7">
        <v>2535</v>
      </c>
      <c r="U43" s="2"/>
      <c r="V43" s="6">
        <f t="shared" si="25"/>
        <v>6.1529126213592231E-2</v>
      </c>
      <c r="W43" s="2"/>
      <c r="X43" s="7">
        <f t="shared" si="26"/>
        <v>2061</v>
      </c>
      <c r="Y43" s="2"/>
      <c r="Z43" s="6">
        <f t="shared" si="27"/>
        <v>0.8130177514792899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7" customFormat="1" outlineLevel="1" collapsed="1" x14ac:dyDescent="0.25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309.99</v>
      </c>
      <c r="E47" s="1"/>
      <c r="F47" s="5">
        <f t="shared" ref="F47:F56" si="28">IF(D$12=0,0,D47/D$12)</f>
        <v>7.773012683709171E-3</v>
      </c>
      <c r="G47" s="1"/>
      <c r="H47" s="1">
        <f>SUM(OSRRefH22_2x_0)</f>
        <v>450</v>
      </c>
      <c r="I47" s="1"/>
      <c r="J47" s="5">
        <f t="shared" ref="J47:J56" si="29">IF(H$12=0,0,H47/H$12)</f>
        <v>1.0922330097087379E-2</v>
      </c>
      <c r="K47" s="1"/>
      <c r="L47" s="1">
        <f t="shared" ref="L47:L56" si="30">+D47-H47</f>
        <v>-140.01</v>
      </c>
      <c r="M47" s="1"/>
      <c r="N47" s="5">
        <f t="shared" ref="N47:N56" si="31">IF(H47=0,0,L47/H47)</f>
        <v>-0.31113333333333332</v>
      </c>
      <c r="O47" s="14"/>
      <c r="P47" s="1">
        <f>SUM(OSRRefP22_2x_0)</f>
        <v>309.99</v>
      </c>
      <c r="Q47" s="1"/>
      <c r="R47" s="5">
        <f t="shared" ref="R47:R56" si="32">IF(P$12=0,0,P47/P$12)</f>
        <v>7.773012683709171E-3</v>
      </c>
      <c r="S47" s="1"/>
      <c r="T47" s="1">
        <f>SUM(OSRRefT22_2x_0)</f>
        <v>450</v>
      </c>
      <c r="U47" s="1"/>
      <c r="V47" s="5">
        <f t="shared" ref="V47:V56" si="33">IF(T$12=0,0,T47/T$12)</f>
        <v>1.0922330097087379E-2</v>
      </c>
      <c r="W47" s="1"/>
      <c r="X47" s="1">
        <f t="shared" ref="X47:X56" si="34">+P47-T47</f>
        <v>-140.01</v>
      </c>
      <c r="Y47" s="1"/>
      <c r="Z47" s="5">
        <f t="shared" ref="Z47:Z56" si="35">IF(T47=0,0,X47/T47)</f>
        <v>-0.31113333333333332</v>
      </c>
    </row>
    <row r="48" spans="1:26" s="24" customFormat="1" hidden="1" outlineLevel="2" x14ac:dyDescent="0.25">
      <c r="A48" s="29"/>
      <c r="B48" s="11" t="str">
        <f>CONCATENATE("          ", "6362", " - ", "ADVERTISING EXPENSE")</f>
        <v xml:space="preserve">          6362 - ADVERTISING EXPENSE</v>
      </c>
      <c r="C48" s="11"/>
      <c r="D48" s="7">
        <v>309.99</v>
      </c>
      <c r="E48" s="2"/>
      <c r="F48" s="6">
        <f t="shared" si="28"/>
        <v>7.773012683709171E-3</v>
      </c>
      <c r="G48" s="2"/>
      <c r="H48" s="7">
        <v>450</v>
      </c>
      <c r="I48" s="2"/>
      <c r="J48" s="6">
        <f t="shared" si="29"/>
        <v>1.0922330097087379E-2</v>
      </c>
      <c r="K48" s="2"/>
      <c r="L48" s="7">
        <f t="shared" si="30"/>
        <v>-140.01</v>
      </c>
      <c r="M48" s="2"/>
      <c r="N48" s="6">
        <f t="shared" si="31"/>
        <v>-0.31113333333333332</v>
      </c>
      <c r="O48" s="11"/>
      <c r="P48" s="7">
        <v>309.99</v>
      </c>
      <c r="Q48" s="2"/>
      <c r="R48" s="6">
        <f t="shared" si="32"/>
        <v>7.773012683709171E-3</v>
      </c>
      <c r="S48" s="2"/>
      <c r="T48" s="7">
        <v>450</v>
      </c>
      <c r="U48" s="2"/>
      <c r="V48" s="6">
        <f t="shared" si="33"/>
        <v>1.0922330097087379E-2</v>
      </c>
      <c r="W48" s="2"/>
      <c r="X48" s="7">
        <f t="shared" si="34"/>
        <v>-140.01</v>
      </c>
      <c r="Y48" s="2"/>
      <c r="Z48" s="6">
        <f t="shared" si="35"/>
        <v>-0.31113333333333332</v>
      </c>
    </row>
    <row r="49" spans="1:26" s="27" customFormat="1" outlineLevel="1" collapsed="1" x14ac:dyDescent="0.25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10.53</v>
      </c>
      <c r="E49" s="1"/>
      <c r="F49" s="5">
        <f t="shared" si="28"/>
        <v>2.6404020632748656E-4</v>
      </c>
      <c r="G49" s="1"/>
      <c r="H49" s="1">
        <f>SUM(OSRRefH22_3x_0)</f>
        <v>10</v>
      </c>
      <c r="I49" s="1"/>
      <c r="J49" s="5">
        <f t="shared" si="29"/>
        <v>2.4271844660194174E-4</v>
      </c>
      <c r="K49" s="1"/>
      <c r="L49" s="1">
        <f t="shared" si="30"/>
        <v>0.52999999999999936</v>
      </c>
      <c r="M49" s="1"/>
      <c r="N49" s="5">
        <f t="shared" si="31"/>
        <v>5.2999999999999936E-2</v>
      </c>
      <c r="O49" s="14"/>
      <c r="P49" s="1">
        <f>SUM(OSRRefP22_3x_0)</f>
        <v>10.53</v>
      </c>
      <c r="Q49" s="1"/>
      <c r="R49" s="5">
        <f t="shared" si="32"/>
        <v>2.6404020632748656E-4</v>
      </c>
      <c r="S49" s="1"/>
      <c r="T49" s="1">
        <f>SUM(OSRRefT22_3x_0)</f>
        <v>10</v>
      </c>
      <c r="U49" s="1"/>
      <c r="V49" s="5">
        <f t="shared" si="33"/>
        <v>2.4271844660194174E-4</v>
      </c>
      <c r="W49" s="1"/>
      <c r="X49" s="1">
        <f t="shared" si="34"/>
        <v>0.52999999999999936</v>
      </c>
      <c r="Y49" s="1"/>
      <c r="Z49" s="5">
        <f t="shared" si="35"/>
        <v>5.2999999999999936E-2</v>
      </c>
    </row>
    <row r="50" spans="1:26" s="24" customFormat="1" hidden="1" outlineLevel="2" x14ac:dyDescent="0.25">
      <c r="A50" s="29"/>
      <c r="B50" s="11" t="str">
        <f>CONCATENATE("          ", "6272", " - ", "CASH (OVER/SHORT)")</f>
        <v xml:space="preserve">          6272 - CASH (OVER/SHORT)</v>
      </c>
      <c r="C50" s="11"/>
      <c r="D50" s="7">
        <v>10.53</v>
      </c>
      <c r="E50" s="2"/>
      <c r="F50" s="6">
        <f t="shared" si="28"/>
        <v>2.6404020632748656E-4</v>
      </c>
      <c r="G50" s="2"/>
      <c r="H50" s="7">
        <v>10</v>
      </c>
      <c r="I50" s="2"/>
      <c r="J50" s="6">
        <f t="shared" si="29"/>
        <v>2.4271844660194174E-4</v>
      </c>
      <c r="K50" s="2"/>
      <c r="L50" s="7">
        <f t="shared" si="30"/>
        <v>0.52999999999999936</v>
      </c>
      <c r="M50" s="2"/>
      <c r="N50" s="6">
        <f t="shared" si="31"/>
        <v>5.2999999999999936E-2</v>
      </c>
      <c r="O50" s="11"/>
      <c r="P50" s="7">
        <v>10.53</v>
      </c>
      <c r="Q50" s="2"/>
      <c r="R50" s="6">
        <f t="shared" si="32"/>
        <v>2.6404020632748656E-4</v>
      </c>
      <c r="S50" s="2"/>
      <c r="T50" s="7">
        <v>10</v>
      </c>
      <c r="U50" s="2"/>
      <c r="V50" s="6">
        <f t="shared" si="33"/>
        <v>2.4271844660194174E-4</v>
      </c>
      <c r="W50" s="2"/>
      <c r="X50" s="7">
        <f t="shared" si="34"/>
        <v>0.52999999999999936</v>
      </c>
      <c r="Y50" s="2"/>
      <c r="Z50" s="6">
        <f t="shared" si="35"/>
        <v>5.2999999999999936E-2</v>
      </c>
    </row>
    <row r="51" spans="1:26" s="27" customFormat="1" outlineLevel="1" collapsed="1" x14ac:dyDescent="0.25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1293.3399999999999</v>
      </c>
      <c r="E51" s="1"/>
      <c r="F51" s="5">
        <f t="shared" si="28"/>
        <v>3.2430556548109349E-2</v>
      </c>
      <c r="G51" s="1"/>
      <c r="H51" s="1">
        <f>SUM(OSRRefH22_4x_0)</f>
        <v>1545</v>
      </c>
      <c r="I51" s="1"/>
      <c r="J51" s="5">
        <f t="shared" si="29"/>
        <v>3.7499999999999999E-2</v>
      </c>
      <c r="K51" s="1"/>
      <c r="L51" s="1">
        <f t="shared" si="30"/>
        <v>-251.66000000000008</v>
      </c>
      <c r="M51" s="1"/>
      <c r="N51" s="5">
        <f t="shared" si="31"/>
        <v>-0.16288673139158583</v>
      </c>
      <c r="O51" s="14"/>
      <c r="P51" s="1">
        <f>SUM(OSRRefP22_4x_0)</f>
        <v>1293.3399999999999</v>
      </c>
      <c r="Q51" s="1"/>
      <c r="R51" s="5">
        <f t="shared" si="32"/>
        <v>3.2430556548109349E-2</v>
      </c>
      <c r="S51" s="1"/>
      <c r="T51" s="1">
        <f>SUM(OSRRefT22_4x_0)</f>
        <v>1545</v>
      </c>
      <c r="U51" s="1"/>
      <c r="V51" s="5">
        <f t="shared" si="33"/>
        <v>3.7499999999999999E-2</v>
      </c>
      <c r="W51" s="1"/>
      <c r="X51" s="1">
        <f t="shared" si="34"/>
        <v>-251.66000000000008</v>
      </c>
      <c r="Y51" s="1"/>
      <c r="Z51" s="5">
        <f t="shared" si="35"/>
        <v>-0.16288673139158583</v>
      </c>
    </row>
    <row r="52" spans="1:26" s="24" customFormat="1" hidden="1" outlineLevel="2" x14ac:dyDescent="0.25">
      <c r="A52" s="29"/>
      <c r="B52" s="11" t="str">
        <f>CONCATENATE("          ", "6381", " - ", "BANK/CREDIT CARD FEES")</f>
        <v xml:space="preserve">          6381 - BANK/CREDIT CARD FEES</v>
      </c>
      <c r="C52" s="11"/>
      <c r="D52" s="7">
        <v>1293.3399999999999</v>
      </c>
      <c r="E52" s="2"/>
      <c r="F52" s="6">
        <f t="shared" si="28"/>
        <v>3.2430556548109349E-2</v>
      </c>
      <c r="G52" s="2"/>
      <c r="H52" s="7">
        <v>1545</v>
      </c>
      <c r="I52" s="2"/>
      <c r="J52" s="6">
        <f t="shared" si="29"/>
        <v>3.7499999999999999E-2</v>
      </c>
      <c r="K52" s="2"/>
      <c r="L52" s="7">
        <f t="shared" si="30"/>
        <v>-251.66000000000008</v>
      </c>
      <c r="M52" s="2"/>
      <c r="N52" s="6">
        <f t="shared" si="31"/>
        <v>-0.16288673139158583</v>
      </c>
      <c r="O52" s="11"/>
      <c r="P52" s="7">
        <v>1293.3399999999999</v>
      </c>
      <c r="Q52" s="2"/>
      <c r="R52" s="6">
        <f t="shared" si="32"/>
        <v>3.2430556548109349E-2</v>
      </c>
      <c r="S52" s="2"/>
      <c r="T52" s="7">
        <v>1545</v>
      </c>
      <c r="U52" s="2"/>
      <c r="V52" s="6">
        <f t="shared" si="33"/>
        <v>3.7499999999999999E-2</v>
      </c>
      <c r="W52" s="2"/>
      <c r="X52" s="7">
        <f t="shared" si="34"/>
        <v>-251.66000000000008</v>
      </c>
      <c r="Y52" s="2"/>
      <c r="Z52" s="6">
        <f t="shared" si="35"/>
        <v>-0.16288673139158583</v>
      </c>
    </row>
    <row r="53" spans="1:26" s="27" customFormat="1" outlineLevel="1" collapsed="1" x14ac:dyDescent="0.25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8263.4700000000012</v>
      </c>
      <c r="E53" s="1"/>
      <c r="F53" s="5">
        <f t="shared" si="28"/>
        <v>0.20720686835527025</v>
      </c>
      <c r="G53" s="1"/>
      <c r="H53" s="1">
        <f>SUM(OSRRefH22_5x_0)</f>
        <v>8546</v>
      </c>
      <c r="I53" s="1"/>
      <c r="J53" s="5">
        <f t="shared" si="29"/>
        <v>0.2074271844660194</v>
      </c>
      <c r="K53" s="1"/>
      <c r="L53" s="1">
        <f t="shared" si="30"/>
        <v>-282.52999999999884</v>
      </c>
      <c r="M53" s="1"/>
      <c r="N53" s="5">
        <f t="shared" si="31"/>
        <v>-3.3059911069506065E-2</v>
      </c>
      <c r="O53" s="14"/>
      <c r="P53" s="1">
        <f>SUM(OSRRefP22_5x_0)</f>
        <v>8263.4700000000012</v>
      </c>
      <c r="Q53" s="1"/>
      <c r="R53" s="5">
        <f t="shared" si="32"/>
        <v>0.20720686835527025</v>
      </c>
      <c r="S53" s="1"/>
      <c r="T53" s="1">
        <f>SUM(OSRRefT22_5x_0)</f>
        <v>8546</v>
      </c>
      <c r="U53" s="1"/>
      <c r="V53" s="5">
        <f t="shared" si="33"/>
        <v>0.2074271844660194</v>
      </c>
      <c r="W53" s="1"/>
      <c r="X53" s="1">
        <f t="shared" si="34"/>
        <v>-282.52999999999884</v>
      </c>
      <c r="Y53" s="1"/>
      <c r="Z53" s="5">
        <f t="shared" si="35"/>
        <v>-3.3059911069506065E-2</v>
      </c>
    </row>
    <row r="54" spans="1:26" s="24" customFormat="1" hidden="1" outlineLevel="2" x14ac:dyDescent="0.25">
      <c r="A54" s="29"/>
      <c r="B54" s="11" t="str">
        <f>CONCATENATE("          ", "6321", " - ", "BUILDING DEPRECIATION")</f>
        <v xml:space="preserve">          6321 - BUILDING DEPRECIATION</v>
      </c>
      <c r="C54" s="11"/>
      <c r="D54" s="7">
        <v>6537.05</v>
      </c>
      <c r="E54" s="2"/>
      <c r="F54" s="6">
        <f t="shared" si="28"/>
        <v>0.16391681203923042</v>
      </c>
      <c r="G54" s="2"/>
      <c r="H54" s="7">
        <v>6537</v>
      </c>
      <c r="I54" s="2"/>
      <c r="J54" s="6">
        <f t="shared" si="29"/>
        <v>0.15866504854368932</v>
      </c>
      <c r="K54" s="2"/>
      <c r="L54" s="7">
        <f t="shared" si="30"/>
        <v>5.0000000000181899E-2</v>
      </c>
      <c r="M54" s="2"/>
      <c r="N54" s="6">
        <f t="shared" si="31"/>
        <v>7.6487685482915549E-6</v>
      </c>
      <c r="O54" s="11"/>
      <c r="P54" s="7">
        <v>6537.05</v>
      </c>
      <c r="Q54" s="2"/>
      <c r="R54" s="6">
        <f t="shared" si="32"/>
        <v>0.16391681203923042</v>
      </c>
      <c r="S54" s="2"/>
      <c r="T54" s="7">
        <v>6537</v>
      </c>
      <c r="U54" s="2"/>
      <c r="V54" s="6">
        <f t="shared" si="33"/>
        <v>0.15866504854368932</v>
      </c>
      <c r="W54" s="2"/>
      <c r="X54" s="7">
        <f t="shared" si="34"/>
        <v>5.0000000000181899E-2</v>
      </c>
      <c r="Y54" s="2"/>
      <c r="Z54" s="6">
        <f t="shared" si="35"/>
        <v>7.6487685482915549E-6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1726.42</v>
      </c>
      <c r="E55" s="2"/>
      <c r="F55" s="6">
        <f t="shared" si="28"/>
        <v>4.3290056316039827E-2</v>
      </c>
      <c r="G55" s="2"/>
      <c r="H55" s="7">
        <v>1726</v>
      </c>
      <c r="I55" s="2"/>
      <c r="J55" s="6">
        <f t="shared" si="29"/>
        <v>4.1893203883495149E-2</v>
      </c>
      <c r="K55" s="2"/>
      <c r="L55" s="7">
        <f t="shared" si="30"/>
        <v>0.42000000000007276</v>
      </c>
      <c r="M55" s="2"/>
      <c r="N55" s="6">
        <f t="shared" si="31"/>
        <v>2.4333719582854738E-4</v>
      </c>
      <c r="O55" s="11"/>
      <c r="P55" s="7">
        <v>1726.42</v>
      </c>
      <c r="Q55" s="2"/>
      <c r="R55" s="6">
        <f t="shared" si="32"/>
        <v>4.3290056316039827E-2</v>
      </c>
      <c r="S55" s="2"/>
      <c r="T55" s="7">
        <v>1726</v>
      </c>
      <c r="U55" s="2"/>
      <c r="V55" s="6">
        <f t="shared" si="33"/>
        <v>4.1893203883495149E-2</v>
      </c>
      <c r="W55" s="2"/>
      <c r="X55" s="7">
        <f t="shared" si="34"/>
        <v>0.42000000000007276</v>
      </c>
      <c r="Y55" s="2"/>
      <c r="Z55" s="6">
        <f t="shared" si="35"/>
        <v>2.4333719582854738E-4</v>
      </c>
    </row>
    <row r="56" spans="1:26" s="24" customFormat="1" hidden="1" outlineLevel="2" x14ac:dyDescent="0.25">
      <c r="A56" s="29"/>
      <c r="B56" s="11" t="str">
        <f>CONCATENATE("          ", "6324", " - ", "FURNITURE + FIXT DEPRECIATION")</f>
        <v xml:space="preserve">          6324 - FURNITURE + FIXT DEPRECIATION</v>
      </c>
      <c r="C56" s="11"/>
      <c r="D56" s="7"/>
      <c r="E56" s="2"/>
      <c r="F56" s="6">
        <f t="shared" si="28"/>
        <v>0</v>
      </c>
      <c r="G56" s="2"/>
      <c r="H56" s="7">
        <v>283</v>
      </c>
      <c r="I56" s="2"/>
      <c r="J56" s="6">
        <f t="shared" si="29"/>
        <v>6.8689320388349512E-3</v>
      </c>
      <c r="K56" s="2"/>
      <c r="L56" s="7">
        <f t="shared" si="30"/>
        <v>-283</v>
      </c>
      <c r="M56" s="2"/>
      <c r="N56" s="6">
        <f t="shared" si="31"/>
        <v>-1</v>
      </c>
      <c r="O56" s="11"/>
      <c r="P56" s="7"/>
      <c r="Q56" s="2"/>
      <c r="R56" s="6">
        <f t="shared" si="32"/>
        <v>0</v>
      </c>
      <c r="S56" s="2"/>
      <c r="T56" s="7">
        <v>283</v>
      </c>
      <c r="U56" s="2"/>
      <c r="V56" s="6">
        <f t="shared" si="33"/>
        <v>6.8689320388349512E-3</v>
      </c>
      <c r="W56" s="2"/>
      <c r="X56" s="7">
        <f t="shared" si="34"/>
        <v>-283</v>
      </c>
      <c r="Y56" s="2"/>
      <c r="Z56" s="6">
        <f t="shared" si="35"/>
        <v>-1</v>
      </c>
    </row>
    <row r="57" spans="1:26" s="27" customFormat="1" outlineLevel="1" collapsed="1" x14ac:dyDescent="0.25">
      <c r="A57" s="28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0</v>
      </c>
      <c r="E57" s="1"/>
      <c r="F57" s="5">
        <f t="shared" ref="F57:F63" si="36">IF(D$12=0,0,D57/D$12)</f>
        <v>0</v>
      </c>
      <c r="G57" s="1"/>
      <c r="H57" s="1">
        <f>SUM(OSRRefH22_6x_0)</f>
        <v>50</v>
      </c>
      <c r="I57" s="1"/>
      <c r="J57" s="5">
        <f t="shared" ref="J57:J63" si="37">IF(H$12=0,0,H57/H$12)</f>
        <v>1.2135922330097086E-3</v>
      </c>
      <c r="K57" s="1"/>
      <c r="L57" s="1">
        <f t="shared" ref="L57:L63" si="38">+D57-H57</f>
        <v>-50</v>
      </c>
      <c r="M57" s="1"/>
      <c r="N57" s="5">
        <f t="shared" ref="N57:N63" si="39">IF(H57=0,0,L57/H57)</f>
        <v>-1</v>
      </c>
      <c r="O57" s="14"/>
      <c r="P57" s="1">
        <f>SUM(OSRRefP22_6x_0)</f>
        <v>0</v>
      </c>
      <c r="Q57" s="1"/>
      <c r="R57" s="5">
        <f t="shared" ref="R57:R63" si="40">IF(P$12=0,0,P57/P$12)</f>
        <v>0</v>
      </c>
      <c r="S57" s="1"/>
      <c r="T57" s="1">
        <f>SUM(OSRRefT22_6x_0)</f>
        <v>50</v>
      </c>
      <c r="U57" s="1"/>
      <c r="V57" s="5">
        <f t="shared" ref="V57:V63" si="41">IF(T$12=0,0,T57/T$12)</f>
        <v>1.2135922330097086E-3</v>
      </c>
      <c r="W57" s="1"/>
      <c r="X57" s="1">
        <f t="shared" ref="X57:X63" si="42">+P57-T57</f>
        <v>-50</v>
      </c>
      <c r="Y57" s="1"/>
      <c r="Z57" s="5">
        <f t="shared" ref="Z57:Z63" si="43">IF(T57=0,0,X57/T57)</f>
        <v>-1</v>
      </c>
    </row>
    <row r="58" spans="1:26" s="24" customFormat="1" hidden="1" outlineLevel="2" x14ac:dyDescent="0.25">
      <c r="A58" s="29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36"/>
        <v>0</v>
      </c>
      <c r="G58" s="2"/>
      <c r="H58" s="7">
        <v>50</v>
      </c>
      <c r="I58" s="2"/>
      <c r="J58" s="6">
        <f t="shared" si="37"/>
        <v>1.2135922330097086E-3</v>
      </c>
      <c r="K58" s="2"/>
      <c r="L58" s="7">
        <f t="shared" si="38"/>
        <v>-50</v>
      </c>
      <c r="M58" s="2"/>
      <c r="N58" s="6">
        <f t="shared" si="39"/>
        <v>-1</v>
      </c>
      <c r="O58" s="11"/>
      <c r="P58" s="7"/>
      <c r="Q58" s="2"/>
      <c r="R58" s="6">
        <f t="shared" si="40"/>
        <v>0</v>
      </c>
      <c r="S58" s="2"/>
      <c r="T58" s="7">
        <v>50</v>
      </c>
      <c r="U58" s="2"/>
      <c r="V58" s="6">
        <f t="shared" si="41"/>
        <v>1.2135922330097086E-3</v>
      </c>
      <c r="W58" s="2"/>
      <c r="X58" s="7">
        <f t="shared" si="42"/>
        <v>-50</v>
      </c>
      <c r="Y58" s="2"/>
      <c r="Z58" s="6">
        <f t="shared" si="43"/>
        <v>-1</v>
      </c>
    </row>
    <row r="59" spans="1:26" s="27" customFormat="1" outlineLevel="1" collapsed="1" x14ac:dyDescent="0.25">
      <c r="A59" s="28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50</v>
      </c>
      <c r="I59" s="1"/>
      <c r="J59" s="5">
        <f t="shared" si="37"/>
        <v>1.2135922330097086E-3</v>
      </c>
      <c r="K59" s="1"/>
      <c r="L59" s="1">
        <f t="shared" si="38"/>
        <v>-50</v>
      </c>
      <c r="M59" s="1"/>
      <c r="N59" s="5">
        <f t="shared" si="39"/>
        <v>-1</v>
      </c>
      <c r="O59" s="14"/>
      <c r="P59" s="1">
        <f>SUM(OSRRefP22_7x_0)</f>
        <v>0</v>
      </c>
      <c r="Q59" s="1"/>
      <c r="R59" s="5">
        <f t="shared" si="40"/>
        <v>0</v>
      </c>
      <c r="S59" s="1"/>
      <c r="T59" s="1">
        <f>SUM(OSRRefT22_7x_0)</f>
        <v>50</v>
      </c>
      <c r="U59" s="1"/>
      <c r="V59" s="5">
        <f t="shared" si="41"/>
        <v>1.2135922330097086E-3</v>
      </c>
      <c r="W59" s="1"/>
      <c r="X59" s="1">
        <f t="shared" si="42"/>
        <v>-50</v>
      </c>
      <c r="Y59" s="1"/>
      <c r="Z59" s="5">
        <f t="shared" si="43"/>
        <v>-1</v>
      </c>
    </row>
    <row r="60" spans="1:26" s="24" customFormat="1" hidden="1" outlineLevel="2" x14ac:dyDescent="0.25">
      <c r="A60" s="29"/>
      <c r="B60" s="11" t="str">
        <f>CONCATENATE("          ", "6351", " - ", "EQUIPMENT RENTAL")</f>
        <v xml:space="preserve">          6351 - EQUIPMENT RENTAL</v>
      </c>
      <c r="C60" s="11"/>
      <c r="D60" s="7"/>
      <c r="E60" s="2"/>
      <c r="F60" s="6">
        <f t="shared" si="36"/>
        <v>0</v>
      </c>
      <c r="G60" s="2"/>
      <c r="H60" s="7">
        <v>50</v>
      </c>
      <c r="I60" s="2"/>
      <c r="J60" s="6">
        <f t="shared" si="37"/>
        <v>1.2135922330097086E-3</v>
      </c>
      <c r="K60" s="2"/>
      <c r="L60" s="7">
        <f t="shared" si="38"/>
        <v>-50</v>
      </c>
      <c r="M60" s="2"/>
      <c r="N60" s="6">
        <f t="shared" si="39"/>
        <v>-1</v>
      </c>
      <c r="O60" s="11"/>
      <c r="P60" s="7"/>
      <c r="Q60" s="2"/>
      <c r="R60" s="6">
        <f t="shared" si="40"/>
        <v>0</v>
      </c>
      <c r="S60" s="2"/>
      <c r="T60" s="7">
        <v>50</v>
      </c>
      <c r="U60" s="2"/>
      <c r="V60" s="6">
        <f t="shared" si="41"/>
        <v>1.2135922330097086E-3</v>
      </c>
      <c r="W60" s="2"/>
      <c r="X60" s="7">
        <f t="shared" si="42"/>
        <v>-50</v>
      </c>
      <c r="Y60" s="2"/>
      <c r="Z60" s="6">
        <f t="shared" si="43"/>
        <v>-1</v>
      </c>
    </row>
    <row r="61" spans="1:26" s="27" customFormat="1" outlineLevel="1" collapsed="1" x14ac:dyDescent="0.25">
      <c r="A61" s="28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SUM(OSRRefD22_8x_0)</f>
        <v>1239.55</v>
      </c>
      <c r="E61" s="1"/>
      <c r="F61" s="5">
        <f t="shared" si="36"/>
        <v>3.1081769967068944E-2</v>
      </c>
      <c r="G61" s="1"/>
      <c r="H61" s="1">
        <f>SUM(OSRRefH22_8x_0)</f>
        <v>1150</v>
      </c>
      <c r="I61" s="1"/>
      <c r="J61" s="5">
        <f t="shared" si="37"/>
        <v>2.7912621359223302E-2</v>
      </c>
      <c r="K61" s="1"/>
      <c r="L61" s="1">
        <f t="shared" si="38"/>
        <v>89.549999999999955</v>
      </c>
      <c r="M61" s="1"/>
      <c r="N61" s="5">
        <f t="shared" si="39"/>
        <v>7.7869565217391259E-2</v>
      </c>
      <c r="O61" s="14"/>
      <c r="P61" s="1">
        <f>SUM(OSRRefP22_8x_0)</f>
        <v>1239.55</v>
      </c>
      <c r="Q61" s="1"/>
      <c r="R61" s="5">
        <f t="shared" si="40"/>
        <v>3.1081769967068944E-2</v>
      </c>
      <c r="S61" s="1"/>
      <c r="T61" s="1">
        <f>SUM(OSRRefT22_8x_0)</f>
        <v>1150</v>
      </c>
      <c r="U61" s="1"/>
      <c r="V61" s="5">
        <f t="shared" si="41"/>
        <v>2.7912621359223302E-2</v>
      </c>
      <c r="W61" s="1"/>
      <c r="X61" s="1">
        <f t="shared" si="42"/>
        <v>89.549999999999955</v>
      </c>
      <c r="Y61" s="1"/>
      <c r="Z61" s="5">
        <f t="shared" si="43"/>
        <v>7.7869565217391259E-2</v>
      </c>
    </row>
    <row r="62" spans="1:26" s="24" customFormat="1" hidden="1" outlineLevel="2" x14ac:dyDescent="0.25">
      <c r="A62" s="29"/>
      <c r="B62" s="11" t="str">
        <f>CONCATENATE("          ", "6269", " - ", "ENTERTAINMENT")</f>
        <v xml:space="preserve">          6269 - ENTERTAINMENT</v>
      </c>
      <c r="C62" s="11"/>
      <c r="D62" s="7"/>
      <c r="E62" s="2"/>
      <c r="F62" s="6">
        <f t="shared" si="36"/>
        <v>0</v>
      </c>
      <c r="G62" s="2"/>
      <c r="H62" s="7">
        <v>1150</v>
      </c>
      <c r="I62" s="2"/>
      <c r="J62" s="6">
        <f t="shared" si="37"/>
        <v>2.7912621359223302E-2</v>
      </c>
      <c r="K62" s="2"/>
      <c r="L62" s="7">
        <f t="shared" si="38"/>
        <v>-1150</v>
      </c>
      <c r="M62" s="2"/>
      <c r="N62" s="6">
        <f t="shared" si="39"/>
        <v>-1</v>
      </c>
      <c r="O62" s="11"/>
      <c r="P62" s="7"/>
      <c r="Q62" s="2"/>
      <c r="R62" s="6">
        <f t="shared" si="40"/>
        <v>0</v>
      </c>
      <c r="S62" s="2"/>
      <c r="T62" s="7">
        <v>1150</v>
      </c>
      <c r="U62" s="2"/>
      <c r="V62" s="6">
        <f t="shared" si="41"/>
        <v>2.7912621359223302E-2</v>
      </c>
      <c r="W62" s="2"/>
      <c r="X62" s="7">
        <f t="shared" si="42"/>
        <v>-1150</v>
      </c>
      <c r="Y62" s="2"/>
      <c r="Z62" s="6">
        <f t="shared" si="43"/>
        <v>-1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7">
        <v>1239.55</v>
      </c>
      <c r="E63" s="2"/>
      <c r="F63" s="6">
        <f t="shared" si="36"/>
        <v>3.1081769967068944E-2</v>
      </c>
      <c r="G63" s="2"/>
      <c r="H63" s="7"/>
      <c r="I63" s="2"/>
      <c r="J63" s="6">
        <f t="shared" si="37"/>
        <v>0</v>
      </c>
      <c r="K63" s="2"/>
      <c r="L63" s="7">
        <f t="shared" si="38"/>
        <v>1239.55</v>
      </c>
      <c r="M63" s="2"/>
      <c r="N63" s="6">
        <f t="shared" si="39"/>
        <v>0</v>
      </c>
      <c r="O63" s="11"/>
      <c r="P63" s="7">
        <v>1239.55</v>
      </c>
      <c r="Q63" s="2"/>
      <c r="R63" s="6">
        <f t="shared" si="40"/>
        <v>3.1081769967068944E-2</v>
      </c>
      <c r="S63" s="2"/>
      <c r="T63" s="7"/>
      <c r="U63" s="2"/>
      <c r="V63" s="6">
        <f t="shared" si="41"/>
        <v>0</v>
      </c>
      <c r="W63" s="2"/>
      <c r="X63" s="7">
        <f t="shared" si="42"/>
        <v>1239.55</v>
      </c>
      <c r="Y63" s="2"/>
      <c r="Z63" s="6">
        <f t="shared" si="43"/>
        <v>0</v>
      </c>
    </row>
    <row r="64" spans="1:26" s="27" customFormat="1" outlineLevel="1" collapsed="1" x14ac:dyDescent="0.25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SUM(OSRRefD22_9x_0)</f>
        <v>3365.21</v>
      </c>
      <c r="E64" s="1"/>
      <c r="F64" s="5">
        <f t="shared" ref="F64:F69" si="44">IF(D$12=0,0,D64/D$12)</f>
        <v>8.4382786584550909E-2</v>
      </c>
      <c r="G64" s="1"/>
      <c r="H64" s="1">
        <f>SUM(OSRRefH22_9x_0)</f>
        <v>425</v>
      </c>
      <c r="I64" s="1"/>
      <c r="J64" s="5">
        <f t="shared" ref="J64:J69" si="45">IF(H$12=0,0,H64/H$12)</f>
        <v>1.0315533980582525E-2</v>
      </c>
      <c r="K64" s="1"/>
      <c r="L64" s="1">
        <f t="shared" ref="L64:L69" si="46">+D64-H64</f>
        <v>2940.21</v>
      </c>
      <c r="M64" s="1"/>
      <c r="N64" s="5">
        <f t="shared" ref="N64:N69" si="47">IF(H64=0,0,L64/H64)</f>
        <v>6.9181411764705887</v>
      </c>
      <c r="O64" s="14"/>
      <c r="P64" s="1">
        <f>SUM(OSRRefP22_9x_0)</f>
        <v>3365.21</v>
      </c>
      <c r="Q64" s="1"/>
      <c r="R64" s="5">
        <f t="shared" ref="R64:R69" si="48">IF(P$12=0,0,P64/P$12)</f>
        <v>8.4382786584550909E-2</v>
      </c>
      <c r="S64" s="1"/>
      <c r="T64" s="1">
        <f>SUM(OSRRefT22_9x_0)</f>
        <v>425</v>
      </c>
      <c r="U64" s="1"/>
      <c r="V64" s="5">
        <f t="shared" ref="V64:V69" si="49">IF(T$12=0,0,T64/T$12)</f>
        <v>1.0315533980582525E-2</v>
      </c>
      <c r="W64" s="1"/>
      <c r="X64" s="1">
        <f t="shared" ref="X64:X69" si="50">+P64-T64</f>
        <v>2940.21</v>
      </c>
      <c r="Y64" s="1"/>
      <c r="Z64" s="5">
        <f t="shared" ref="Z64:Z69" si="51">IF(T64=0,0,X64/T64)</f>
        <v>6.9181411764705887</v>
      </c>
    </row>
    <row r="65" spans="1:26" s="24" customFormat="1" hidden="1" outlineLevel="2" x14ac:dyDescent="0.25">
      <c r="A65" s="29"/>
      <c r="B65" s="11" t="str">
        <f>CONCATENATE("          ", "6375", " - ", "OUTSIDE REPAIRS &amp; MAINTENANCE")</f>
        <v xml:space="preserve">          6375 - OUTSIDE REPAIRS &amp; MAINTENANCE</v>
      </c>
      <c r="C65" s="11"/>
      <c r="D65" s="7">
        <v>3365.21</v>
      </c>
      <c r="E65" s="2"/>
      <c r="F65" s="6">
        <f t="shared" si="44"/>
        <v>8.4382786584550909E-2</v>
      </c>
      <c r="G65" s="2"/>
      <c r="H65" s="7">
        <v>425</v>
      </c>
      <c r="I65" s="2"/>
      <c r="J65" s="6">
        <f t="shared" si="45"/>
        <v>1.0315533980582525E-2</v>
      </c>
      <c r="K65" s="2"/>
      <c r="L65" s="7">
        <f t="shared" si="46"/>
        <v>2940.21</v>
      </c>
      <c r="M65" s="2"/>
      <c r="N65" s="6">
        <f t="shared" si="47"/>
        <v>6.9181411764705887</v>
      </c>
      <c r="O65" s="11"/>
      <c r="P65" s="7">
        <v>3365.21</v>
      </c>
      <c r="Q65" s="2"/>
      <c r="R65" s="6">
        <f t="shared" si="48"/>
        <v>8.4382786584550909E-2</v>
      </c>
      <c r="S65" s="2"/>
      <c r="T65" s="7">
        <v>425</v>
      </c>
      <c r="U65" s="2"/>
      <c r="V65" s="6">
        <f t="shared" si="49"/>
        <v>1.0315533980582525E-2</v>
      </c>
      <c r="W65" s="2"/>
      <c r="X65" s="7">
        <f t="shared" si="50"/>
        <v>2940.21</v>
      </c>
      <c r="Y65" s="2"/>
      <c r="Z65" s="6">
        <f t="shared" si="51"/>
        <v>6.9181411764705887</v>
      </c>
    </row>
    <row r="66" spans="1:26" s="27" customFormat="1" outlineLevel="1" collapsed="1" x14ac:dyDescent="0.25">
      <c r="A66" s="28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SUM(OSRRefD22_10x_0)</f>
        <v>249.65</v>
      </c>
      <c r="E66" s="1"/>
      <c r="F66" s="5">
        <f t="shared" si="44"/>
        <v>6.2599845688183307E-3</v>
      </c>
      <c r="G66" s="1"/>
      <c r="H66" s="1">
        <f>SUM(OSRRefH22_10x_0)</f>
        <v>478</v>
      </c>
      <c r="I66" s="1"/>
      <c r="J66" s="5">
        <f t="shared" si="45"/>
        <v>1.1601941747572815E-2</v>
      </c>
      <c r="K66" s="1"/>
      <c r="L66" s="1">
        <f t="shared" si="46"/>
        <v>-228.35</v>
      </c>
      <c r="M66" s="1"/>
      <c r="N66" s="5">
        <f t="shared" si="47"/>
        <v>-0.47771966527196652</v>
      </c>
      <c r="O66" s="14"/>
      <c r="P66" s="1">
        <f>SUM(OSRRefP22_10x_0)</f>
        <v>249.65</v>
      </c>
      <c r="Q66" s="1"/>
      <c r="R66" s="5">
        <f t="shared" si="48"/>
        <v>6.2599845688183307E-3</v>
      </c>
      <c r="S66" s="1"/>
      <c r="T66" s="1">
        <f>SUM(OSRRefT22_10x_0)</f>
        <v>478</v>
      </c>
      <c r="U66" s="1"/>
      <c r="V66" s="5">
        <f t="shared" si="49"/>
        <v>1.1601941747572815E-2</v>
      </c>
      <c r="W66" s="1"/>
      <c r="X66" s="1">
        <f t="shared" si="50"/>
        <v>-228.35</v>
      </c>
      <c r="Y66" s="1"/>
      <c r="Z66" s="5">
        <f t="shared" si="51"/>
        <v>-0.47771966527196652</v>
      </c>
    </row>
    <row r="67" spans="1:26" s="24" customFormat="1" hidden="1" outlineLevel="2" x14ac:dyDescent="0.25">
      <c r="A67" s="29"/>
      <c r="B67" s="11" t="str">
        <f>CONCATENATE("          ", "6283", " - ", "PLANT SERVICE")</f>
        <v xml:space="preserve">          6283 - PLANT SERVICE</v>
      </c>
      <c r="C67" s="11"/>
      <c r="D67" s="7">
        <v>39.75</v>
      </c>
      <c r="E67" s="2"/>
      <c r="F67" s="6">
        <f t="shared" si="44"/>
        <v>9.9673297260375986E-4</v>
      </c>
      <c r="G67" s="2"/>
      <c r="H67" s="7">
        <v>30</v>
      </c>
      <c r="I67" s="2"/>
      <c r="J67" s="6">
        <f t="shared" si="45"/>
        <v>7.2815533980582527E-4</v>
      </c>
      <c r="K67" s="2"/>
      <c r="L67" s="7">
        <f t="shared" si="46"/>
        <v>9.75</v>
      </c>
      <c r="M67" s="2"/>
      <c r="N67" s="6">
        <f t="shared" si="47"/>
        <v>0.32500000000000001</v>
      </c>
      <c r="O67" s="11"/>
      <c r="P67" s="7">
        <v>39.75</v>
      </c>
      <c r="Q67" s="2"/>
      <c r="R67" s="6">
        <f t="shared" si="48"/>
        <v>9.9673297260375986E-4</v>
      </c>
      <c r="S67" s="2"/>
      <c r="T67" s="7">
        <v>30</v>
      </c>
      <c r="U67" s="2"/>
      <c r="V67" s="6">
        <f t="shared" si="49"/>
        <v>7.2815533980582527E-4</v>
      </c>
      <c r="W67" s="2"/>
      <c r="X67" s="7">
        <f t="shared" si="50"/>
        <v>9.75</v>
      </c>
      <c r="Y67" s="2"/>
      <c r="Z67" s="6">
        <f t="shared" si="51"/>
        <v>0.32500000000000001</v>
      </c>
    </row>
    <row r="68" spans="1:26" s="24" customFormat="1" hidden="1" outlineLevel="2" x14ac:dyDescent="0.25">
      <c r="A68" s="29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44"/>
        <v>0</v>
      </c>
      <c r="G68" s="2"/>
      <c r="H68" s="7">
        <v>360</v>
      </c>
      <c r="I68" s="2"/>
      <c r="J68" s="6">
        <f t="shared" si="45"/>
        <v>8.7378640776699032E-3</v>
      </c>
      <c r="K68" s="2"/>
      <c r="L68" s="7">
        <f t="shared" si="46"/>
        <v>-360</v>
      </c>
      <c r="M68" s="2"/>
      <c r="N68" s="6">
        <f t="shared" si="47"/>
        <v>-1</v>
      </c>
      <c r="O68" s="11"/>
      <c r="P68" s="7"/>
      <c r="Q68" s="2"/>
      <c r="R68" s="6">
        <f t="shared" si="48"/>
        <v>0</v>
      </c>
      <c r="S68" s="2"/>
      <c r="T68" s="7">
        <v>360</v>
      </c>
      <c r="U68" s="2"/>
      <c r="V68" s="6">
        <f t="shared" si="49"/>
        <v>8.7378640776699032E-3</v>
      </c>
      <c r="W68" s="2"/>
      <c r="X68" s="7">
        <f t="shared" si="50"/>
        <v>-360</v>
      </c>
      <c r="Y68" s="2"/>
      <c r="Z68" s="6">
        <f t="shared" si="51"/>
        <v>-1</v>
      </c>
    </row>
    <row r="69" spans="1:26" s="24" customFormat="1" hidden="1" outlineLevel="2" x14ac:dyDescent="0.25">
      <c r="A69" s="29"/>
      <c r="B69" s="11" t="str">
        <f>CONCATENATE("          ", "6286", " - ", "LAUNDRY EXPENSE")</f>
        <v xml:space="preserve">          6286 - LAUNDRY EXPENSE</v>
      </c>
      <c r="C69" s="11"/>
      <c r="D69" s="7">
        <v>209.9</v>
      </c>
      <c r="E69" s="2"/>
      <c r="F69" s="6">
        <f t="shared" si="44"/>
        <v>5.2632515962145708E-3</v>
      </c>
      <c r="G69" s="2"/>
      <c r="H69" s="7">
        <v>88</v>
      </c>
      <c r="I69" s="2"/>
      <c r="J69" s="6">
        <f t="shared" si="45"/>
        <v>2.1359223300970874E-3</v>
      </c>
      <c r="K69" s="2"/>
      <c r="L69" s="7">
        <f t="shared" si="46"/>
        <v>121.9</v>
      </c>
      <c r="M69" s="2"/>
      <c r="N69" s="6">
        <f t="shared" si="47"/>
        <v>1.3852272727272728</v>
      </c>
      <c r="O69" s="11"/>
      <c r="P69" s="7">
        <v>209.9</v>
      </c>
      <c r="Q69" s="2"/>
      <c r="R69" s="6">
        <f t="shared" si="48"/>
        <v>5.2632515962145708E-3</v>
      </c>
      <c r="S69" s="2"/>
      <c r="T69" s="7">
        <v>88</v>
      </c>
      <c r="U69" s="2"/>
      <c r="V69" s="6">
        <f t="shared" si="49"/>
        <v>2.1359223300970874E-3</v>
      </c>
      <c r="W69" s="2"/>
      <c r="X69" s="7">
        <f t="shared" si="50"/>
        <v>121.9</v>
      </c>
      <c r="Y69" s="2"/>
      <c r="Z69" s="6">
        <f t="shared" si="51"/>
        <v>1.3852272727272728</v>
      </c>
    </row>
    <row r="70" spans="1:26" s="27" customFormat="1" outlineLevel="1" collapsed="1" x14ac:dyDescent="0.25">
      <c r="A70" s="28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SUM(OSRRefD22_11x_0)</f>
        <v>196.71</v>
      </c>
      <c r="E70" s="1"/>
      <c r="F70" s="5">
        <f t="shared" ref="F70:F76" si="52">IF(D$12=0,0,D70/D$12)</f>
        <v>4.9325117746134746E-3</v>
      </c>
      <c r="G70" s="1"/>
      <c r="H70" s="1">
        <f>SUM(OSRRefH22_11x_0)</f>
        <v>194</v>
      </c>
      <c r="I70" s="1"/>
      <c r="J70" s="5">
        <f t="shared" ref="J70:J76" si="53">IF(H$12=0,0,H70/H$12)</f>
        <v>4.7087378640776698E-3</v>
      </c>
      <c r="K70" s="1"/>
      <c r="L70" s="1">
        <f t="shared" ref="L70:L76" si="54">+D70-H70</f>
        <v>2.710000000000008</v>
      </c>
      <c r="M70" s="1"/>
      <c r="N70" s="5">
        <f t="shared" ref="N70:N76" si="55">IF(H70=0,0,L70/H70)</f>
        <v>1.3969072164948495E-2</v>
      </c>
      <c r="O70" s="14"/>
      <c r="P70" s="1">
        <f>SUM(OSRRefP22_11x_0)</f>
        <v>196.71</v>
      </c>
      <c r="Q70" s="1"/>
      <c r="R70" s="5">
        <f t="shared" ref="R70:R76" si="56">IF(P$12=0,0,P70/P$12)</f>
        <v>4.9325117746134746E-3</v>
      </c>
      <c r="S70" s="1"/>
      <c r="T70" s="1">
        <f>SUM(OSRRefT22_11x_0)</f>
        <v>194</v>
      </c>
      <c r="U70" s="1"/>
      <c r="V70" s="5">
        <f t="shared" ref="V70:V76" si="57">IF(T$12=0,0,T70/T$12)</f>
        <v>4.7087378640776698E-3</v>
      </c>
      <c r="W70" s="1"/>
      <c r="X70" s="1">
        <f t="shared" ref="X70:X76" si="58">+P70-T70</f>
        <v>2.710000000000008</v>
      </c>
      <c r="Y70" s="1"/>
      <c r="Z70" s="5">
        <f t="shared" ref="Z70:Z76" si="59">IF(T70=0,0,X70/T70)</f>
        <v>1.3969072164948495E-2</v>
      </c>
    </row>
    <row r="71" spans="1:26" s="24" customFormat="1" hidden="1" outlineLevel="2" x14ac:dyDescent="0.25">
      <c r="A71" s="29"/>
      <c r="B71" s="11" t="str">
        <f>CONCATENATE("          ", "6275", " - ", "SUBSCRIPTIONS")</f>
        <v xml:space="preserve">          6275 - SUBSCRIPTIONS</v>
      </c>
      <c r="C71" s="11"/>
      <c r="D71" s="7">
        <v>196.71</v>
      </c>
      <c r="E71" s="2"/>
      <c r="F71" s="6">
        <f t="shared" si="52"/>
        <v>4.9325117746134746E-3</v>
      </c>
      <c r="G71" s="2"/>
      <c r="H71" s="7">
        <v>194</v>
      </c>
      <c r="I71" s="2"/>
      <c r="J71" s="6">
        <f t="shared" si="53"/>
        <v>4.7087378640776698E-3</v>
      </c>
      <c r="K71" s="2"/>
      <c r="L71" s="7">
        <f t="shared" si="54"/>
        <v>2.710000000000008</v>
      </c>
      <c r="M71" s="2"/>
      <c r="N71" s="6">
        <f t="shared" si="55"/>
        <v>1.3969072164948495E-2</v>
      </c>
      <c r="O71" s="11"/>
      <c r="P71" s="7">
        <v>196.71</v>
      </c>
      <c r="Q71" s="2"/>
      <c r="R71" s="6">
        <f t="shared" si="56"/>
        <v>4.9325117746134746E-3</v>
      </c>
      <c r="S71" s="2"/>
      <c r="T71" s="7">
        <v>194</v>
      </c>
      <c r="U71" s="2"/>
      <c r="V71" s="6">
        <f t="shared" si="57"/>
        <v>4.7087378640776698E-3</v>
      </c>
      <c r="W71" s="2"/>
      <c r="X71" s="7">
        <f t="shared" si="58"/>
        <v>2.710000000000008</v>
      </c>
      <c r="Y71" s="2"/>
      <c r="Z71" s="6">
        <f t="shared" si="59"/>
        <v>1.3969072164948495E-2</v>
      </c>
    </row>
    <row r="72" spans="1:26" s="27" customFormat="1" outlineLevel="1" collapsed="1" x14ac:dyDescent="0.25">
      <c r="A72" s="28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SUM(OSRRefD22_12x_0)</f>
        <v>616.88</v>
      </c>
      <c r="E72" s="1"/>
      <c r="F72" s="5">
        <f t="shared" si="52"/>
        <v>1.5468292733076915E-2</v>
      </c>
      <c r="G72" s="1"/>
      <c r="H72" s="1">
        <f>SUM(OSRRefH22_12x_0)</f>
        <v>3275</v>
      </c>
      <c r="I72" s="1"/>
      <c r="J72" s="5">
        <f t="shared" si="53"/>
        <v>7.9490291262135929E-2</v>
      </c>
      <c r="K72" s="1"/>
      <c r="L72" s="1">
        <f t="shared" si="54"/>
        <v>-2658.12</v>
      </c>
      <c r="M72" s="1"/>
      <c r="N72" s="5">
        <f t="shared" si="55"/>
        <v>-0.81163969465648855</v>
      </c>
      <c r="O72" s="14"/>
      <c r="P72" s="1">
        <f>SUM(OSRRefP22_12x_0)</f>
        <v>616.88</v>
      </c>
      <c r="Q72" s="1"/>
      <c r="R72" s="5">
        <f t="shared" si="56"/>
        <v>1.5468292733076915E-2</v>
      </c>
      <c r="S72" s="1"/>
      <c r="T72" s="1">
        <f>SUM(OSRRefT22_12x_0)</f>
        <v>3275</v>
      </c>
      <c r="U72" s="1"/>
      <c r="V72" s="5">
        <f t="shared" si="57"/>
        <v>7.9490291262135929E-2</v>
      </c>
      <c r="W72" s="1"/>
      <c r="X72" s="1">
        <f t="shared" si="58"/>
        <v>-2658.12</v>
      </c>
      <c r="Y72" s="1"/>
      <c r="Z72" s="5">
        <f t="shared" si="59"/>
        <v>-0.81163969465648855</v>
      </c>
    </row>
    <row r="73" spans="1:26" s="24" customFormat="1" hidden="1" outlineLevel="2" x14ac:dyDescent="0.25">
      <c r="A73" s="29"/>
      <c r="B73" s="11" t="str">
        <f>CONCATENATE("          ", "6237", " - ", "JANITORIAL SUPPLIES")</f>
        <v xml:space="preserve">          6237 - JANITORIAL SUPPLIES</v>
      </c>
      <c r="C73" s="11"/>
      <c r="D73" s="7"/>
      <c r="E73" s="2"/>
      <c r="F73" s="6">
        <f t="shared" si="52"/>
        <v>0</v>
      </c>
      <c r="G73" s="2"/>
      <c r="H73" s="7">
        <v>1850</v>
      </c>
      <c r="I73" s="2"/>
      <c r="J73" s="6">
        <f t="shared" si="53"/>
        <v>4.4902912621359224E-2</v>
      </c>
      <c r="K73" s="2"/>
      <c r="L73" s="7">
        <f t="shared" si="54"/>
        <v>-1850</v>
      </c>
      <c r="M73" s="2"/>
      <c r="N73" s="6">
        <f t="shared" si="55"/>
        <v>-1</v>
      </c>
      <c r="O73" s="11"/>
      <c r="P73" s="7"/>
      <c r="Q73" s="2"/>
      <c r="R73" s="6">
        <f t="shared" si="56"/>
        <v>0</v>
      </c>
      <c r="S73" s="2"/>
      <c r="T73" s="7">
        <v>1850</v>
      </c>
      <c r="U73" s="2"/>
      <c r="V73" s="6">
        <f t="shared" si="57"/>
        <v>4.4902912621359224E-2</v>
      </c>
      <c r="W73" s="2"/>
      <c r="X73" s="7">
        <f t="shared" si="58"/>
        <v>-1850</v>
      </c>
      <c r="Y73" s="2"/>
      <c r="Z73" s="6">
        <f t="shared" si="59"/>
        <v>-1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7">
        <v>338.42</v>
      </c>
      <c r="E74" s="2"/>
      <c r="F74" s="6">
        <f t="shared" si="52"/>
        <v>8.4858961657500488E-3</v>
      </c>
      <c r="G74" s="2"/>
      <c r="H74" s="7">
        <v>175</v>
      </c>
      <c r="I74" s="2"/>
      <c r="J74" s="6">
        <f t="shared" si="53"/>
        <v>4.2475728155339804E-3</v>
      </c>
      <c r="K74" s="2"/>
      <c r="L74" s="7">
        <f t="shared" si="54"/>
        <v>163.42000000000002</v>
      </c>
      <c r="M74" s="2"/>
      <c r="N74" s="6">
        <f t="shared" si="55"/>
        <v>0.93382857142857156</v>
      </c>
      <c r="O74" s="11"/>
      <c r="P74" s="7">
        <v>338.42</v>
      </c>
      <c r="Q74" s="2"/>
      <c r="R74" s="6">
        <f t="shared" si="56"/>
        <v>8.4858961657500488E-3</v>
      </c>
      <c r="S74" s="2"/>
      <c r="T74" s="7">
        <v>175</v>
      </c>
      <c r="U74" s="2"/>
      <c r="V74" s="6">
        <f t="shared" si="57"/>
        <v>4.2475728155339804E-3</v>
      </c>
      <c r="W74" s="2"/>
      <c r="X74" s="7">
        <f t="shared" si="58"/>
        <v>163.42000000000002</v>
      </c>
      <c r="Y74" s="2"/>
      <c r="Z74" s="6">
        <f t="shared" si="59"/>
        <v>0.93382857142857156</v>
      </c>
    </row>
    <row r="75" spans="1:26" s="24" customFormat="1" hidden="1" outlineLevel="2" x14ac:dyDescent="0.25">
      <c r="A75" s="29"/>
      <c r="B75" s="11" t="str">
        <f>CONCATENATE("          ", "6243", " - ", "PAPER SUPPLIES")</f>
        <v xml:space="preserve">          6243 - PAPER SUPPLIES</v>
      </c>
      <c r="C75" s="11"/>
      <c r="D75" s="7">
        <v>278.45999999999998</v>
      </c>
      <c r="E75" s="2"/>
      <c r="F75" s="6">
        <f t="shared" si="52"/>
        <v>6.982396567326867E-3</v>
      </c>
      <c r="G75" s="2"/>
      <c r="H75" s="7">
        <v>450</v>
      </c>
      <c r="I75" s="2"/>
      <c r="J75" s="6">
        <f t="shared" si="53"/>
        <v>1.0922330097087379E-2</v>
      </c>
      <c r="K75" s="2"/>
      <c r="L75" s="7">
        <f t="shared" si="54"/>
        <v>-171.54000000000002</v>
      </c>
      <c r="M75" s="2"/>
      <c r="N75" s="6">
        <f t="shared" si="55"/>
        <v>-0.38120000000000004</v>
      </c>
      <c r="O75" s="11"/>
      <c r="P75" s="7">
        <v>278.45999999999998</v>
      </c>
      <c r="Q75" s="2"/>
      <c r="R75" s="6">
        <f t="shared" si="56"/>
        <v>6.982396567326867E-3</v>
      </c>
      <c r="S75" s="2"/>
      <c r="T75" s="7">
        <v>450</v>
      </c>
      <c r="U75" s="2"/>
      <c r="V75" s="6">
        <f t="shared" si="57"/>
        <v>1.0922330097087379E-2</v>
      </c>
      <c r="W75" s="2"/>
      <c r="X75" s="7">
        <f t="shared" si="58"/>
        <v>-171.54000000000002</v>
      </c>
      <c r="Y75" s="2"/>
      <c r="Z75" s="6">
        <f t="shared" si="59"/>
        <v>-0.38120000000000004</v>
      </c>
    </row>
    <row r="76" spans="1:26" s="24" customFormat="1" hidden="1" outlineLevel="2" x14ac:dyDescent="0.25">
      <c r="A76" s="29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52"/>
        <v>0</v>
      </c>
      <c r="G76" s="2"/>
      <c r="H76" s="7">
        <v>800</v>
      </c>
      <c r="I76" s="2"/>
      <c r="J76" s="6">
        <f t="shared" si="53"/>
        <v>1.9417475728155338E-2</v>
      </c>
      <c r="K76" s="2"/>
      <c r="L76" s="7">
        <f t="shared" si="54"/>
        <v>-800</v>
      </c>
      <c r="M76" s="2"/>
      <c r="N76" s="6">
        <f t="shared" si="55"/>
        <v>-1</v>
      </c>
      <c r="O76" s="11"/>
      <c r="P76" s="7"/>
      <c r="Q76" s="2"/>
      <c r="R76" s="6">
        <f t="shared" si="56"/>
        <v>0</v>
      </c>
      <c r="S76" s="2"/>
      <c r="T76" s="7">
        <v>800</v>
      </c>
      <c r="U76" s="2"/>
      <c r="V76" s="6">
        <f t="shared" si="57"/>
        <v>1.9417475728155338E-2</v>
      </c>
      <c r="W76" s="2"/>
      <c r="X76" s="7">
        <f t="shared" si="58"/>
        <v>-800</v>
      </c>
      <c r="Y76" s="2"/>
      <c r="Z76" s="6">
        <f t="shared" si="59"/>
        <v>-1</v>
      </c>
    </row>
    <row r="77" spans="1:26" s="27" customFormat="1" outlineLevel="1" collapsed="1" x14ac:dyDescent="0.25">
      <c r="A77" s="28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SUM(OSRRefD22_13x_0)</f>
        <v>113.2</v>
      </c>
      <c r="E77" s="1"/>
      <c r="F77" s="5">
        <f t="shared" ref="F77:F82" si="60">IF(D$12=0,0,D77/D$12)</f>
        <v>2.8384949056288206E-3</v>
      </c>
      <c r="G77" s="1"/>
      <c r="H77" s="1">
        <f>SUM(OSRRefH22_13x_0)</f>
        <v>160</v>
      </c>
      <c r="I77" s="1"/>
      <c r="J77" s="5">
        <f t="shared" ref="J77:J82" si="61">IF(H$12=0,0,H77/H$12)</f>
        <v>3.8834951456310678E-3</v>
      </c>
      <c r="K77" s="1"/>
      <c r="L77" s="1">
        <f t="shared" ref="L77:L82" si="62">+D77-H77</f>
        <v>-46.8</v>
      </c>
      <c r="M77" s="1"/>
      <c r="N77" s="5">
        <f t="shared" ref="N77:N82" si="63">IF(H77=0,0,L77/H77)</f>
        <v>-0.29249999999999998</v>
      </c>
      <c r="O77" s="14"/>
      <c r="P77" s="1">
        <f>SUM(OSRRefP22_13x_0)</f>
        <v>113.2</v>
      </c>
      <c r="Q77" s="1"/>
      <c r="R77" s="5">
        <f t="shared" ref="R77:R82" si="64">IF(P$12=0,0,P77/P$12)</f>
        <v>2.8384949056288206E-3</v>
      </c>
      <c r="S77" s="1"/>
      <c r="T77" s="1">
        <f>SUM(OSRRefT22_13x_0)</f>
        <v>160</v>
      </c>
      <c r="U77" s="1"/>
      <c r="V77" s="5">
        <f t="shared" ref="V77:V82" si="65">IF(T$12=0,0,T77/T$12)</f>
        <v>3.8834951456310678E-3</v>
      </c>
      <c r="W77" s="1"/>
      <c r="X77" s="1">
        <f t="shared" ref="X77:X82" si="66">+P77-T77</f>
        <v>-46.8</v>
      </c>
      <c r="Y77" s="1"/>
      <c r="Z77" s="5">
        <f t="shared" ref="Z77:Z82" si="67">IF(T77=0,0,X77/T77)</f>
        <v>-0.29249999999999998</v>
      </c>
    </row>
    <row r="78" spans="1:26" s="24" customFormat="1" hidden="1" outlineLevel="2" x14ac:dyDescent="0.25">
      <c r="A78" s="29"/>
      <c r="B78" s="11" t="str">
        <f>CONCATENATE("          ", "6309", " - ", "TELEPHONE")</f>
        <v xml:space="preserve">          6309 - TELEPHONE</v>
      </c>
      <c r="C78" s="11"/>
      <c r="D78" s="7">
        <v>113.2</v>
      </c>
      <c r="E78" s="2"/>
      <c r="F78" s="6">
        <f t="shared" si="60"/>
        <v>2.8384949056288206E-3</v>
      </c>
      <c r="G78" s="2"/>
      <c r="H78" s="7">
        <v>160</v>
      </c>
      <c r="I78" s="2"/>
      <c r="J78" s="6">
        <f t="shared" si="61"/>
        <v>3.8834951456310678E-3</v>
      </c>
      <c r="K78" s="2"/>
      <c r="L78" s="7">
        <f t="shared" si="62"/>
        <v>-46.8</v>
      </c>
      <c r="M78" s="2"/>
      <c r="N78" s="6">
        <f t="shared" si="63"/>
        <v>-0.29249999999999998</v>
      </c>
      <c r="O78" s="11"/>
      <c r="P78" s="7">
        <v>113.2</v>
      </c>
      <c r="Q78" s="2"/>
      <c r="R78" s="6">
        <f t="shared" si="64"/>
        <v>2.8384949056288206E-3</v>
      </c>
      <c r="S78" s="2"/>
      <c r="T78" s="7">
        <v>160</v>
      </c>
      <c r="U78" s="2"/>
      <c r="V78" s="6">
        <f t="shared" si="65"/>
        <v>3.8834951456310678E-3</v>
      </c>
      <c r="W78" s="2"/>
      <c r="X78" s="7">
        <f t="shared" si="66"/>
        <v>-46.8</v>
      </c>
      <c r="Y78" s="2"/>
      <c r="Z78" s="6">
        <f t="shared" si="67"/>
        <v>-0.29249999999999998</v>
      </c>
    </row>
    <row r="79" spans="1:26" s="27" customFormat="1" outlineLevel="1" collapsed="1" x14ac:dyDescent="0.25">
      <c r="A79" s="28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SUM(OSRRefD22_14x_0)</f>
        <v>85</v>
      </c>
      <c r="E79" s="1"/>
      <c r="F79" s="5">
        <f t="shared" si="60"/>
        <v>2.13137868355521E-3</v>
      </c>
      <c r="G79" s="1"/>
      <c r="H79" s="1">
        <f>SUM(OSRRefH22_14x_0)</f>
        <v>0</v>
      </c>
      <c r="I79" s="1"/>
      <c r="J79" s="5">
        <f t="shared" si="61"/>
        <v>0</v>
      </c>
      <c r="K79" s="1"/>
      <c r="L79" s="1">
        <f t="shared" si="62"/>
        <v>85</v>
      </c>
      <c r="M79" s="1"/>
      <c r="N79" s="5">
        <f t="shared" si="63"/>
        <v>0</v>
      </c>
      <c r="O79" s="14"/>
      <c r="P79" s="1">
        <f>SUM(OSRRefP22_14x_0)</f>
        <v>85</v>
      </c>
      <c r="Q79" s="1"/>
      <c r="R79" s="5">
        <f t="shared" si="64"/>
        <v>2.13137868355521E-3</v>
      </c>
      <c r="S79" s="1"/>
      <c r="T79" s="1">
        <f>SUM(OSRRefT22_14x_0)</f>
        <v>0</v>
      </c>
      <c r="U79" s="1"/>
      <c r="V79" s="5">
        <f t="shared" si="65"/>
        <v>0</v>
      </c>
      <c r="W79" s="1"/>
      <c r="X79" s="1">
        <f t="shared" si="66"/>
        <v>85</v>
      </c>
      <c r="Y79" s="1"/>
      <c r="Z79" s="5">
        <f t="shared" si="67"/>
        <v>0</v>
      </c>
    </row>
    <row r="80" spans="1:26" s="24" customFormat="1" hidden="1" outlineLevel="2" x14ac:dyDescent="0.25">
      <c r="A80" s="29"/>
      <c r="B80" s="11" t="str">
        <f>CONCATENATE("          ", "6376", " - ", "TRAINING")</f>
        <v xml:space="preserve">          6376 - TRAINING</v>
      </c>
      <c r="C80" s="11"/>
      <c r="D80" s="7">
        <v>85</v>
      </c>
      <c r="E80" s="2"/>
      <c r="F80" s="6">
        <f t="shared" si="60"/>
        <v>2.13137868355521E-3</v>
      </c>
      <c r="G80" s="2"/>
      <c r="H80" s="7"/>
      <c r="I80" s="2"/>
      <c r="J80" s="6">
        <f t="shared" si="61"/>
        <v>0</v>
      </c>
      <c r="K80" s="2"/>
      <c r="L80" s="7">
        <f t="shared" si="62"/>
        <v>85</v>
      </c>
      <c r="M80" s="2"/>
      <c r="N80" s="6">
        <f t="shared" si="63"/>
        <v>0</v>
      </c>
      <c r="O80" s="11"/>
      <c r="P80" s="7">
        <v>85</v>
      </c>
      <c r="Q80" s="2"/>
      <c r="R80" s="6">
        <f t="shared" si="64"/>
        <v>2.13137868355521E-3</v>
      </c>
      <c r="S80" s="2"/>
      <c r="T80" s="7"/>
      <c r="U80" s="2"/>
      <c r="V80" s="6">
        <f t="shared" si="65"/>
        <v>0</v>
      </c>
      <c r="W80" s="2"/>
      <c r="X80" s="7">
        <f t="shared" si="66"/>
        <v>85</v>
      </c>
      <c r="Y80" s="2"/>
      <c r="Z80" s="6">
        <f t="shared" si="67"/>
        <v>0</v>
      </c>
    </row>
    <row r="81" spans="1:26" s="27" customFormat="1" outlineLevel="1" collapsed="1" x14ac:dyDescent="0.25">
      <c r="A81" s="28"/>
      <c r="B81" s="14" t="str">
        <f>CONCATENATE("     ","Travel                                            ")</f>
        <v xml:space="preserve">     Travel                                            </v>
      </c>
      <c r="C81" s="14"/>
      <c r="D81" s="1">
        <f>SUM(OSRRefD22_15x_0)</f>
        <v>0</v>
      </c>
      <c r="E81" s="1"/>
      <c r="F81" s="5">
        <f t="shared" si="60"/>
        <v>0</v>
      </c>
      <c r="G81" s="1"/>
      <c r="H81" s="1">
        <f>SUM(OSRRefH22_15x_0)</f>
        <v>2000</v>
      </c>
      <c r="I81" s="1"/>
      <c r="J81" s="5">
        <f t="shared" si="61"/>
        <v>4.8543689320388349E-2</v>
      </c>
      <c r="K81" s="1"/>
      <c r="L81" s="1">
        <f t="shared" si="62"/>
        <v>-2000</v>
      </c>
      <c r="M81" s="1"/>
      <c r="N81" s="5">
        <f t="shared" si="63"/>
        <v>-1</v>
      </c>
      <c r="O81" s="14"/>
      <c r="P81" s="1">
        <f>SUM(OSRRefP22_15x_0)</f>
        <v>0</v>
      </c>
      <c r="Q81" s="1"/>
      <c r="R81" s="5">
        <f t="shared" si="64"/>
        <v>0</v>
      </c>
      <c r="S81" s="1"/>
      <c r="T81" s="1">
        <f>SUM(OSRRefT22_15x_0)</f>
        <v>2000</v>
      </c>
      <c r="U81" s="1"/>
      <c r="V81" s="5">
        <f t="shared" si="65"/>
        <v>4.8543689320388349E-2</v>
      </c>
      <c r="W81" s="1"/>
      <c r="X81" s="1">
        <f t="shared" si="66"/>
        <v>-2000</v>
      </c>
      <c r="Y81" s="1"/>
      <c r="Z81" s="5">
        <f t="shared" si="67"/>
        <v>-1</v>
      </c>
    </row>
    <row r="82" spans="1:26" s="24" customFormat="1" hidden="1" outlineLevel="2" x14ac:dyDescent="0.25">
      <c r="A82" s="29"/>
      <c r="B82" s="11" t="str">
        <f>CONCATENATE("          ", "6292", " - ", "TRAVEL/CONFERENCE")</f>
        <v xml:space="preserve">          6292 - TRAVEL/CONFERENCE</v>
      </c>
      <c r="C82" s="11"/>
      <c r="D82" s="7"/>
      <c r="E82" s="2"/>
      <c r="F82" s="6">
        <f t="shared" si="60"/>
        <v>0</v>
      </c>
      <c r="G82" s="2"/>
      <c r="H82" s="7">
        <v>2000</v>
      </c>
      <c r="I82" s="2"/>
      <c r="J82" s="6">
        <f t="shared" si="61"/>
        <v>4.8543689320388349E-2</v>
      </c>
      <c r="K82" s="2"/>
      <c r="L82" s="7">
        <f t="shared" si="62"/>
        <v>-2000</v>
      </c>
      <c r="M82" s="2"/>
      <c r="N82" s="6">
        <f t="shared" si="63"/>
        <v>-1</v>
      </c>
      <c r="O82" s="11"/>
      <c r="P82" s="7"/>
      <c r="Q82" s="2"/>
      <c r="R82" s="6">
        <f t="shared" si="64"/>
        <v>0</v>
      </c>
      <c r="S82" s="2"/>
      <c r="T82" s="7">
        <v>2000</v>
      </c>
      <c r="U82" s="2"/>
      <c r="V82" s="6">
        <f t="shared" si="65"/>
        <v>4.8543689320388349E-2</v>
      </c>
      <c r="W82" s="2"/>
      <c r="X82" s="7">
        <f t="shared" si="66"/>
        <v>-2000</v>
      </c>
      <c r="Y82" s="2"/>
      <c r="Z82" s="6">
        <f t="shared" si="67"/>
        <v>-1</v>
      </c>
    </row>
    <row r="83" spans="1:26" s="57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5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6" t="s">
        <v>3</v>
      </c>
      <c r="C86" s="26"/>
      <c r="D86" s="21">
        <f>+D23-D25+D84</f>
        <v>-12899.089999999997</v>
      </c>
      <c r="E86" s="13"/>
      <c r="F86" s="19">
        <f>IF(D$12=0,0,D86/D$12)</f>
        <v>-0.32344524074423719</v>
      </c>
      <c r="G86" s="13"/>
      <c r="H86" s="21">
        <f>+H23-H25+H84</f>
        <v>-15630.204317230819</v>
      </c>
      <c r="I86" s="13"/>
      <c r="J86" s="19">
        <f>IF(H$12=0,0,H86/H$12)</f>
        <v>-0.37937389119492276</v>
      </c>
      <c r="K86" s="15"/>
      <c r="L86" s="21">
        <f>+D86-H86</f>
        <v>2731.1143172308221</v>
      </c>
      <c r="M86" s="15"/>
      <c r="N86" s="19">
        <f>IF(H86=0,0,L86/H86)</f>
        <v>-0.17473311684224291</v>
      </c>
      <c r="O86" s="25"/>
      <c r="P86" s="21">
        <f>+P23-P25+P84</f>
        <v>-12899.089999999997</v>
      </c>
      <c r="Q86" s="13"/>
      <c r="R86" s="19">
        <f>IF(P$12=0,0,P86/P$12)</f>
        <v>-0.32344524074423719</v>
      </c>
      <c r="S86" s="13"/>
      <c r="T86" s="21">
        <f>+T23-T25+T84</f>
        <v>-15630.204317230819</v>
      </c>
      <c r="U86" s="13"/>
      <c r="V86" s="19">
        <f>IF(T$12=0,0,T86/T$12)</f>
        <v>-0.37937389119492276</v>
      </c>
      <c r="W86" s="15"/>
      <c r="X86" s="21">
        <f>+P86-T86</f>
        <v>2731.1143172308221</v>
      </c>
      <c r="Y86" s="15"/>
      <c r="Z86" s="19">
        <f>IF(T86=0,0,X86/T86)</f>
        <v>-0.17473311684224291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8292.2900000000009</v>
      </c>
      <c r="E88" s="4"/>
      <c r="F88" s="12">
        <f>IF(D$12=0,0,D88/D$12)</f>
        <v>0.20792953110421214</v>
      </c>
      <c r="G88" s="4"/>
      <c r="H88" s="4">
        <v>10041</v>
      </c>
      <c r="I88" s="4"/>
      <c r="J88" s="12">
        <f>IF(H$12=0,0,H88/H$12)</f>
        <v>0.2437135922330097</v>
      </c>
      <c r="K88" s="4"/>
      <c r="L88" s="4">
        <f>+D88-H88</f>
        <v>-1748.7099999999991</v>
      </c>
      <c r="M88" s="4"/>
      <c r="N88" s="12">
        <f>IF(H88=0,0,L88/H88)</f>
        <v>-0.17415695647843832</v>
      </c>
      <c r="O88" s="10"/>
      <c r="P88" s="4">
        <v>8292.2900000000009</v>
      </c>
      <c r="Q88" s="4"/>
      <c r="R88" s="12">
        <f>IF(P$12=0,0,P88/P$12)</f>
        <v>0.20792953110421214</v>
      </c>
      <c r="S88" s="4"/>
      <c r="T88" s="4">
        <v>10041</v>
      </c>
      <c r="U88" s="4"/>
      <c r="V88" s="12">
        <f>IF(T$12=0,0,T88/T$12)</f>
        <v>0.2437135922330097</v>
      </c>
      <c r="W88" s="4"/>
      <c r="X88" s="4">
        <f>+P88-T88</f>
        <v>-1748.7099999999991</v>
      </c>
      <c r="Y88" s="4"/>
      <c r="Z88" s="12">
        <f>IF(T88=0,0,X88/T88)</f>
        <v>-0.17415695647843832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4</v>
      </c>
      <c r="C90" s="26"/>
      <c r="D90" s="32">
        <f>+D86-D88</f>
        <v>-21191.379999999997</v>
      </c>
      <c r="E90" s="13"/>
      <c r="F90" s="31">
        <f>IF(D$12=0,0,D90/D$12)</f>
        <v>-0.53137477184844939</v>
      </c>
      <c r="G90" s="13"/>
      <c r="H90" s="32">
        <f>+H86-H88</f>
        <v>-25671.204317230819</v>
      </c>
      <c r="I90" s="13"/>
      <c r="J90" s="31">
        <f>IF(H$12=0,0,H90/H$12)</f>
        <v>-0.62308748342793252</v>
      </c>
      <c r="K90" s="15"/>
      <c r="L90" s="32">
        <f>D90-H90</f>
        <v>4479.8243172308212</v>
      </c>
      <c r="M90" s="15"/>
      <c r="N90" s="31">
        <f>IF(H90=0,0,L90/H90)</f>
        <v>-0.1745077582598612</v>
      </c>
      <c r="O90" s="25"/>
      <c r="P90" s="32">
        <f>+P86-P88</f>
        <v>-21191.379999999997</v>
      </c>
      <c r="Q90" s="13"/>
      <c r="R90" s="31">
        <f>IF(P$12=0,0,P90/P$12)</f>
        <v>-0.53137477184844939</v>
      </c>
      <c r="S90" s="13"/>
      <c r="T90" s="32">
        <f>+T86-T88</f>
        <v>-25671.204317230819</v>
      </c>
      <c r="U90" s="13"/>
      <c r="V90" s="31">
        <f>IF(T$12=0,0,T90/T$12)</f>
        <v>-0.62308748342793252</v>
      </c>
      <c r="W90" s="15"/>
      <c r="X90" s="32">
        <f>P90-T90</f>
        <v>4479.8243172308212</v>
      </c>
      <c r="Y90" s="15"/>
      <c r="Z90" s="31">
        <f>IF(T90=0,0,X90/T90)</f>
        <v>-0.1745077582598612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5</v>
      </c>
      <c r="C93" s="26"/>
      <c r="D93" s="33">
        <f>SUM(D90:D92)</f>
        <v>-21191.379999999997</v>
      </c>
      <c r="E93" s="13"/>
      <c r="F93" s="34">
        <f>IF(D$12=0,0,D93/D$12)</f>
        <v>-0.53137477184844939</v>
      </c>
      <c r="G93" s="13"/>
      <c r="H93" s="33">
        <f>SUM(H90:H92)</f>
        <v>-25671.204317230819</v>
      </c>
      <c r="I93" s="13"/>
      <c r="J93" s="34">
        <f>IF(H$12=0,0,H93/H$12)</f>
        <v>-0.62308748342793252</v>
      </c>
      <c r="K93" s="15"/>
      <c r="L93" s="33">
        <f>+D93-H93</f>
        <v>4479.8243172308212</v>
      </c>
      <c r="M93" s="15"/>
      <c r="N93" s="34">
        <f>IF(H93=0,0,L93/H93)</f>
        <v>-0.1745077582598612</v>
      </c>
      <c r="O93" s="25"/>
      <c r="P93" s="33">
        <f>SUM(P90:P92)</f>
        <v>-21191.379999999997</v>
      </c>
      <c r="Q93" s="13"/>
      <c r="R93" s="34">
        <f>IF(P$12=0,0,P93/P$12)</f>
        <v>-0.53137477184844939</v>
      </c>
      <c r="S93" s="13"/>
      <c r="T93" s="33">
        <f>SUM(T90:T92)</f>
        <v>-25671.204317230819</v>
      </c>
      <c r="U93" s="13"/>
      <c r="V93" s="34">
        <f>IF(T$12=0,0,T93/T$12)</f>
        <v>-0.62308748342793252</v>
      </c>
      <c r="W93" s="15"/>
      <c r="X93" s="33">
        <f>+P93-T93</f>
        <v>4479.8243172308212</v>
      </c>
      <c r="Y93" s="15"/>
      <c r="Z93" s="34">
        <f>IF(T93=0,0,X93/T93)</f>
        <v>-0.1745077582598612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1">
        <v>43726.67907766204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6" t="s">
        <v>314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3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","420", " - ", "Catering")</f>
        <v>Department 420 - Catering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7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1">
        <f>+D16-D18+D20</f>
        <v>0</v>
      </c>
      <c r="E22" s="13"/>
      <c r="F22" s="19">
        <f>IF(D$12=0,0,D22/D$12)</f>
        <v>0</v>
      </c>
      <c r="G22" s="13"/>
      <c r="H22" s="21">
        <f>+H16-H18+H20</f>
        <v>0</v>
      </c>
      <c r="I22" s="13"/>
      <c r="J22" s="19">
        <f>IF(H$12=0,0,H22/H$12)</f>
        <v>0</v>
      </c>
      <c r="K22" s="15"/>
      <c r="L22" s="21">
        <f>+D22-H22</f>
        <v>0</v>
      </c>
      <c r="M22" s="15"/>
      <c r="N22" s="19">
        <f>IF(H22=0,0,L22/H22)</f>
        <v>0</v>
      </c>
      <c r="O22" s="25"/>
      <c r="P22" s="21">
        <f>+P16-P18+P20</f>
        <v>0</v>
      </c>
      <c r="Q22" s="13"/>
      <c r="R22" s="19">
        <f>IF(P$12=0,0,P22/P$12)</f>
        <v>0</v>
      </c>
      <c r="S22" s="13"/>
      <c r="T22" s="21">
        <f>+T16-T18+T20</f>
        <v>0</v>
      </c>
      <c r="U22" s="13"/>
      <c r="V22" s="19">
        <f>IF(T$12=0,0,T22/T$12)</f>
        <v>0</v>
      </c>
      <c r="W22" s="15"/>
      <c r="X22" s="21">
        <f>+P22-T22</f>
        <v>0</v>
      </c>
      <c r="Y22" s="15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2">
        <f>+D22-D24</f>
        <v>0</v>
      </c>
      <c r="E26" s="13"/>
      <c r="F26" s="31">
        <f>IF(D$12=0,0,D26/D$12)</f>
        <v>0</v>
      </c>
      <c r="G26" s="13"/>
      <c r="H26" s="32">
        <f>+H22-H24</f>
        <v>0</v>
      </c>
      <c r="I26" s="13"/>
      <c r="J26" s="31">
        <f>IF(H$12=0,0,H26/H$12)</f>
        <v>0</v>
      </c>
      <c r="K26" s="15"/>
      <c r="L26" s="32">
        <f>D26-H26</f>
        <v>0</v>
      </c>
      <c r="M26" s="15"/>
      <c r="N26" s="31">
        <f>IF(H26=0,0,L26/H26)</f>
        <v>0</v>
      </c>
      <c r="O26" s="25"/>
      <c r="P26" s="32">
        <f>+P22-P24</f>
        <v>0</v>
      </c>
      <c r="Q26" s="13"/>
      <c r="R26" s="31">
        <f>IF(P$12=0,0,P26/P$12)</f>
        <v>0</v>
      </c>
      <c r="S26" s="13"/>
      <c r="T26" s="32">
        <f>+T22-T24</f>
        <v>0</v>
      </c>
      <c r="U26" s="13"/>
      <c r="V26" s="31">
        <f>IF(T$12=0,0,T26/T$12)</f>
        <v>0</v>
      </c>
      <c r="W26" s="15"/>
      <c r="X26" s="32">
        <f>P26-T26</f>
        <v>0</v>
      </c>
      <c r="Y26" s="15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6" t="s">
        <v>5</v>
      </c>
      <c r="C29" s="26"/>
      <c r="D29" s="33">
        <f>SUM(D26:D28)</f>
        <v>0</v>
      </c>
      <c r="E29" s="13"/>
      <c r="F29" s="34">
        <f>IF(D$12=0,0,D29/D$12)</f>
        <v>0</v>
      </c>
      <c r="G29" s="13"/>
      <c r="H29" s="33">
        <f>SUM(H26:H28)</f>
        <v>0</v>
      </c>
      <c r="I29" s="13"/>
      <c r="J29" s="34">
        <f>IF(H$12=0,0,H29/H$12)</f>
        <v>0</v>
      </c>
      <c r="K29" s="15"/>
      <c r="L29" s="33">
        <f>+D29-H29</f>
        <v>0</v>
      </c>
      <c r="M29" s="15"/>
      <c r="N29" s="34">
        <f>IF(H29=0,0,L29/H29)</f>
        <v>0</v>
      </c>
      <c r="O29" s="25"/>
      <c r="P29" s="33">
        <f>SUM(P26:P28)</f>
        <v>0</v>
      </c>
      <c r="Q29" s="13"/>
      <c r="R29" s="34">
        <f>IF(P$12=0,0,P29/P$12)</f>
        <v>0</v>
      </c>
      <c r="S29" s="13"/>
      <c r="T29" s="33">
        <f>SUM(T26:T28)</f>
        <v>0</v>
      </c>
      <c r="U29" s="13"/>
      <c r="V29" s="34">
        <f>IF(T$12=0,0,T29/T$12)</f>
        <v>0</v>
      </c>
      <c r="W29" s="15"/>
      <c r="X29" s="33">
        <f>+P29-T29</f>
        <v>0</v>
      </c>
      <c r="Y29" s="15"/>
      <c r="Z29" s="34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2"/>
      <c r="K30" s="17"/>
      <c r="L30" s="17"/>
      <c r="M30" s="17"/>
      <c r="P30" s="17"/>
      <c r="Q30" s="17"/>
      <c r="R30" s="42"/>
      <c r="S30" s="17"/>
      <c r="T30" s="17"/>
      <c r="U30" s="17"/>
      <c r="V30" s="42"/>
      <c r="W30" s="17"/>
      <c r="X30" s="17"/>
    </row>
    <row r="31" spans="1:26" x14ac:dyDescent="0.25">
      <c r="A31" s="9"/>
      <c r="B31" s="61">
        <v>43726.679090972226</v>
      </c>
      <c r="D31" s="17"/>
      <c r="E31" s="17"/>
      <c r="G31" s="17"/>
      <c r="H31" s="17"/>
      <c r="I31" s="17"/>
      <c r="J31" s="42"/>
      <c r="K31" s="17"/>
      <c r="L31" s="17"/>
      <c r="M31" s="17"/>
      <c r="P31" s="17"/>
      <c r="Q31" s="17"/>
      <c r="R31" s="42"/>
      <c r="S31" s="17"/>
      <c r="T31" s="17"/>
      <c r="U31" s="17"/>
      <c r="V31" s="42"/>
      <c r="W31" s="17"/>
      <c r="X31" s="17"/>
    </row>
    <row r="32" spans="1:26" x14ac:dyDescent="0.25">
      <c r="A32" s="9"/>
      <c r="B32" s="56" t="s">
        <v>314</v>
      </c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3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","423", " - ", "Contract Revenue")</f>
        <v>Department 423 - Contract Revenue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22387.03</v>
      </c>
      <c r="E18" s="20"/>
      <c r="F18" s="30">
        <f t="shared" ref="F18:F28" si="0">IF(D$12=0,0,D18/D$12)</f>
        <v>0</v>
      </c>
      <c r="G18" s="20"/>
      <c r="H18" s="20">
        <f>SUM(OSRRefH22x_0)</f>
        <v>11452.869163548075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10934.160836451923</v>
      </c>
      <c r="M18" s="4"/>
      <c r="N18" s="30">
        <f t="shared" ref="N18:N28" si="3">IF(H18=0,0,L18/H18)</f>
        <v>0.95470931172888229</v>
      </c>
      <c r="O18" s="10"/>
      <c r="P18" s="20">
        <f>SUM(OSRRefP22x_0)</f>
        <v>22387.03</v>
      </c>
      <c r="Q18" s="20"/>
      <c r="R18" s="30">
        <f t="shared" ref="R18:R28" si="4">IF(P$12=0,0,P18/P$12)</f>
        <v>0</v>
      </c>
      <c r="S18" s="20"/>
      <c r="T18" s="20">
        <f>SUM(OSRRefT22x_0)</f>
        <v>11452.869163548075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10934.160836451923</v>
      </c>
      <c r="Y18" s="4"/>
      <c r="Z18" s="30">
        <f t="shared" ref="Z18:Z28" si="7">IF(T18=0,0,X18/T18)</f>
        <v>0.95470931172888229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4617.79</v>
      </c>
      <c r="E19" s="1"/>
      <c r="F19" s="5">
        <f t="shared" si="0"/>
        <v>0</v>
      </c>
      <c r="G19" s="1"/>
      <c r="H19" s="1">
        <f>SUM(OSRRefH22_0x_0)</f>
        <v>2465.0386827788461</v>
      </c>
      <c r="I19" s="1"/>
      <c r="J19" s="5">
        <f t="shared" si="1"/>
        <v>0</v>
      </c>
      <c r="K19" s="1"/>
      <c r="L19" s="1">
        <f t="shared" si="2"/>
        <v>2152.7513172211538</v>
      </c>
      <c r="M19" s="1"/>
      <c r="N19" s="5">
        <f t="shared" si="3"/>
        <v>0.87331340163568971</v>
      </c>
      <c r="O19" s="14"/>
      <c r="P19" s="1">
        <f>SUM(OSRRefP22_0x_0)</f>
        <v>4617.79</v>
      </c>
      <c r="Q19" s="1"/>
      <c r="R19" s="5">
        <f t="shared" si="4"/>
        <v>0</v>
      </c>
      <c r="S19" s="1"/>
      <c r="T19" s="1">
        <f>SUM(OSRRefT22_0x_0)</f>
        <v>2465.0386827788461</v>
      </c>
      <c r="U19" s="1"/>
      <c r="V19" s="5">
        <f t="shared" si="5"/>
        <v>0</v>
      </c>
      <c r="W19" s="1"/>
      <c r="X19" s="1">
        <f t="shared" si="6"/>
        <v>2152.7513172211538</v>
      </c>
      <c r="Y19" s="1"/>
      <c r="Z19" s="5">
        <f t="shared" si="7"/>
        <v>0.87331340163568971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349.92</v>
      </c>
      <c r="E20" s="2"/>
      <c r="F20" s="6">
        <f t="shared" si="0"/>
        <v>0</v>
      </c>
      <c r="G20" s="2"/>
      <c r="H20" s="7">
        <v>437.56711854807702</v>
      </c>
      <c r="I20" s="2"/>
      <c r="J20" s="6">
        <f t="shared" si="1"/>
        <v>0</v>
      </c>
      <c r="K20" s="2"/>
      <c r="L20" s="7">
        <f t="shared" si="2"/>
        <v>-87.647118548077003</v>
      </c>
      <c r="M20" s="2"/>
      <c r="N20" s="6">
        <f t="shared" si="3"/>
        <v>-0.20030554132793438</v>
      </c>
      <c r="O20" s="11"/>
      <c r="P20" s="7">
        <v>349.92</v>
      </c>
      <c r="Q20" s="2"/>
      <c r="R20" s="6">
        <f t="shared" si="4"/>
        <v>0</v>
      </c>
      <c r="S20" s="2"/>
      <c r="T20" s="7">
        <v>437.56711854807702</v>
      </c>
      <c r="U20" s="2"/>
      <c r="V20" s="6">
        <f t="shared" si="5"/>
        <v>0</v>
      </c>
      <c r="W20" s="2"/>
      <c r="X20" s="7">
        <f t="shared" si="6"/>
        <v>-87.647118548077003</v>
      </c>
      <c r="Y20" s="2"/>
      <c r="Z20" s="6">
        <f t="shared" si="7"/>
        <v>-0.20030554132793438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177.47</v>
      </c>
      <c r="E21" s="2"/>
      <c r="F21" s="6">
        <f t="shared" si="0"/>
        <v>0</v>
      </c>
      <c r="G21" s="2"/>
      <c r="H21" s="7">
        <v>108.634199038462</v>
      </c>
      <c r="I21" s="2"/>
      <c r="J21" s="6">
        <f t="shared" si="1"/>
        <v>0</v>
      </c>
      <c r="K21" s="2"/>
      <c r="L21" s="7">
        <f t="shared" si="2"/>
        <v>68.835800961537998</v>
      </c>
      <c r="M21" s="2"/>
      <c r="N21" s="6">
        <f t="shared" si="3"/>
        <v>0.63364761346624043</v>
      </c>
      <c r="O21" s="11"/>
      <c r="P21" s="7">
        <v>177.47</v>
      </c>
      <c r="Q21" s="2"/>
      <c r="R21" s="6">
        <f t="shared" si="4"/>
        <v>0</v>
      </c>
      <c r="S21" s="2"/>
      <c r="T21" s="7">
        <v>108.634199038462</v>
      </c>
      <c r="U21" s="2"/>
      <c r="V21" s="6">
        <f t="shared" si="5"/>
        <v>0</v>
      </c>
      <c r="W21" s="2"/>
      <c r="X21" s="7">
        <f t="shared" si="6"/>
        <v>68.835800961537998</v>
      </c>
      <c r="Y21" s="2"/>
      <c r="Z21" s="6">
        <f t="shared" si="7"/>
        <v>0.63364761346624043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1011.43</v>
      </c>
      <c r="E22" s="2"/>
      <c r="F22" s="6">
        <f t="shared" si="0"/>
        <v>0</v>
      </c>
      <c r="G22" s="2"/>
      <c r="H22" s="7">
        <v>690.5</v>
      </c>
      <c r="I22" s="2"/>
      <c r="J22" s="6">
        <f t="shared" si="1"/>
        <v>0</v>
      </c>
      <c r="K22" s="2"/>
      <c r="L22" s="7">
        <f t="shared" si="2"/>
        <v>320.92999999999995</v>
      </c>
      <c r="M22" s="2"/>
      <c r="N22" s="6">
        <f t="shared" si="3"/>
        <v>0.46477914554670524</v>
      </c>
      <c r="O22" s="11"/>
      <c r="P22" s="7">
        <v>1011.43</v>
      </c>
      <c r="Q22" s="2"/>
      <c r="R22" s="6">
        <f t="shared" si="4"/>
        <v>0</v>
      </c>
      <c r="S22" s="2"/>
      <c r="T22" s="7">
        <v>690.5</v>
      </c>
      <c r="U22" s="2"/>
      <c r="V22" s="6">
        <f t="shared" si="5"/>
        <v>0</v>
      </c>
      <c r="W22" s="2"/>
      <c r="X22" s="7">
        <f t="shared" si="6"/>
        <v>320.92999999999995</v>
      </c>
      <c r="Y22" s="2"/>
      <c r="Z22" s="6">
        <f t="shared" si="7"/>
        <v>0.46477914554670524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11.89</v>
      </c>
      <c r="E23" s="2"/>
      <c r="F23" s="6">
        <f t="shared" si="0"/>
        <v>0</v>
      </c>
      <c r="G23" s="2"/>
      <c r="H23" s="7">
        <v>14.8657325</v>
      </c>
      <c r="I23" s="2"/>
      <c r="J23" s="6">
        <f t="shared" si="1"/>
        <v>0</v>
      </c>
      <c r="K23" s="2"/>
      <c r="L23" s="7">
        <f t="shared" si="2"/>
        <v>-2.9757324999999994</v>
      </c>
      <c r="M23" s="2"/>
      <c r="N23" s="6">
        <f t="shared" si="3"/>
        <v>-0.20017395711916647</v>
      </c>
      <c r="O23" s="11"/>
      <c r="P23" s="7">
        <v>11.89</v>
      </c>
      <c r="Q23" s="2"/>
      <c r="R23" s="6">
        <f t="shared" si="4"/>
        <v>0</v>
      </c>
      <c r="S23" s="2"/>
      <c r="T23" s="7">
        <v>14.8657325</v>
      </c>
      <c r="U23" s="2"/>
      <c r="V23" s="6">
        <f t="shared" si="5"/>
        <v>0</v>
      </c>
      <c r="W23" s="2"/>
      <c r="X23" s="7">
        <f t="shared" si="6"/>
        <v>-2.9757324999999994</v>
      </c>
      <c r="Y23" s="2"/>
      <c r="Z23" s="6">
        <f t="shared" si="7"/>
        <v>-0.20017395711916647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467.52</v>
      </c>
      <c r="E24" s="2"/>
      <c r="F24" s="6">
        <f t="shared" si="0"/>
        <v>0</v>
      </c>
      <c r="G24" s="2"/>
      <c r="H24" s="7">
        <v>491.71269038461503</v>
      </c>
      <c r="I24" s="2"/>
      <c r="J24" s="6">
        <f t="shared" si="1"/>
        <v>0</v>
      </c>
      <c r="K24" s="2"/>
      <c r="L24" s="7">
        <f t="shared" si="2"/>
        <v>-24.192690384615048</v>
      </c>
      <c r="M24" s="2"/>
      <c r="N24" s="6">
        <f t="shared" si="3"/>
        <v>-4.9200866395560497E-2</v>
      </c>
      <c r="O24" s="11"/>
      <c r="P24" s="7">
        <v>467.52</v>
      </c>
      <c r="Q24" s="2"/>
      <c r="R24" s="6">
        <f t="shared" si="4"/>
        <v>0</v>
      </c>
      <c r="S24" s="2"/>
      <c r="T24" s="7">
        <v>491.71269038461503</v>
      </c>
      <c r="U24" s="2"/>
      <c r="V24" s="6">
        <f t="shared" si="5"/>
        <v>0</v>
      </c>
      <c r="W24" s="2"/>
      <c r="X24" s="7">
        <f t="shared" si="6"/>
        <v>-24.192690384615048</v>
      </c>
      <c r="Y24" s="2"/>
      <c r="Z24" s="6">
        <f t="shared" si="7"/>
        <v>-4.9200866395560497E-2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755.72</v>
      </c>
      <c r="E26" s="2"/>
      <c r="F26" s="6">
        <f t="shared" si="0"/>
        <v>0</v>
      </c>
      <c r="G26" s="2"/>
      <c r="H26" s="7">
        <v>571.758942307692</v>
      </c>
      <c r="I26" s="2"/>
      <c r="J26" s="6">
        <f t="shared" si="1"/>
        <v>0</v>
      </c>
      <c r="K26" s="2"/>
      <c r="L26" s="7">
        <f t="shared" si="2"/>
        <v>183.96105769230803</v>
      </c>
      <c r="M26" s="2"/>
      <c r="N26" s="6">
        <f t="shared" si="3"/>
        <v>0.3217458339170311</v>
      </c>
      <c r="O26" s="11"/>
      <c r="P26" s="7">
        <v>755.72</v>
      </c>
      <c r="Q26" s="2"/>
      <c r="R26" s="6">
        <f t="shared" si="4"/>
        <v>0</v>
      </c>
      <c r="S26" s="2"/>
      <c r="T26" s="7">
        <v>571.758942307692</v>
      </c>
      <c r="U26" s="2"/>
      <c r="V26" s="6">
        <f t="shared" si="5"/>
        <v>0</v>
      </c>
      <c r="W26" s="2"/>
      <c r="X26" s="7">
        <f t="shared" si="6"/>
        <v>183.96105769230803</v>
      </c>
      <c r="Y26" s="2"/>
      <c r="Z26" s="6">
        <f t="shared" si="7"/>
        <v>0.3217458339170311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1702.34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1702.34</v>
      </c>
      <c r="M27" s="2"/>
      <c r="N27" s="6">
        <f t="shared" si="3"/>
        <v>0</v>
      </c>
      <c r="O27" s="11"/>
      <c r="P27" s="7">
        <v>1702.34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1702.34</v>
      </c>
      <c r="Y27" s="2"/>
      <c r="Z27" s="6">
        <f t="shared" si="7"/>
        <v>0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141.5</v>
      </c>
      <c r="E28" s="2"/>
      <c r="F28" s="6">
        <f t="shared" si="0"/>
        <v>0</v>
      </c>
      <c r="G28" s="2"/>
      <c r="H28" s="7">
        <v>150</v>
      </c>
      <c r="I28" s="2"/>
      <c r="J28" s="6">
        <f t="shared" si="1"/>
        <v>0</v>
      </c>
      <c r="K28" s="2"/>
      <c r="L28" s="7">
        <f t="shared" si="2"/>
        <v>-8.5</v>
      </c>
      <c r="M28" s="2"/>
      <c r="N28" s="6">
        <f t="shared" si="3"/>
        <v>-5.6666666666666664E-2</v>
      </c>
      <c r="O28" s="11"/>
      <c r="P28" s="7">
        <v>141.5</v>
      </c>
      <c r="Q28" s="2"/>
      <c r="R28" s="6">
        <f t="shared" si="4"/>
        <v>0</v>
      </c>
      <c r="S28" s="2"/>
      <c r="T28" s="7">
        <v>150</v>
      </c>
      <c r="U28" s="2"/>
      <c r="V28" s="6">
        <f t="shared" si="5"/>
        <v>0</v>
      </c>
      <c r="W28" s="2"/>
      <c r="X28" s="7">
        <f t="shared" si="6"/>
        <v>-8.5</v>
      </c>
      <c r="Y28" s="2"/>
      <c r="Z28" s="6">
        <f t="shared" si="7"/>
        <v>-5.6666666666666664E-2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5717.1</v>
      </c>
      <c r="E29" s="1"/>
      <c r="F29" s="5">
        <f t="shared" ref="F29:F39" si="8">IF(D$12=0,0,D29/D$12)</f>
        <v>0</v>
      </c>
      <c r="G29" s="1"/>
      <c r="H29" s="1">
        <f>SUM(OSRRefH22_1x_0)</f>
        <v>5145.8304807692302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571.26951923077013</v>
      </c>
      <c r="M29" s="1"/>
      <c r="N29" s="5">
        <f t="shared" ref="N29:N39" si="11">IF(H29=0,0,L29/H29)</f>
        <v>0.11101600050092852</v>
      </c>
      <c r="O29" s="14"/>
      <c r="P29" s="1">
        <f>SUM(OSRRefP22_1x_0)</f>
        <v>5717.1</v>
      </c>
      <c r="Q29" s="1"/>
      <c r="R29" s="5">
        <f t="shared" ref="R29:R39" si="12">IF(P$12=0,0,P29/P$12)</f>
        <v>0</v>
      </c>
      <c r="S29" s="1"/>
      <c r="T29" s="1">
        <f>SUM(OSRRefT22_1x_0)</f>
        <v>5145.8304807692302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571.26951923077013</v>
      </c>
      <c r="Y29" s="1"/>
      <c r="Z29" s="5">
        <f t="shared" ref="Z29:Z39" si="15">IF(T29=0,0,X29/T29)</f>
        <v>0.11101600050092852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5717.1</v>
      </c>
      <c r="E30" s="2"/>
      <c r="F30" s="6">
        <f t="shared" si="8"/>
        <v>0</v>
      </c>
      <c r="G30" s="2"/>
      <c r="H30" s="7">
        <v>5145.8304807692302</v>
      </c>
      <c r="I30" s="2"/>
      <c r="J30" s="6">
        <f t="shared" si="9"/>
        <v>0</v>
      </c>
      <c r="K30" s="2"/>
      <c r="L30" s="7">
        <f t="shared" si="10"/>
        <v>571.26951923077013</v>
      </c>
      <c r="M30" s="2"/>
      <c r="N30" s="6">
        <f t="shared" si="11"/>
        <v>0.11101600050092852</v>
      </c>
      <c r="O30" s="11"/>
      <c r="P30" s="7">
        <v>5717.1</v>
      </c>
      <c r="Q30" s="2"/>
      <c r="R30" s="6">
        <f t="shared" si="12"/>
        <v>0</v>
      </c>
      <c r="S30" s="2"/>
      <c r="T30" s="7">
        <v>5145.8304807692302</v>
      </c>
      <c r="U30" s="2"/>
      <c r="V30" s="6">
        <f t="shared" si="13"/>
        <v>0</v>
      </c>
      <c r="W30" s="2"/>
      <c r="X30" s="7">
        <f t="shared" si="14"/>
        <v>571.26951923077013</v>
      </c>
      <c r="Y30" s="2"/>
      <c r="Z30" s="6">
        <f t="shared" si="15"/>
        <v>0.11101600050092852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8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2443.65</v>
      </c>
      <c r="E40" s="1"/>
      <c r="F40" s="5">
        <f t="shared" ref="F40:F47" si="16">IF(D$12=0,0,D40/D$12)</f>
        <v>0</v>
      </c>
      <c r="G40" s="1"/>
      <c r="H40" s="1">
        <f>SUM(OSRRefH22_2x_0)</f>
        <v>2500</v>
      </c>
      <c r="I40" s="1"/>
      <c r="J40" s="5">
        <f t="shared" ref="J40:J47" si="17">IF(H$12=0,0,H40/H$12)</f>
        <v>0</v>
      </c>
      <c r="K40" s="1"/>
      <c r="L40" s="1">
        <f t="shared" ref="L40:L47" si="18">+D40-H40</f>
        <v>-56.349999999999909</v>
      </c>
      <c r="M40" s="1"/>
      <c r="N40" s="5">
        <f t="shared" ref="N40:N47" si="19">IF(H40=0,0,L40/H40)</f>
        <v>-2.2539999999999963E-2</v>
      </c>
      <c r="O40" s="14"/>
      <c r="P40" s="1">
        <f>SUM(OSRRefP22_2x_0)</f>
        <v>2443.65</v>
      </c>
      <c r="Q40" s="1"/>
      <c r="R40" s="5">
        <f t="shared" ref="R40:R47" si="20">IF(P$12=0,0,P40/P$12)</f>
        <v>0</v>
      </c>
      <c r="S40" s="1"/>
      <c r="T40" s="1">
        <f>SUM(OSRRefT22_2x_0)</f>
        <v>2500</v>
      </c>
      <c r="U40" s="1"/>
      <c r="V40" s="5">
        <f t="shared" ref="V40:V47" si="21">IF(T$12=0,0,T40/T$12)</f>
        <v>0</v>
      </c>
      <c r="W40" s="1"/>
      <c r="X40" s="1">
        <f t="shared" ref="X40:X47" si="22">+P40-T40</f>
        <v>-56.349999999999909</v>
      </c>
      <c r="Y40" s="1"/>
      <c r="Z40" s="5">
        <f t="shared" ref="Z40:Z47" si="23">IF(T40=0,0,X40/T40)</f>
        <v>-2.2539999999999963E-2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7">
        <v>2443.65</v>
      </c>
      <c r="E41" s="2"/>
      <c r="F41" s="6">
        <f t="shared" si="16"/>
        <v>0</v>
      </c>
      <c r="G41" s="2"/>
      <c r="H41" s="7">
        <v>2500</v>
      </c>
      <c r="I41" s="2"/>
      <c r="J41" s="6">
        <f t="shared" si="17"/>
        <v>0</v>
      </c>
      <c r="K41" s="2"/>
      <c r="L41" s="7">
        <f t="shared" si="18"/>
        <v>-56.349999999999909</v>
      </c>
      <c r="M41" s="2"/>
      <c r="N41" s="6">
        <f t="shared" si="19"/>
        <v>-2.2539999999999963E-2</v>
      </c>
      <c r="O41" s="11"/>
      <c r="P41" s="7">
        <v>2443.65</v>
      </c>
      <c r="Q41" s="2"/>
      <c r="R41" s="6">
        <f t="shared" si="20"/>
        <v>0</v>
      </c>
      <c r="S41" s="2"/>
      <c r="T41" s="7">
        <v>2500</v>
      </c>
      <c r="U41" s="2"/>
      <c r="V41" s="6">
        <f t="shared" si="21"/>
        <v>0</v>
      </c>
      <c r="W41" s="2"/>
      <c r="X41" s="7">
        <f t="shared" si="22"/>
        <v>-56.349999999999909</v>
      </c>
      <c r="Y41" s="2"/>
      <c r="Z41" s="6">
        <f t="shared" si="23"/>
        <v>-2.2539999999999963E-2</v>
      </c>
    </row>
    <row r="42" spans="1:26" s="27" customFormat="1" outlineLevel="1" collapsed="1" x14ac:dyDescent="0.25">
      <c r="A42" s="28"/>
      <c r="B42" s="14" t="str">
        <f>CONCATENATE("     ","Royalty &amp; Commissions                             ")</f>
        <v xml:space="preserve">     Royalty &amp; Commissions                             </v>
      </c>
      <c r="C42" s="14"/>
      <c r="D42" s="1">
        <f>SUM(OSRRefD22_3x_0)</f>
        <v>7344.9</v>
      </c>
      <c r="E42" s="1"/>
      <c r="F42" s="5">
        <f t="shared" si="16"/>
        <v>0</v>
      </c>
      <c r="G42" s="1"/>
      <c r="H42" s="1">
        <f>SUM(OSRRefH22_3x_0)</f>
        <v>1117</v>
      </c>
      <c r="I42" s="1"/>
      <c r="J42" s="5">
        <f t="shared" si="17"/>
        <v>0</v>
      </c>
      <c r="K42" s="1"/>
      <c r="L42" s="1">
        <f t="shared" si="18"/>
        <v>6227.9</v>
      </c>
      <c r="M42" s="1"/>
      <c r="N42" s="5">
        <f t="shared" si="19"/>
        <v>5.575559534467323</v>
      </c>
      <c r="O42" s="14"/>
      <c r="P42" s="1">
        <f>SUM(OSRRefP22_3x_0)</f>
        <v>7344.9</v>
      </c>
      <c r="Q42" s="1"/>
      <c r="R42" s="5">
        <f t="shared" si="20"/>
        <v>0</v>
      </c>
      <c r="S42" s="1"/>
      <c r="T42" s="1">
        <f>SUM(OSRRefT22_3x_0)</f>
        <v>1117</v>
      </c>
      <c r="U42" s="1"/>
      <c r="V42" s="5">
        <f t="shared" si="21"/>
        <v>0</v>
      </c>
      <c r="W42" s="1"/>
      <c r="X42" s="1">
        <f t="shared" si="22"/>
        <v>6227.9</v>
      </c>
      <c r="Y42" s="1"/>
      <c r="Z42" s="5">
        <f t="shared" si="23"/>
        <v>5.575559534467323</v>
      </c>
    </row>
    <row r="43" spans="1:26" s="24" customFormat="1" hidden="1" outlineLevel="2" x14ac:dyDescent="0.25">
      <c r="A43" s="29"/>
      <c r="B43" s="11" t="str">
        <f>CONCATENATE("          ", "6254", " - ", "ROYALTY &amp; COMMISSIONS")</f>
        <v xml:space="preserve">          6254 - ROYALTY &amp; COMMISSIONS</v>
      </c>
      <c r="C43" s="11"/>
      <c r="D43" s="7">
        <v>7344.9</v>
      </c>
      <c r="E43" s="2"/>
      <c r="F43" s="6">
        <f t="shared" si="16"/>
        <v>0</v>
      </c>
      <c r="G43" s="2"/>
      <c r="H43" s="7">
        <v>1117</v>
      </c>
      <c r="I43" s="2"/>
      <c r="J43" s="6">
        <f t="shared" si="17"/>
        <v>0</v>
      </c>
      <c r="K43" s="2"/>
      <c r="L43" s="7">
        <f t="shared" si="18"/>
        <v>6227.9</v>
      </c>
      <c r="M43" s="2"/>
      <c r="N43" s="6">
        <f t="shared" si="19"/>
        <v>5.575559534467323</v>
      </c>
      <c r="O43" s="11"/>
      <c r="P43" s="7">
        <v>7344.9</v>
      </c>
      <c r="Q43" s="2"/>
      <c r="R43" s="6">
        <f t="shared" si="20"/>
        <v>0</v>
      </c>
      <c r="S43" s="2"/>
      <c r="T43" s="7">
        <v>1117</v>
      </c>
      <c r="U43" s="2"/>
      <c r="V43" s="6">
        <f t="shared" si="21"/>
        <v>0</v>
      </c>
      <c r="W43" s="2"/>
      <c r="X43" s="7">
        <f t="shared" si="22"/>
        <v>6227.9</v>
      </c>
      <c r="Y43" s="2"/>
      <c r="Z43" s="6">
        <f t="shared" si="23"/>
        <v>5.575559534467323</v>
      </c>
    </row>
    <row r="44" spans="1:26" s="27" customFormat="1" outlineLevel="1" collapsed="1" x14ac:dyDescent="0.25">
      <c r="A44" s="28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2134.2399999999998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2134.2399999999998</v>
      </c>
      <c r="M44" s="1"/>
      <c r="N44" s="5">
        <f t="shared" si="19"/>
        <v>0</v>
      </c>
      <c r="O44" s="14"/>
      <c r="P44" s="1">
        <f>SUM(OSRRefP22_4x_0)</f>
        <v>2134.2399999999998</v>
      </c>
      <c r="Q44" s="1"/>
      <c r="R44" s="5">
        <f t="shared" si="20"/>
        <v>0</v>
      </c>
      <c r="S44" s="1"/>
      <c r="T44" s="1">
        <f>SUM(OSRRefT22_4x_0)</f>
        <v>0</v>
      </c>
      <c r="U44" s="1"/>
      <c r="V44" s="5">
        <f t="shared" si="21"/>
        <v>0</v>
      </c>
      <c r="W44" s="1"/>
      <c r="X44" s="1">
        <f t="shared" si="22"/>
        <v>2134.2399999999998</v>
      </c>
      <c r="Y44" s="1"/>
      <c r="Z44" s="5">
        <f t="shared" si="23"/>
        <v>0</v>
      </c>
    </row>
    <row r="45" spans="1:26" s="24" customFormat="1" hidden="1" outlineLevel="2" x14ac:dyDescent="0.25">
      <c r="A45" s="29"/>
      <c r="B45" s="11" t="str">
        <f>CONCATENATE("          ", "6241", " - ", "OFFICE EXPENSE")</f>
        <v xml:space="preserve">          6241 - OFFICE EXPENSE</v>
      </c>
      <c r="C45" s="11"/>
      <c r="D45" s="7">
        <v>2134.2399999999998</v>
      </c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2134.2399999999998</v>
      </c>
      <c r="M45" s="2"/>
      <c r="N45" s="6">
        <f t="shared" si="19"/>
        <v>0</v>
      </c>
      <c r="O45" s="11"/>
      <c r="P45" s="7">
        <v>2134.2399999999998</v>
      </c>
      <c r="Q45" s="2"/>
      <c r="R45" s="6">
        <f t="shared" si="20"/>
        <v>0</v>
      </c>
      <c r="S45" s="2"/>
      <c r="T45" s="7"/>
      <c r="U45" s="2"/>
      <c r="V45" s="6">
        <f t="shared" si="21"/>
        <v>0</v>
      </c>
      <c r="W45" s="2"/>
      <c r="X45" s="7">
        <f t="shared" si="22"/>
        <v>2134.2399999999998</v>
      </c>
      <c r="Y45" s="2"/>
      <c r="Z45" s="6">
        <f t="shared" si="23"/>
        <v>0</v>
      </c>
    </row>
    <row r="46" spans="1:26" s="27" customFormat="1" outlineLevel="1" collapsed="1" x14ac:dyDescent="0.25">
      <c r="A46" s="28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SUM(OSRRefD22_5x_0)</f>
        <v>129.35</v>
      </c>
      <c r="E46" s="1"/>
      <c r="F46" s="5">
        <f t="shared" si="16"/>
        <v>0</v>
      </c>
      <c r="G46" s="1"/>
      <c r="H46" s="1">
        <f>SUM(OSRRefH22_5x_0)</f>
        <v>225</v>
      </c>
      <c r="I46" s="1"/>
      <c r="J46" s="5">
        <f t="shared" si="17"/>
        <v>0</v>
      </c>
      <c r="K46" s="1"/>
      <c r="L46" s="1">
        <f t="shared" si="18"/>
        <v>-95.65</v>
      </c>
      <c r="M46" s="1"/>
      <c r="N46" s="5">
        <f t="shared" si="19"/>
        <v>-0.42511111111111116</v>
      </c>
      <c r="O46" s="14"/>
      <c r="P46" s="1">
        <f>SUM(OSRRefP22_5x_0)</f>
        <v>129.35</v>
      </c>
      <c r="Q46" s="1"/>
      <c r="R46" s="5">
        <f t="shared" si="20"/>
        <v>0</v>
      </c>
      <c r="S46" s="1"/>
      <c r="T46" s="1">
        <f>SUM(OSRRefT22_5x_0)</f>
        <v>225</v>
      </c>
      <c r="U46" s="1"/>
      <c r="V46" s="5">
        <f t="shared" si="21"/>
        <v>0</v>
      </c>
      <c r="W46" s="1"/>
      <c r="X46" s="1">
        <f t="shared" si="22"/>
        <v>-95.65</v>
      </c>
      <c r="Y46" s="1"/>
      <c r="Z46" s="5">
        <f t="shared" si="23"/>
        <v>-0.42511111111111116</v>
      </c>
    </row>
    <row r="47" spans="1:26" s="24" customFormat="1" hidden="1" outlineLevel="2" x14ac:dyDescent="0.25">
      <c r="A47" s="29"/>
      <c r="B47" s="11" t="str">
        <f>CONCATENATE("          ", "6309", " - ", "TELEPHONE")</f>
        <v xml:space="preserve">          6309 - TELEPHONE</v>
      </c>
      <c r="C47" s="11"/>
      <c r="D47" s="7">
        <v>129.35</v>
      </c>
      <c r="E47" s="2"/>
      <c r="F47" s="6">
        <f t="shared" si="16"/>
        <v>0</v>
      </c>
      <c r="G47" s="2"/>
      <c r="H47" s="7">
        <v>225</v>
      </c>
      <c r="I47" s="2"/>
      <c r="J47" s="6">
        <f t="shared" si="17"/>
        <v>0</v>
      </c>
      <c r="K47" s="2"/>
      <c r="L47" s="7">
        <f t="shared" si="18"/>
        <v>-95.65</v>
      </c>
      <c r="M47" s="2"/>
      <c r="N47" s="6">
        <f t="shared" si="19"/>
        <v>-0.42511111111111116</v>
      </c>
      <c r="O47" s="11"/>
      <c r="P47" s="7">
        <v>129.35</v>
      </c>
      <c r="Q47" s="2"/>
      <c r="R47" s="6">
        <f t="shared" si="20"/>
        <v>0</v>
      </c>
      <c r="S47" s="2"/>
      <c r="T47" s="7">
        <v>225</v>
      </c>
      <c r="U47" s="2"/>
      <c r="V47" s="6">
        <f t="shared" si="21"/>
        <v>0</v>
      </c>
      <c r="W47" s="2"/>
      <c r="X47" s="7">
        <f t="shared" si="22"/>
        <v>-95.65</v>
      </c>
      <c r="Y47" s="2"/>
      <c r="Z47" s="6">
        <f t="shared" si="23"/>
        <v>-0.42511111111111116</v>
      </c>
    </row>
    <row r="48" spans="1:26" s="57" customFormat="1" x14ac:dyDescent="0.25">
      <c r="A48" s="36"/>
      <c r="B48" s="36"/>
      <c r="C48" s="36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6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collapsed="1" x14ac:dyDescent="0.25">
      <c r="A49" s="10"/>
      <c r="B49" s="25" t="s">
        <v>0</v>
      </c>
      <c r="C49" s="10"/>
      <c r="D49" s="4">
        <f>SUM(OSRRefD25x_0)</f>
        <v>10030.65</v>
      </c>
      <c r="E49" s="4"/>
      <c r="F49" s="12">
        <f t="shared" ref="F49:F50" si="24">IF(D$12=0,0,D49/D$12)</f>
        <v>0</v>
      </c>
      <c r="G49" s="4"/>
      <c r="H49" s="4">
        <f>SUM(OSRRefH25x_0)</f>
        <v>4122</v>
      </c>
      <c r="I49" s="4"/>
      <c r="J49" s="12">
        <f t="shared" ref="J49:J50" si="25">IF(H$12=0,0,H49/H$12)</f>
        <v>0</v>
      </c>
      <c r="K49" s="4"/>
      <c r="L49" s="4">
        <f t="shared" ref="L49:L50" si="26">+D49-H49</f>
        <v>5908.65</v>
      </c>
      <c r="M49" s="4"/>
      <c r="N49" s="12">
        <f t="shared" ref="N49:N50" si="27">IF(H49=0,0,L49/H49)</f>
        <v>1.4334425036390102</v>
      </c>
      <c r="O49" s="10"/>
      <c r="P49" s="4">
        <f>SUM(OSRRefP25x_0)</f>
        <v>10030.65</v>
      </c>
      <c r="Q49" s="4"/>
      <c r="R49" s="12">
        <f t="shared" ref="R49:R50" si="28">IF(P$12=0,0,P49/P$12)</f>
        <v>0</v>
      </c>
      <c r="S49" s="4"/>
      <c r="T49" s="4">
        <f>SUM(OSRRefT25x_0)</f>
        <v>4122</v>
      </c>
      <c r="U49" s="4"/>
      <c r="V49" s="12">
        <f t="shared" ref="V49:V50" si="29">IF(T$12=0,0,T49/T$12)</f>
        <v>0</v>
      </c>
      <c r="W49" s="4"/>
      <c r="X49" s="4">
        <f t="shared" ref="X49:X50" si="30">+P49-T49</f>
        <v>5908.65</v>
      </c>
      <c r="Y49" s="4"/>
      <c r="Z49" s="12">
        <f t="shared" ref="Z49:Z50" si="31">IF(T49=0,0,X49/T49)</f>
        <v>1.4334425036390102</v>
      </c>
    </row>
    <row r="50" spans="1:26" s="24" customFormat="1" hidden="1" outlineLevel="1" x14ac:dyDescent="0.25">
      <c r="A50" s="51"/>
      <c r="B50" s="11" t="str">
        <f>CONCATENATE("          ", "9150", " - ", "MISC. INCOME")</f>
        <v xml:space="preserve">          9150 - MISC. INCOME</v>
      </c>
      <c r="C50" s="11"/>
      <c r="D50" s="2">
        <f>--10030.65</f>
        <v>10030.65</v>
      </c>
      <c r="E50" s="2"/>
      <c r="F50" s="22">
        <f t="shared" si="24"/>
        <v>0</v>
      </c>
      <c r="G50" s="2"/>
      <c r="H50" s="2">
        <v>4122</v>
      </c>
      <c r="I50" s="2"/>
      <c r="J50" s="22">
        <f t="shared" si="25"/>
        <v>0</v>
      </c>
      <c r="K50" s="2"/>
      <c r="L50" s="2">
        <f t="shared" si="26"/>
        <v>5908.65</v>
      </c>
      <c r="M50" s="2"/>
      <c r="N50" s="22">
        <f t="shared" si="27"/>
        <v>1.4334425036390102</v>
      </c>
      <c r="O50" s="11"/>
      <c r="P50" s="2">
        <f>--10030.65</f>
        <v>10030.65</v>
      </c>
      <c r="Q50" s="2"/>
      <c r="R50" s="22">
        <f t="shared" si="28"/>
        <v>0</v>
      </c>
      <c r="S50" s="2"/>
      <c r="T50" s="2">
        <v>4122</v>
      </c>
      <c r="U50" s="2"/>
      <c r="V50" s="22">
        <f t="shared" si="29"/>
        <v>0</v>
      </c>
      <c r="W50" s="2"/>
      <c r="X50" s="2">
        <f t="shared" si="30"/>
        <v>5908.65</v>
      </c>
      <c r="Y50" s="2"/>
      <c r="Z50" s="22">
        <f t="shared" si="31"/>
        <v>1.4334425036390102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6" t="s">
        <v>3</v>
      </c>
      <c r="C52" s="26"/>
      <c r="D52" s="21">
        <f>+D16-D18+D49</f>
        <v>-12356.38</v>
      </c>
      <c r="E52" s="13"/>
      <c r="F52" s="19">
        <f>IF(D$12=0,0,D52/D$12)</f>
        <v>0</v>
      </c>
      <c r="G52" s="13"/>
      <c r="H52" s="21">
        <f>+H16-H18+H49</f>
        <v>-7330.8691635480754</v>
      </c>
      <c r="I52" s="13"/>
      <c r="J52" s="19">
        <f>IF(H$12=0,0,H52/H$12)</f>
        <v>0</v>
      </c>
      <c r="K52" s="15"/>
      <c r="L52" s="21">
        <f>+D52-H52</f>
        <v>-5025.5108364519238</v>
      </c>
      <c r="M52" s="15"/>
      <c r="N52" s="19">
        <f>IF(H52=0,0,L52/H52)</f>
        <v>0.68552728528299378</v>
      </c>
      <c r="O52" s="25"/>
      <c r="P52" s="21">
        <f>+P16-P18+P49</f>
        <v>-12356.38</v>
      </c>
      <c r="Q52" s="13"/>
      <c r="R52" s="19">
        <f>IF(P$12=0,0,P52/P$12)</f>
        <v>0</v>
      </c>
      <c r="S52" s="13"/>
      <c r="T52" s="21">
        <f>+T16-T18+T49</f>
        <v>-7330.8691635480754</v>
      </c>
      <c r="U52" s="13"/>
      <c r="V52" s="19">
        <f>IF(T$12=0,0,T52/T$12)</f>
        <v>0</v>
      </c>
      <c r="W52" s="15"/>
      <c r="X52" s="21">
        <f>+P52-T52</f>
        <v>-5025.5108364519238</v>
      </c>
      <c r="Y52" s="15"/>
      <c r="Z52" s="19">
        <f>IF(T52=0,0,X52/T52)</f>
        <v>0.68552728528299378</v>
      </c>
    </row>
    <row r="53" spans="1:26" x14ac:dyDescent="0.25">
      <c r="A53" s="9"/>
      <c r="B53" s="10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52"/>
      <c r="B54" s="10" t="s">
        <v>14</v>
      </c>
      <c r="C54" s="10"/>
      <c r="D54" s="4"/>
      <c r="E54" s="4"/>
      <c r="F54" s="12">
        <f>IF(D$12=0,0,D54/D$12)</f>
        <v>0</v>
      </c>
      <c r="G54" s="4"/>
      <c r="H54" s="4"/>
      <c r="I54" s="4"/>
      <c r="J54" s="12">
        <f>IF(H$12=0,0,H54/H$12)</f>
        <v>0</v>
      </c>
      <c r="K54" s="4"/>
      <c r="L54" s="4">
        <f>+D54-H54</f>
        <v>0</v>
      </c>
      <c r="M54" s="4"/>
      <c r="N54" s="12">
        <f>IF(H54=0,0,L54/H54)</f>
        <v>0</v>
      </c>
      <c r="O54" s="10"/>
      <c r="P54" s="4"/>
      <c r="Q54" s="4"/>
      <c r="R54" s="12">
        <f>IF(P$12=0,0,P54/P$12)</f>
        <v>0</v>
      </c>
      <c r="S54" s="4"/>
      <c r="T54" s="4"/>
      <c r="U54" s="4"/>
      <c r="V54" s="12">
        <f>IF(T$12=0,0,T54/T$12)</f>
        <v>0</v>
      </c>
      <c r="W54" s="4"/>
      <c r="X54" s="4">
        <f>+P54-T54</f>
        <v>0</v>
      </c>
      <c r="Y54" s="4"/>
      <c r="Z54" s="12">
        <f>IF(T54=0,0,X54/T54)</f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6" t="s">
        <v>4</v>
      </c>
      <c r="C56" s="26"/>
      <c r="D56" s="32">
        <f>+D52-D54</f>
        <v>-12356.38</v>
      </c>
      <c r="E56" s="13"/>
      <c r="F56" s="31">
        <f>IF(D$12=0,0,D56/D$12)</f>
        <v>0</v>
      </c>
      <c r="G56" s="13"/>
      <c r="H56" s="32">
        <f>+H52-H54</f>
        <v>-7330.8691635480754</v>
      </c>
      <c r="I56" s="13"/>
      <c r="J56" s="31">
        <f>IF(H$12=0,0,H56/H$12)</f>
        <v>0</v>
      </c>
      <c r="K56" s="15"/>
      <c r="L56" s="32">
        <f>D56-H56</f>
        <v>-5025.5108364519238</v>
      </c>
      <c r="M56" s="15"/>
      <c r="N56" s="31">
        <f>IF(H56=0,0,L56/H56)</f>
        <v>0.68552728528299378</v>
      </c>
      <c r="O56" s="25"/>
      <c r="P56" s="32">
        <f>+P52-P54</f>
        <v>-12356.38</v>
      </c>
      <c r="Q56" s="13"/>
      <c r="R56" s="31">
        <f>IF(P$12=0,0,P56/P$12)</f>
        <v>0</v>
      </c>
      <c r="S56" s="13"/>
      <c r="T56" s="32">
        <f>+T52-T54</f>
        <v>-7330.8691635480754</v>
      </c>
      <c r="U56" s="13"/>
      <c r="V56" s="31">
        <f>IF(T$12=0,0,T56/T$12)</f>
        <v>0</v>
      </c>
      <c r="W56" s="15"/>
      <c r="X56" s="32">
        <f>P56-T56</f>
        <v>-5025.5108364519238</v>
      </c>
      <c r="Y56" s="15"/>
      <c r="Z56" s="31">
        <f>IF(T56=0,0,X56/T56)</f>
        <v>0.68552728528299378</v>
      </c>
    </row>
    <row r="57" spans="1:26" ht="15.75" thickTop="1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6" t="s">
        <v>5</v>
      </c>
      <c r="C59" s="26"/>
      <c r="D59" s="33">
        <f>SUM(D56:D58)</f>
        <v>-12356.38</v>
      </c>
      <c r="E59" s="13"/>
      <c r="F59" s="34">
        <f>IF(D$12=0,0,D59/D$12)</f>
        <v>0</v>
      </c>
      <c r="G59" s="13"/>
      <c r="H59" s="33">
        <f>SUM(H56:H58)</f>
        <v>-7330.8691635480754</v>
      </c>
      <c r="I59" s="13"/>
      <c r="J59" s="34">
        <f>IF(H$12=0,0,H59/H$12)</f>
        <v>0</v>
      </c>
      <c r="K59" s="15"/>
      <c r="L59" s="33">
        <f>+D59-H59</f>
        <v>-5025.5108364519238</v>
      </c>
      <c r="M59" s="15"/>
      <c r="N59" s="34">
        <f>IF(H59=0,0,L59/H59)</f>
        <v>0.68552728528299378</v>
      </c>
      <c r="O59" s="25"/>
      <c r="P59" s="33">
        <f>SUM(P56:P58)</f>
        <v>-12356.38</v>
      </c>
      <c r="Q59" s="13"/>
      <c r="R59" s="34">
        <f>IF(P$12=0,0,P59/P$12)</f>
        <v>0</v>
      </c>
      <c r="S59" s="13"/>
      <c r="T59" s="33">
        <f>SUM(T56:T58)</f>
        <v>-7330.8691635480754</v>
      </c>
      <c r="U59" s="13"/>
      <c r="V59" s="34">
        <f>IF(T$12=0,0,T59/T$12)</f>
        <v>0</v>
      </c>
      <c r="W59" s="15"/>
      <c r="X59" s="33">
        <f>+P59-T59</f>
        <v>-5025.5108364519238</v>
      </c>
      <c r="Y59" s="15"/>
      <c r="Z59" s="34">
        <f>IF(T59=0,0,X59/T59)</f>
        <v>0.68552728528299378</v>
      </c>
    </row>
    <row r="60" spans="1:26" ht="15.75" thickTop="1" x14ac:dyDescent="0.25">
      <c r="A60" s="9"/>
      <c r="C60" s="9"/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61">
        <v>43726.679105011572</v>
      </c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6" t="s">
        <v>314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53"/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","424", " - ", "Blair Field")</f>
        <v>Department 424 - Blair Field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609.07000000000005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609.07000000000005</v>
      </c>
      <c r="M12" s="4"/>
      <c r="N12" s="12">
        <f t="shared" ref="N12:N13" si="1">IF(H12=0,0,L12/H12)</f>
        <v>0</v>
      </c>
      <c r="O12" s="10"/>
      <c r="P12" s="4">
        <f>SUM(OSRRefP13x_0)</f>
        <v>609.07000000000005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609.07000000000005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--609.07</f>
        <v>609.07000000000005</v>
      </c>
      <c r="E13" s="2"/>
      <c r="F13" s="22"/>
      <c r="G13" s="2"/>
      <c r="H13" s="2"/>
      <c r="I13" s="2"/>
      <c r="J13" s="22"/>
      <c r="K13" s="2"/>
      <c r="L13" s="2">
        <f t="shared" si="0"/>
        <v>609.07000000000005</v>
      </c>
      <c r="M13" s="2"/>
      <c r="N13" s="22">
        <f t="shared" si="1"/>
        <v>0</v>
      </c>
      <c r="O13" s="11"/>
      <c r="P13" s="2">
        <f>--609.07</f>
        <v>609.07000000000005</v>
      </c>
      <c r="Q13" s="2"/>
      <c r="R13" s="22"/>
      <c r="S13" s="2"/>
      <c r="T13" s="2"/>
      <c r="U13" s="2"/>
      <c r="V13" s="22"/>
      <c r="W13" s="2"/>
      <c r="X13" s="2">
        <f t="shared" si="2"/>
        <v>609.07000000000005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-0.1000000000003638</v>
      </c>
      <c r="E15" s="4"/>
      <c r="F15" s="12">
        <f t="shared" ref="F15:F17" si="4">IF(D$12=0,0,D15/D$12)</f>
        <v>-1.641847406707994E-4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-0.1000000000003638</v>
      </c>
      <c r="M15" s="4"/>
      <c r="N15" s="12">
        <f t="shared" ref="N15:N17" si="7">IF(H15=0,0,L15/H15)</f>
        <v>0</v>
      </c>
      <c r="O15" s="10"/>
      <c r="P15" s="4">
        <f>SUM(OSRRefP16x_0)</f>
        <v>-0.1000000000003638</v>
      </c>
      <c r="Q15" s="4"/>
      <c r="R15" s="12">
        <f t="shared" ref="R15:R17" si="8">IF(P$12=0,0,P15/P$12)</f>
        <v>-1.641847406707994E-4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-0.1000000000003638</v>
      </c>
      <c r="Y15" s="4"/>
      <c r="Z15" s="12">
        <f t="shared" ref="Z15:Z17" si="11">IF(T15=0,0,X15/T15)</f>
        <v>0</v>
      </c>
    </row>
    <row r="16" spans="1:26" s="24" customFormat="1" hidden="1" outlineLevel="1" x14ac:dyDescent="0.25">
      <c r="A16" s="51"/>
      <c r="B16" s="11" t="str">
        <f>CONCATENATE("          ", "5053", " - ", "PURCHASES @ COST-FOOD")</f>
        <v xml:space="preserve">          5053 - PURCHASES @ COST-FOOD</v>
      </c>
      <c r="C16" s="11"/>
      <c r="D16" s="2">
        <v>5853.9</v>
      </c>
      <c r="E16" s="2"/>
      <c r="F16" s="22">
        <f t="shared" si="4"/>
        <v>9.6112105340929599</v>
      </c>
      <c r="G16" s="2"/>
      <c r="H16" s="2"/>
      <c r="I16" s="2"/>
      <c r="J16" s="22">
        <f t="shared" si="5"/>
        <v>0</v>
      </c>
      <c r="K16" s="2"/>
      <c r="L16" s="2">
        <f t="shared" si="6"/>
        <v>5853.9</v>
      </c>
      <c r="M16" s="2"/>
      <c r="N16" s="22">
        <f t="shared" si="7"/>
        <v>0</v>
      </c>
      <c r="O16" s="11"/>
      <c r="P16" s="2">
        <v>5853.9</v>
      </c>
      <c r="Q16" s="2"/>
      <c r="R16" s="22">
        <f t="shared" si="8"/>
        <v>9.6112105340929599</v>
      </c>
      <c r="S16" s="2"/>
      <c r="T16" s="2"/>
      <c r="U16" s="2"/>
      <c r="V16" s="22">
        <f t="shared" si="9"/>
        <v>0</v>
      </c>
      <c r="W16" s="2"/>
      <c r="X16" s="2">
        <f t="shared" si="10"/>
        <v>5853.9</v>
      </c>
      <c r="Y16" s="2"/>
      <c r="Z16" s="22">
        <f t="shared" si="11"/>
        <v>0</v>
      </c>
    </row>
    <row r="17" spans="1:26" s="24" customFormat="1" hidden="1" outlineLevel="1" x14ac:dyDescent="0.25">
      <c r="A17" s="51"/>
      <c r="B17" s="11" t="str">
        <f>CONCATENATE("          ", "5059", " - ", "PURCHASES @ COST-FOOD")</f>
        <v xml:space="preserve">          5059 - PURCHASES @ COST-FOOD</v>
      </c>
      <c r="C17" s="11"/>
      <c r="D17" s="2">
        <v>-5854</v>
      </c>
      <c r="E17" s="2"/>
      <c r="F17" s="22">
        <f t="shared" si="4"/>
        <v>-9.6113747188336305</v>
      </c>
      <c r="G17" s="2"/>
      <c r="H17" s="2"/>
      <c r="I17" s="2"/>
      <c r="J17" s="22">
        <f t="shared" si="5"/>
        <v>0</v>
      </c>
      <c r="K17" s="2"/>
      <c r="L17" s="2">
        <f t="shared" si="6"/>
        <v>-5854</v>
      </c>
      <c r="M17" s="2"/>
      <c r="N17" s="22">
        <f t="shared" si="7"/>
        <v>0</v>
      </c>
      <c r="O17" s="11"/>
      <c r="P17" s="2">
        <v>-5854</v>
      </c>
      <c r="Q17" s="2"/>
      <c r="R17" s="22">
        <f t="shared" si="8"/>
        <v>-9.6113747188336305</v>
      </c>
      <c r="S17" s="2"/>
      <c r="T17" s="2"/>
      <c r="U17" s="2"/>
      <c r="V17" s="22">
        <f t="shared" si="9"/>
        <v>0</v>
      </c>
      <c r="W17" s="2"/>
      <c r="X17" s="2">
        <f t="shared" si="10"/>
        <v>-5854</v>
      </c>
      <c r="Y17" s="2"/>
      <c r="Z17" s="22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1">
        <f>D12-D15</f>
        <v>609.17000000000041</v>
      </c>
      <c r="E19" s="13"/>
      <c r="F19" s="19">
        <f>IF(D$12=0,0,D19/D$12)</f>
        <v>1.0001641847406708</v>
      </c>
      <c r="G19" s="13"/>
      <c r="H19" s="21">
        <f>H12-H15</f>
        <v>0</v>
      </c>
      <c r="I19" s="13"/>
      <c r="J19" s="19">
        <f>IF(H$12=0,0,H19/H$12)</f>
        <v>0</v>
      </c>
      <c r="K19" s="15"/>
      <c r="L19" s="21">
        <f>+D19-H19</f>
        <v>609.17000000000041</v>
      </c>
      <c r="M19" s="15"/>
      <c r="N19" s="19">
        <f>IF(H19=0,0,L19/H19)</f>
        <v>0</v>
      </c>
      <c r="O19" s="25"/>
      <c r="P19" s="21">
        <f>P12-P15</f>
        <v>609.17000000000041</v>
      </c>
      <c r="Q19" s="13"/>
      <c r="R19" s="19">
        <f>IF(P$12=0,0,P19/P$12)</f>
        <v>1.0001641847406708</v>
      </c>
      <c r="S19" s="13"/>
      <c r="T19" s="21">
        <f>T12-T15</f>
        <v>0</v>
      </c>
      <c r="U19" s="13"/>
      <c r="V19" s="19">
        <f>IF(T$12=0,0,T19/T$12)</f>
        <v>0</v>
      </c>
      <c r="W19" s="15"/>
      <c r="X19" s="21">
        <f>+P19-T19</f>
        <v>609.17000000000041</v>
      </c>
      <c r="Y19" s="15"/>
      <c r="Z19" s="19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0">
        <f>SUM(OSRRefD22x_0)</f>
        <v>2725.8399999999997</v>
      </c>
      <c r="E21" s="20"/>
      <c r="F21" s="30">
        <f t="shared" ref="F21:F30" si="12">IF(D$12=0,0,D21/D$12)</f>
        <v>4.4754133350846361</v>
      </c>
      <c r="G21" s="20"/>
      <c r="H21" s="20">
        <f>SUM(OSRRefH22x_0)</f>
        <v>5812.0839999999998</v>
      </c>
      <c r="I21" s="20"/>
      <c r="J21" s="30">
        <f t="shared" ref="J21:J30" si="13">IF(H$12=0,0,H21/H$12)</f>
        <v>0</v>
      </c>
      <c r="K21" s="4"/>
      <c r="L21" s="20">
        <f t="shared" ref="L21:L30" si="14">+D21-H21</f>
        <v>-3086.2440000000001</v>
      </c>
      <c r="M21" s="4"/>
      <c r="N21" s="30">
        <f t="shared" ref="N21:N30" si="15">IF(H21=0,0,L21/H21)</f>
        <v>-0.53100471362767643</v>
      </c>
      <c r="O21" s="10"/>
      <c r="P21" s="20">
        <f>SUM(OSRRefP22x_0)</f>
        <v>2725.8399999999997</v>
      </c>
      <c r="Q21" s="20"/>
      <c r="R21" s="30">
        <f t="shared" ref="R21:R30" si="16">IF(P$12=0,0,P21/P$12)</f>
        <v>4.4754133350846361</v>
      </c>
      <c r="S21" s="20"/>
      <c r="T21" s="20">
        <f>SUM(OSRRefT22x_0)</f>
        <v>5812.0839999999998</v>
      </c>
      <c r="U21" s="20"/>
      <c r="V21" s="30">
        <f t="shared" ref="V21:V30" si="17">IF(T$12=0,0,T21/T$12)</f>
        <v>0</v>
      </c>
      <c r="W21" s="4"/>
      <c r="X21" s="20">
        <f t="shared" ref="X21:X30" si="18">+P21-T21</f>
        <v>-3086.2440000000001</v>
      </c>
      <c r="Y21" s="4"/>
      <c r="Z21" s="30">
        <f t="shared" ref="Z21:Z30" si="19">IF(T21=0,0,X21/T21)</f>
        <v>-0.53100471362767643</v>
      </c>
    </row>
    <row r="22" spans="1:26" s="27" customFormat="1" outlineLevel="1" collapsed="1" x14ac:dyDescent="0.25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174.084</v>
      </c>
      <c r="I22" s="1"/>
      <c r="J22" s="5">
        <f t="shared" si="13"/>
        <v>0</v>
      </c>
      <c r="K22" s="1"/>
      <c r="L22" s="1">
        <f t="shared" si="14"/>
        <v>-174.084</v>
      </c>
      <c r="M22" s="1"/>
      <c r="N22" s="5">
        <f t="shared" si="15"/>
        <v>-1</v>
      </c>
      <c r="O22" s="14"/>
      <c r="P22" s="1">
        <f>SUM(OSRRefP22_0x_0)</f>
        <v>0</v>
      </c>
      <c r="Q22" s="1"/>
      <c r="R22" s="5">
        <f t="shared" si="16"/>
        <v>0</v>
      </c>
      <c r="S22" s="1"/>
      <c r="T22" s="1">
        <f>SUM(OSRRefT22_0x_0)</f>
        <v>174.084</v>
      </c>
      <c r="U22" s="1"/>
      <c r="V22" s="5">
        <f t="shared" si="17"/>
        <v>0</v>
      </c>
      <c r="W22" s="1"/>
      <c r="X22" s="1">
        <f t="shared" si="18"/>
        <v>-174.084</v>
      </c>
      <c r="Y22" s="1"/>
      <c r="Z22" s="5">
        <f t="shared" si="19"/>
        <v>-1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13.884</v>
      </c>
      <c r="I26" s="2"/>
      <c r="J26" s="6">
        <f t="shared" si="13"/>
        <v>0</v>
      </c>
      <c r="K26" s="2"/>
      <c r="L26" s="7">
        <f t="shared" si="14"/>
        <v>-13.884</v>
      </c>
      <c r="M26" s="2"/>
      <c r="N26" s="6">
        <f t="shared" si="15"/>
        <v>-1</v>
      </c>
      <c r="O26" s="11"/>
      <c r="P26" s="7"/>
      <c r="Q26" s="2"/>
      <c r="R26" s="6">
        <f t="shared" si="16"/>
        <v>0</v>
      </c>
      <c r="S26" s="2"/>
      <c r="T26" s="7">
        <v>13.884</v>
      </c>
      <c r="U26" s="2"/>
      <c r="V26" s="6">
        <f t="shared" si="17"/>
        <v>0</v>
      </c>
      <c r="W26" s="2"/>
      <c r="X26" s="7">
        <f t="shared" si="18"/>
        <v>-13.884</v>
      </c>
      <c r="Y26" s="2"/>
      <c r="Z26" s="6">
        <f t="shared" si="19"/>
        <v>-1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160.19999999999999</v>
      </c>
      <c r="I30" s="2"/>
      <c r="J30" s="6">
        <f t="shared" si="13"/>
        <v>0</v>
      </c>
      <c r="K30" s="2"/>
      <c r="L30" s="7">
        <f t="shared" si="14"/>
        <v>-160.19999999999999</v>
      </c>
      <c r="M30" s="2"/>
      <c r="N30" s="6">
        <f t="shared" si="15"/>
        <v>-1</v>
      </c>
      <c r="O30" s="11"/>
      <c r="P30" s="7"/>
      <c r="Q30" s="2"/>
      <c r="R30" s="6">
        <f t="shared" si="16"/>
        <v>0</v>
      </c>
      <c r="S30" s="2"/>
      <c r="T30" s="7">
        <v>160.19999999999999</v>
      </c>
      <c r="U30" s="2"/>
      <c r="V30" s="6">
        <f t="shared" si="17"/>
        <v>0</v>
      </c>
      <c r="W30" s="2"/>
      <c r="X30" s="7">
        <f t="shared" si="18"/>
        <v>-160.19999999999999</v>
      </c>
      <c r="Y30" s="2"/>
      <c r="Z30" s="6">
        <f t="shared" si="19"/>
        <v>-1</v>
      </c>
    </row>
    <row r="31" spans="1:26" s="27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887</v>
      </c>
      <c r="E31" s="1"/>
      <c r="F31" s="5">
        <f t="shared" ref="F31:F41" si="20">IF(D$12=0,0,D31/D$12)</f>
        <v>1.4563186497446927</v>
      </c>
      <c r="G31" s="1"/>
      <c r="H31" s="1">
        <f>SUM(OSRRefH22_1x_0)</f>
        <v>5340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-4453</v>
      </c>
      <c r="M31" s="1"/>
      <c r="N31" s="5">
        <f t="shared" ref="N31:N41" si="23">IF(H31=0,0,L31/H31)</f>
        <v>-0.83389513108614233</v>
      </c>
      <c r="O31" s="14"/>
      <c r="P31" s="1">
        <f>SUM(OSRRefP22_1x_0)</f>
        <v>887</v>
      </c>
      <c r="Q31" s="1"/>
      <c r="R31" s="5">
        <f t="shared" ref="R31:R41" si="24">IF(P$12=0,0,P31/P$12)</f>
        <v>1.4563186497446927</v>
      </c>
      <c r="S31" s="1"/>
      <c r="T31" s="1">
        <f>SUM(OSRRefT22_1x_0)</f>
        <v>5340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-4453</v>
      </c>
      <c r="Y31" s="1"/>
      <c r="Z31" s="5">
        <f t="shared" ref="Z31:Z41" si="27">IF(T31=0,0,X31/T31)</f>
        <v>-0.83389513108614233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0"/>
        <v>0</v>
      </c>
      <c r="G36" s="2"/>
      <c r="H36" s="7">
        <v>1500</v>
      </c>
      <c r="I36" s="2"/>
      <c r="J36" s="6">
        <f t="shared" si="21"/>
        <v>0</v>
      </c>
      <c r="K36" s="2"/>
      <c r="L36" s="7">
        <f t="shared" si="22"/>
        <v>-1500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1500</v>
      </c>
      <c r="U36" s="2"/>
      <c r="V36" s="6">
        <f t="shared" si="25"/>
        <v>0</v>
      </c>
      <c r="W36" s="2"/>
      <c r="X36" s="7">
        <f t="shared" si="26"/>
        <v>-1500</v>
      </c>
      <c r="Y36" s="2"/>
      <c r="Z36" s="6">
        <f t="shared" si="27"/>
        <v>-1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>
        <v>887</v>
      </c>
      <c r="E38" s="2"/>
      <c r="F38" s="6">
        <f t="shared" si="20"/>
        <v>1.4563186497446927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887</v>
      </c>
      <c r="M38" s="2"/>
      <c r="N38" s="6">
        <f t="shared" si="23"/>
        <v>0</v>
      </c>
      <c r="O38" s="11"/>
      <c r="P38" s="7">
        <v>887</v>
      </c>
      <c r="Q38" s="2"/>
      <c r="R38" s="6">
        <f t="shared" si="24"/>
        <v>1.4563186497446927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887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0"/>
        <v>0</v>
      </c>
      <c r="G39" s="2"/>
      <c r="H39" s="7">
        <v>3840</v>
      </c>
      <c r="I39" s="2"/>
      <c r="J39" s="6">
        <f t="shared" si="21"/>
        <v>0</v>
      </c>
      <c r="K39" s="2"/>
      <c r="L39" s="7">
        <f t="shared" si="22"/>
        <v>-3840</v>
      </c>
      <c r="M39" s="2"/>
      <c r="N39" s="6">
        <f t="shared" si="23"/>
        <v>-1</v>
      </c>
      <c r="O39" s="11"/>
      <c r="P39" s="7"/>
      <c r="Q39" s="2"/>
      <c r="R39" s="6">
        <f t="shared" si="24"/>
        <v>0</v>
      </c>
      <c r="S39" s="2"/>
      <c r="T39" s="7">
        <v>3840</v>
      </c>
      <c r="U39" s="2"/>
      <c r="V39" s="6">
        <f t="shared" si="25"/>
        <v>0</v>
      </c>
      <c r="W39" s="2"/>
      <c r="X39" s="7">
        <f t="shared" si="26"/>
        <v>-3840</v>
      </c>
      <c r="Y39" s="2"/>
      <c r="Z39" s="6">
        <f t="shared" si="27"/>
        <v>-1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7" customFormat="1" outlineLevel="1" collapsed="1" x14ac:dyDescent="0.25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SUM(OSRRefD22_2x_0)</f>
        <v>-1</v>
      </c>
      <c r="E42" s="1"/>
      <c r="F42" s="5">
        <f t="shared" ref="F42:F54" si="28">IF(D$12=0,0,D42/D$12)</f>
        <v>-1.6418474067020209E-3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-1</v>
      </c>
      <c r="M42" s="1"/>
      <c r="N42" s="5">
        <f t="shared" ref="N42:N54" si="31">IF(H42=0,0,L42/H42)</f>
        <v>0</v>
      </c>
      <c r="O42" s="14"/>
      <c r="P42" s="1">
        <f>SUM(OSRRefP22_2x_0)</f>
        <v>-1</v>
      </c>
      <c r="Q42" s="1"/>
      <c r="R42" s="5">
        <f t="shared" ref="R42:R54" si="32">IF(P$12=0,0,P42/P$12)</f>
        <v>-1.6418474067020209E-3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-1</v>
      </c>
      <c r="Y42" s="1"/>
      <c r="Z42" s="5">
        <f t="shared" ref="Z42:Z54" si="35">IF(T42=0,0,X42/T42)</f>
        <v>0</v>
      </c>
    </row>
    <row r="43" spans="1:26" s="24" customFormat="1" hidden="1" outlineLevel="2" x14ac:dyDescent="0.25">
      <c r="A43" s="29"/>
      <c r="B43" s="11" t="str">
        <f>CONCATENATE("          ", "6272", " - ", "CASH (OVER/SHORT)")</f>
        <v xml:space="preserve">          6272 - CASH (OVER/SHORT)</v>
      </c>
      <c r="C43" s="11"/>
      <c r="D43" s="7">
        <v>-1</v>
      </c>
      <c r="E43" s="2"/>
      <c r="F43" s="6">
        <f t="shared" si="28"/>
        <v>-1.6418474067020209E-3</v>
      </c>
      <c r="G43" s="2"/>
      <c r="H43" s="7"/>
      <c r="I43" s="2"/>
      <c r="J43" s="6">
        <f t="shared" si="29"/>
        <v>0</v>
      </c>
      <c r="K43" s="2"/>
      <c r="L43" s="7">
        <f t="shared" si="30"/>
        <v>-1</v>
      </c>
      <c r="M43" s="2"/>
      <c r="N43" s="6">
        <f t="shared" si="31"/>
        <v>0</v>
      </c>
      <c r="O43" s="11"/>
      <c r="P43" s="7">
        <v>-1</v>
      </c>
      <c r="Q43" s="2"/>
      <c r="R43" s="6">
        <f t="shared" si="32"/>
        <v>-1.6418474067020209E-3</v>
      </c>
      <c r="S43" s="2"/>
      <c r="T43" s="7"/>
      <c r="U43" s="2"/>
      <c r="V43" s="6">
        <f t="shared" si="33"/>
        <v>0</v>
      </c>
      <c r="W43" s="2"/>
      <c r="X43" s="7">
        <f t="shared" si="34"/>
        <v>-1</v>
      </c>
      <c r="Y43" s="2"/>
      <c r="Z43" s="6">
        <f t="shared" si="35"/>
        <v>0</v>
      </c>
    </row>
    <row r="44" spans="1:26" s="27" customFormat="1" outlineLevel="1" collapsed="1" x14ac:dyDescent="0.25">
      <c r="A44" s="28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SUM(OSRRefD22_3x_0)</f>
        <v>48.55</v>
      </c>
      <c r="E44" s="1"/>
      <c r="F44" s="5">
        <f t="shared" si="28"/>
        <v>7.9711691595383119E-2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48.55</v>
      </c>
      <c r="M44" s="1"/>
      <c r="N44" s="5">
        <f t="shared" si="31"/>
        <v>0</v>
      </c>
      <c r="O44" s="14"/>
      <c r="P44" s="1">
        <f>SUM(OSRRefP22_3x_0)</f>
        <v>48.55</v>
      </c>
      <c r="Q44" s="1"/>
      <c r="R44" s="5">
        <f t="shared" si="32"/>
        <v>7.9711691595383119E-2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48.55</v>
      </c>
      <c r="Y44" s="1"/>
      <c r="Z44" s="5">
        <f t="shared" si="35"/>
        <v>0</v>
      </c>
    </row>
    <row r="45" spans="1:26" s="24" customFormat="1" hidden="1" outlineLevel="2" x14ac:dyDescent="0.25">
      <c r="A45" s="29"/>
      <c r="B45" s="11" t="str">
        <f>CONCATENATE("          ", "6277", " - ", "EMPLOYEE APPRECIATION")</f>
        <v xml:space="preserve">          6277 - EMPLOYEE APPRECIATION</v>
      </c>
      <c r="C45" s="11"/>
      <c r="D45" s="7">
        <v>48.55</v>
      </c>
      <c r="E45" s="2"/>
      <c r="F45" s="6">
        <f t="shared" si="28"/>
        <v>7.9711691595383119E-2</v>
      </c>
      <c r="G45" s="2"/>
      <c r="H45" s="7"/>
      <c r="I45" s="2"/>
      <c r="J45" s="6">
        <f t="shared" si="29"/>
        <v>0</v>
      </c>
      <c r="K45" s="2"/>
      <c r="L45" s="7">
        <f t="shared" si="30"/>
        <v>48.55</v>
      </c>
      <c r="M45" s="2"/>
      <c r="N45" s="6">
        <f t="shared" si="31"/>
        <v>0</v>
      </c>
      <c r="O45" s="11"/>
      <c r="P45" s="7">
        <v>48.55</v>
      </c>
      <c r="Q45" s="2"/>
      <c r="R45" s="6">
        <f t="shared" si="32"/>
        <v>7.9711691595383119E-2</v>
      </c>
      <c r="S45" s="2"/>
      <c r="T45" s="7"/>
      <c r="U45" s="2"/>
      <c r="V45" s="6">
        <f t="shared" si="33"/>
        <v>0</v>
      </c>
      <c r="W45" s="2"/>
      <c r="X45" s="7">
        <f t="shared" si="34"/>
        <v>48.55</v>
      </c>
      <c r="Y45" s="2"/>
      <c r="Z45" s="6">
        <f t="shared" si="35"/>
        <v>0</v>
      </c>
    </row>
    <row r="46" spans="1:26" s="27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SUM(OSRRefD22_4x_0)</f>
        <v>1464.1</v>
      </c>
      <c r="E46" s="1"/>
      <c r="F46" s="5">
        <f t="shared" si="28"/>
        <v>2.403828788152429</v>
      </c>
      <c r="G46" s="1"/>
      <c r="H46" s="1">
        <f>SUM(OSRRefH22_4x_0)</f>
        <v>0</v>
      </c>
      <c r="I46" s="1"/>
      <c r="J46" s="5">
        <f t="shared" si="29"/>
        <v>0</v>
      </c>
      <c r="K46" s="1"/>
      <c r="L46" s="1">
        <f t="shared" si="30"/>
        <v>1464.1</v>
      </c>
      <c r="M46" s="1"/>
      <c r="N46" s="5">
        <f t="shared" si="31"/>
        <v>0</v>
      </c>
      <c r="O46" s="14"/>
      <c r="P46" s="1">
        <f>SUM(OSRRefP22_4x_0)</f>
        <v>1464.1</v>
      </c>
      <c r="Q46" s="1"/>
      <c r="R46" s="5">
        <f t="shared" si="32"/>
        <v>2.403828788152429</v>
      </c>
      <c r="S46" s="1"/>
      <c r="T46" s="1">
        <f>SUM(OSRRefT22_4x_0)</f>
        <v>0</v>
      </c>
      <c r="U46" s="1"/>
      <c r="V46" s="5">
        <f t="shared" si="33"/>
        <v>0</v>
      </c>
      <c r="W46" s="1"/>
      <c r="X46" s="1">
        <f t="shared" si="34"/>
        <v>1464.1</v>
      </c>
      <c r="Y46" s="1"/>
      <c r="Z46" s="5">
        <f t="shared" si="35"/>
        <v>0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7">
        <v>1464.1</v>
      </c>
      <c r="E47" s="2"/>
      <c r="F47" s="6">
        <f t="shared" si="28"/>
        <v>2.403828788152429</v>
      </c>
      <c r="G47" s="2"/>
      <c r="H47" s="7"/>
      <c r="I47" s="2"/>
      <c r="J47" s="6">
        <f t="shared" si="29"/>
        <v>0</v>
      </c>
      <c r="K47" s="2"/>
      <c r="L47" s="7">
        <f t="shared" si="30"/>
        <v>1464.1</v>
      </c>
      <c r="M47" s="2"/>
      <c r="N47" s="6">
        <f t="shared" si="31"/>
        <v>0</v>
      </c>
      <c r="O47" s="11"/>
      <c r="P47" s="7">
        <v>1464.1</v>
      </c>
      <c r="Q47" s="2"/>
      <c r="R47" s="6">
        <f t="shared" si="32"/>
        <v>2.403828788152429</v>
      </c>
      <c r="S47" s="2"/>
      <c r="T47" s="7"/>
      <c r="U47" s="2"/>
      <c r="V47" s="6">
        <f t="shared" si="33"/>
        <v>0</v>
      </c>
      <c r="W47" s="2"/>
      <c r="X47" s="7">
        <f t="shared" si="34"/>
        <v>1464.1</v>
      </c>
      <c r="Y47" s="2"/>
      <c r="Z47" s="6">
        <f t="shared" si="35"/>
        <v>0</v>
      </c>
    </row>
    <row r="48" spans="1:26" s="27" customFormat="1" outlineLevel="1" collapsed="1" x14ac:dyDescent="0.25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SUM(OSRRefD22_5x_0)</f>
        <v>138.08000000000001</v>
      </c>
      <c r="E48" s="1"/>
      <c r="F48" s="5">
        <f t="shared" si="28"/>
        <v>0.22670628991741507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138.08000000000001</v>
      </c>
      <c r="M48" s="1"/>
      <c r="N48" s="5">
        <f t="shared" si="31"/>
        <v>0</v>
      </c>
      <c r="O48" s="14"/>
      <c r="P48" s="1">
        <f>SUM(OSRRefP22_5x_0)</f>
        <v>138.08000000000001</v>
      </c>
      <c r="Q48" s="1"/>
      <c r="R48" s="5">
        <f t="shared" si="32"/>
        <v>0.22670628991741507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138.08000000000001</v>
      </c>
      <c r="Y48" s="1"/>
      <c r="Z48" s="5">
        <f t="shared" si="35"/>
        <v>0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7">
        <v>138.08000000000001</v>
      </c>
      <c r="E49" s="2"/>
      <c r="F49" s="6">
        <f t="shared" si="28"/>
        <v>0.22670628991741507</v>
      </c>
      <c r="G49" s="2"/>
      <c r="H49" s="7"/>
      <c r="I49" s="2"/>
      <c r="J49" s="6">
        <f t="shared" si="29"/>
        <v>0</v>
      </c>
      <c r="K49" s="2"/>
      <c r="L49" s="7">
        <f t="shared" si="30"/>
        <v>138.08000000000001</v>
      </c>
      <c r="M49" s="2"/>
      <c r="N49" s="6">
        <f t="shared" si="31"/>
        <v>0</v>
      </c>
      <c r="O49" s="11"/>
      <c r="P49" s="7">
        <v>138.08000000000001</v>
      </c>
      <c r="Q49" s="2"/>
      <c r="R49" s="6">
        <f t="shared" si="32"/>
        <v>0.22670628991741507</v>
      </c>
      <c r="S49" s="2"/>
      <c r="T49" s="7"/>
      <c r="U49" s="2"/>
      <c r="V49" s="6">
        <f t="shared" si="33"/>
        <v>0</v>
      </c>
      <c r="W49" s="2"/>
      <c r="X49" s="7">
        <f t="shared" si="34"/>
        <v>138.08000000000001</v>
      </c>
      <c r="Y49" s="2"/>
      <c r="Z49" s="6">
        <f t="shared" si="35"/>
        <v>0</v>
      </c>
    </row>
    <row r="50" spans="1:26" s="27" customFormat="1" outlineLevel="1" collapsed="1" x14ac:dyDescent="0.25">
      <c r="A50" s="28"/>
      <c r="B50" s="14" t="str">
        <f>CONCATENATE("     ","Royalty &amp; Commissions                             ")</f>
        <v xml:space="preserve">     Royalty &amp; Commissions                             </v>
      </c>
      <c r="C50" s="14"/>
      <c r="D50" s="1">
        <f>SUM(OSRRefD22_6x_0)</f>
        <v>273.10000000000002</v>
      </c>
      <c r="E50" s="1"/>
      <c r="F50" s="5">
        <f t="shared" si="28"/>
        <v>0.44838852677032198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273.10000000000002</v>
      </c>
      <c r="M50" s="1"/>
      <c r="N50" s="5">
        <f t="shared" si="31"/>
        <v>0</v>
      </c>
      <c r="O50" s="14"/>
      <c r="P50" s="1">
        <f>SUM(OSRRefP22_6x_0)</f>
        <v>273.10000000000002</v>
      </c>
      <c r="Q50" s="1"/>
      <c r="R50" s="5">
        <f t="shared" si="32"/>
        <v>0.44838852677032198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273.10000000000002</v>
      </c>
      <c r="Y50" s="1"/>
      <c r="Z50" s="5">
        <f t="shared" si="35"/>
        <v>0</v>
      </c>
    </row>
    <row r="51" spans="1:26" s="24" customFormat="1" hidden="1" outlineLevel="2" x14ac:dyDescent="0.25">
      <c r="A51" s="29"/>
      <c r="B51" s="11" t="str">
        <f>CONCATENATE("          ", "6254", " - ", "ROYALTY &amp; COMMISSIONS")</f>
        <v xml:space="preserve">          6254 - ROYALTY &amp; COMMISSIONS</v>
      </c>
      <c r="C51" s="11"/>
      <c r="D51" s="7">
        <v>273.10000000000002</v>
      </c>
      <c r="E51" s="2"/>
      <c r="F51" s="6">
        <f t="shared" si="28"/>
        <v>0.44838852677032198</v>
      </c>
      <c r="G51" s="2"/>
      <c r="H51" s="7"/>
      <c r="I51" s="2"/>
      <c r="J51" s="6">
        <f t="shared" si="29"/>
        <v>0</v>
      </c>
      <c r="K51" s="2"/>
      <c r="L51" s="7">
        <f t="shared" si="30"/>
        <v>273.10000000000002</v>
      </c>
      <c r="M51" s="2"/>
      <c r="N51" s="6">
        <f t="shared" si="31"/>
        <v>0</v>
      </c>
      <c r="O51" s="11"/>
      <c r="P51" s="7">
        <v>273.10000000000002</v>
      </c>
      <c r="Q51" s="2"/>
      <c r="R51" s="6">
        <f t="shared" si="32"/>
        <v>0.44838852677032198</v>
      </c>
      <c r="S51" s="2"/>
      <c r="T51" s="7"/>
      <c r="U51" s="2"/>
      <c r="V51" s="6">
        <f t="shared" si="33"/>
        <v>0</v>
      </c>
      <c r="W51" s="2"/>
      <c r="X51" s="7">
        <f t="shared" si="34"/>
        <v>273.10000000000002</v>
      </c>
      <c r="Y51" s="2"/>
      <c r="Z51" s="6">
        <f t="shared" si="35"/>
        <v>0</v>
      </c>
    </row>
    <row r="52" spans="1:26" s="27" customFormat="1" outlineLevel="1" collapsed="1" x14ac:dyDescent="0.25">
      <c r="A52" s="28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SUM(OSRRefD22_7x_0)</f>
        <v>-83.99</v>
      </c>
      <c r="E52" s="1"/>
      <c r="F52" s="5">
        <f t="shared" si="28"/>
        <v>-0.13789876368890272</v>
      </c>
      <c r="G52" s="1"/>
      <c r="H52" s="1">
        <f>SUM(OSRRefH22_7x_0)</f>
        <v>298</v>
      </c>
      <c r="I52" s="1"/>
      <c r="J52" s="5">
        <f t="shared" si="29"/>
        <v>0</v>
      </c>
      <c r="K52" s="1"/>
      <c r="L52" s="1">
        <f t="shared" si="30"/>
        <v>-381.99</v>
      </c>
      <c r="M52" s="1"/>
      <c r="N52" s="5">
        <f t="shared" si="31"/>
        <v>-1.2818456375838927</v>
      </c>
      <c r="O52" s="14"/>
      <c r="P52" s="1">
        <f>SUM(OSRRefP22_7x_0)</f>
        <v>-83.99</v>
      </c>
      <c r="Q52" s="1"/>
      <c r="R52" s="5">
        <f t="shared" si="32"/>
        <v>-0.13789876368890272</v>
      </c>
      <c r="S52" s="1"/>
      <c r="T52" s="1">
        <f>SUM(OSRRefT22_7x_0)</f>
        <v>298</v>
      </c>
      <c r="U52" s="1"/>
      <c r="V52" s="5">
        <f t="shared" si="33"/>
        <v>0</v>
      </c>
      <c r="W52" s="1"/>
      <c r="X52" s="1">
        <f t="shared" si="34"/>
        <v>-381.99</v>
      </c>
      <c r="Y52" s="1"/>
      <c r="Z52" s="5">
        <f t="shared" si="35"/>
        <v>-1.2818456375838927</v>
      </c>
    </row>
    <row r="53" spans="1:26" s="24" customFormat="1" hidden="1" outlineLevel="2" x14ac:dyDescent="0.25">
      <c r="A53" s="29"/>
      <c r="B53" s="11" t="str">
        <f>CONCATENATE("          ", "6303", " - ", "DATA PHONE LINES")</f>
        <v xml:space="preserve">          6303 - DATA PHONE LINES</v>
      </c>
      <c r="C53" s="11"/>
      <c r="D53" s="7"/>
      <c r="E53" s="2"/>
      <c r="F53" s="6">
        <f t="shared" si="28"/>
        <v>0</v>
      </c>
      <c r="G53" s="2"/>
      <c r="H53" s="7">
        <v>298</v>
      </c>
      <c r="I53" s="2"/>
      <c r="J53" s="6">
        <f t="shared" si="29"/>
        <v>0</v>
      </c>
      <c r="K53" s="2"/>
      <c r="L53" s="7">
        <f t="shared" si="30"/>
        <v>-298</v>
      </c>
      <c r="M53" s="2"/>
      <c r="N53" s="6">
        <f t="shared" si="31"/>
        <v>-1</v>
      </c>
      <c r="O53" s="11"/>
      <c r="P53" s="7"/>
      <c r="Q53" s="2"/>
      <c r="R53" s="6">
        <f t="shared" si="32"/>
        <v>0</v>
      </c>
      <c r="S53" s="2"/>
      <c r="T53" s="7">
        <v>298</v>
      </c>
      <c r="U53" s="2"/>
      <c r="V53" s="6">
        <f t="shared" si="33"/>
        <v>0</v>
      </c>
      <c r="W53" s="2"/>
      <c r="X53" s="7">
        <f t="shared" si="34"/>
        <v>-298</v>
      </c>
      <c r="Y53" s="2"/>
      <c r="Z53" s="6">
        <f t="shared" si="35"/>
        <v>-1</v>
      </c>
    </row>
    <row r="54" spans="1:26" s="24" customFormat="1" hidden="1" outlineLevel="2" x14ac:dyDescent="0.25">
      <c r="A54" s="29"/>
      <c r="B54" s="11" t="str">
        <f>CONCATENATE("          ", "6309", " - ", "TELEPHONE")</f>
        <v xml:space="preserve">          6309 - TELEPHONE</v>
      </c>
      <c r="C54" s="11"/>
      <c r="D54" s="7">
        <v>-83.99</v>
      </c>
      <c r="E54" s="2"/>
      <c r="F54" s="6">
        <f t="shared" si="28"/>
        <v>-0.13789876368890272</v>
      </c>
      <c r="G54" s="2"/>
      <c r="H54" s="7"/>
      <c r="I54" s="2"/>
      <c r="J54" s="6">
        <f t="shared" si="29"/>
        <v>0</v>
      </c>
      <c r="K54" s="2"/>
      <c r="L54" s="7">
        <f t="shared" si="30"/>
        <v>-83.99</v>
      </c>
      <c r="M54" s="2"/>
      <c r="N54" s="6">
        <f t="shared" si="31"/>
        <v>0</v>
      </c>
      <c r="O54" s="11"/>
      <c r="P54" s="7">
        <v>-83.99</v>
      </c>
      <c r="Q54" s="2"/>
      <c r="R54" s="6">
        <f t="shared" si="32"/>
        <v>-0.13789876368890272</v>
      </c>
      <c r="S54" s="2"/>
      <c r="T54" s="7"/>
      <c r="U54" s="2"/>
      <c r="V54" s="6">
        <f t="shared" si="33"/>
        <v>0</v>
      </c>
      <c r="W54" s="2"/>
      <c r="X54" s="7">
        <f t="shared" si="34"/>
        <v>-83.99</v>
      </c>
      <c r="Y54" s="2"/>
      <c r="Z54" s="6">
        <f t="shared" si="35"/>
        <v>0</v>
      </c>
    </row>
    <row r="55" spans="1:26" s="57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25">
      <c r="A56" s="10"/>
      <c r="B56" s="25" t="s">
        <v>0</v>
      </c>
      <c r="C56" s="10"/>
      <c r="D56" s="4">
        <f>SUM(OSRRefD25x_0)</f>
        <v>546.20000000000005</v>
      </c>
      <c r="E56" s="4"/>
      <c r="F56" s="12">
        <f t="shared" ref="F56:F57" si="36">IF(D$12=0,0,D56/D$12)</f>
        <v>0.89677705354064396</v>
      </c>
      <c r="G56" s="4"/>
      <c r="H56" s="4">
        <f>SUM(OSRRefH25x_0)</f>
        <v>0</v>
      </c>
      <c r="I56" s="4"/>
      <c r="J56" s="12">
        <f t="shared" ref="J56:J57" si="37">IF(H$12=0,0,H56/H$12)</f>
        <v>0</v>
      </c>
      <c r="K56" s="4"/>
      <c r="L56" s="4">
        <f t="shared" ref="L56:L57" si="38">+D56-H56</f>
        <v>546.20000000000005</v>
      </c>
      <c r="M56" s="4"/>
      <c r="N56" s="12">
        <f t="shared" ref="N56:N57" si="39">IF(H56=0,0,L56/H56)</f>
        <v>0</v>
      </c>
      <c r="O56" s="10"/>
      <c r="P56" s="4">
        <f>SUM(OSRRefP25x_0)</f>
        <v>546.20000000000005</v>
      </c>
      <c r="Q56" s="4"/>
      <c r="R56" s="12">
        <f t="shared" ref="R56:R57" si="40">IF(P$12=0,0,P56/P$12)</f>
        <v>0.89677705354064396</v>
      </c>
      <c r="S56" s="4"/>
      <c r="T56" s="4">
        <f>SUM(OSRRefT25x_0)</f>
        <v>0</v>
      </c>
      <c r="U56" s="4"/>
      <c r="V56" s="12">
        <f t="shared" ref="V56:V57" si="41">IF(T$12=0,0,T56/T$12)</f>
        <v>0</v>
      </c>
      <c r="W56" s="4"/>
      <c r="X56" s="4">
        <f t="shared" ref="X56:X57" si="42">+P56-T56</f>
        <v>546.20000000000005</v>
      </c>
      <c r="Y56" s="4"/>
      <c r="Z56" s="12">
        <f t="shared" ref="Z56:Z57" si="43">IF(T56=0,0,X56/T56)</f>
        <v>0</v>
      </c>
    </row>
    <row r="57" spans="1:26" s="24" customFormat="1" hidden="1" outlineLevel="1" x14ac:dyDescent="0.25">
      <c r="A57" s="51"/>
      <c r="B57" s="11" t="str">
        <f>CONCATENATE("          ", "9150", " - ", "MISC. INCOME")</f>
        <v xml:space="preserve">          9150 - MISC. INCOME</v>
      </c>
      <c r="C57" s="11"/>
      <c r="D57" s="2">
        <f>--546.2</f>
        <v>546.20000000000005</v>
      </c>
      <c r="E57" s="2"/>
      <c r="F57" s="22">
        <f t="shared" si="36"/>
        <v>0.89677705354064396</v>
      </c>
      <c r="G57" s="2"/>
      <c r="H57" s="2"/>
      <c r="I57" s="2"/>
      <c r="J57" s="22">
        <f t="shared" si="37"/>
        <v>0</v>
      </c>
      <c r="K57" s="2"/>
      <c r="L57" s="2">
        <f t="shared" si="38"/>
        <v>546.20000000000005</v>
      </c>
      <c r="M57" s="2"/>
      <c r="N57" s="22">
        <f t="shared" si="39"/>
        <v>0</v>
      </c>
      <c r="O57" s="11"/>
      <c r="P57" s="2">
        <f>--546.2</f>
        <v>546.20000000000005</v>
      </c>
      <c r="Q57" s="2"/>
      <c r="R57" s="22">
        <f t="shared" si="40"/>
        <v>0.89677705354064396</v>
      </c>
      <c r="S57" s="2"/>
      <c r="T57" s="2"/>
      <c r="U57" s="2"/>
      <c r="V57" s="22">
        <f t="shared" si="41"/>
        <v>0</v>
      </c>
      <c r="W57" s="2"/>
      <c r="X57" s="2">
        <f t="shared" si="42"/>
        <v>546.20000000000005</v>
      </c>
      <c r="Y57" s="2"/>
      <c r="Z57" s="22">
        <f t="shared" si="43"/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6" t="s">
        <v>3</v>
      </c>
      <c r="C59" s="26"/>
      <c r="D59" s="21">
        <f>+D19-D21+D56</f>
        <v>-1570.4699999999991</v>
      </c>
      <c r="E59" s="13"/>
      <c r="F59" s="19">
        <f>IF(D$12=0,0,D59/D$12)</f>
        <v>-2.5784720968033215</v>
      </c>
      <c r="G59" s="13"/>
      <c r="H59" s="21">
        <f>+H19-H21+H56</f>
        <v>-5812.0839999999998</v>
      </c>
      <c r="I59" s="13"/>
      <c r="J59" s="19">
        <f>IF(H$12=0,0,H59/H$12)</f>
        <v>0</v>
      </c>
      <c r="K59" s="15"/>
      <c r="L59" s="21">
        <f>+D59-H59</f>
        <v>4241.6140000000005</v>
      </c>
      <c r="M59" s="15"/>
      <c r="N59" s="19">
        <f>IF(H59=0,0,L59/H59)</f>
        <v>-0.72979227416534254</v>
      </c>
      <c r="O59" s="25"/>
      <c r="P59" s="21">
        <f>+P19-P21+P56</f>
        <v>-1570.4699999999991</v>
      </c>
      <c r="Q59" s="13"/>
      <c r="R59" s="19">
        <f>IF(P$12=0,0,P59/P$12)</f>
        <v>-2.5784720968033215</v>
      </c>
      <c r="S59" s="13"/>
      <c r="T59" s="21">
        <f>+T19-T21+T56</f>
        <v>-5812.0839999999998</v>
      </c>
      <c r="U59" s="13"/>
      <c r="V59" s="19">
        <f>IF(T$12=0,0,T59/T$12)</f>
        <v>0</v>
      </c>
      <c r="W59" s="15"/>
      <c r="X59" s="21">
        <f>+P59-T59</f>
        <v>4241.6140000000005</v>
      </c>
      <c r="Y59" s="15"/>
      <c r="Z59" s="19">
        <f>IF(T59=0,0,X59/T59)</f>
        <v>-0.72979227416534254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2"/>
      <c r="B61" s="10" t="s">
        <v>14</v>
      </c>
      <c r="C61" s="10"/>
      <c r="D61" s="4">
        <v>126.64</v>
      </c>
      <c r="E61" s="4"/>
      <c r="F61" s="12">
        <f>IF(D$12=0,0,D61/D$12)</f>
        <v>0.20792355558474393</v>
      </c>
      <c r="G61" s="4"/>
      <c r="H61" s="4">
        <v>0</v>
      </c>
      <c r="I61" s="4"/>
      <c r="J61" s="12">
        <f>IF(H$12=0,0,H61/H$12)</f>
        <v>0</v>
      </c>
      <c r="K61" s="4"/>
      <c r="L61" s="4">
        <f>+D61-H61</f>
        <v>126.64</v>
      </c>
      <c r="M61" s="4"/>
      <c r="N61" s="12">
        <f>IF(H61=0,0,L61/H61)</f>
        <v>0</v>
      </c>
      <c r="O61" s="10"/>
      <c r="P61" s="4">
        <v>126.64</v>
      </c>
      <c r="Q61" s="4"/>
      <c r="R61" s="12">
        <f>IF(P$12=0,0,P61/P$12)</f>
        <v>0.20792355558474393</v>
      </c>
      <c r="S61" s="4"/>
      <c r="T61" s="4">
        <v>0</v>
      </c>
      <c r="U61" s="4"/>
      <c r="V61" s="12">
        <f>IF(T$12=0,0,T61/T$12)</f>
        <v>0</v>
      </c>
      <c r="W61" s="4"/>
      <c r="X61" s="4">
        <f>+P61-T61</f>
        <v>126.64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6" t="s">
        <v>4</v>
      </c>
      <c r="C63" s="26"/>
      <c r="D63" s="32">
        <f>+D59-D61</f>
        <v>-1697.1099999999992</v>
      </c>
      <c r="E63" s="13"/>
      <c r="F63" s="31">
        <f>IF(D$12=0,0,D63/D$12)</f>
        <v>-2.7863956523880655</v>
      </c>
      <c r="G63" s="13"/>
      <c r="H63" s="32">
        <f>+H59-H61</f>
        <v>-5812.0839999999998</v>
      </c>
      <c r="I63" s="13"/>
      <c r="J63" s="31">
        <f>IF(H$12=0,0,H63/H$12)</f>
        <v>0</v>
      </c>
      <c r="K63" s="15"/>
      <c r="L63" s="32">
        <f>D63-H63</f>
        <v>4114.9740000000002</v>
      </c>
      <c r="M63" s="15"/>
      <c r="N63" s="31">
        <f>IF(H63=0,0,L63/H63)</f>
        <v>-0.70800318784105676</v>
      </c>
      <c r="O63" s="25"/>
      <c r="P63" s="32">
        <f>+P59-P61</f>
        <v>-1697.1099999999992</v>
      </c>
      <c r="Q63" s="13"/>
      <c r="R63" s="31">
        <f>IF(P$12=0,0,P63/P$12)</f>
        <v>-2.7863956523880655</v>
      </c>
      <c r="S63" s="13"/>
      <c r="T63" s="32">
        <f>+T59-T61</f>
        <v>-5812.0839999999998</v>
      </c>
      <c r="U63" s="13"/>
      <c r="V63" s="31">
        <f>IF(T$12=0,0,T63/T$12)</f>
        <v>0</v>
      </c>
      <c r="W63" s="15"/>
      <c r="X63" s="32">
        <f>P63-T63</f>
        <v>4114.9740000000002</v>
      </c>
      <c r="Y63" s="15"/>
      <c r="Z63" s="31">
        <f>IF(T63=0,0,X63/T63)</f>
        <v>-0.70800318784105676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6" t="s">
        <v>5</v>
      </c>
      <c r="C66" s="26"/>
      <c r="D66" s="33">
        <f>SUM(D63:D65)</f>
        <v>-1697.1099999999992</v>
      </c>
      <c r="E66" s="13"/>
      <c r="F66" s="34">
        <f>IF(D$12=0,0,D66/D$12)</f>
        <v>-2.7863956523880655</v>
      </c>
      <c r="G66" s="13"/>
      <c r="H66" s="33">
        <f>SUM(H63:H65)</f>
        <v>-5812.0839999999998</v>
      </c>
      <c r="I66" s="13"/>
      <c r="J66" s="34">
        <f>IF(H$12=0,0,H66/H$12)</f>
        <v>0</v>
      </c>
      <c r="K66" s="15"/>
      <c r="L66" s="33">
        <f>+D66-H66</f>
        <v>4114.9740000000002</v>
      </c>
      <c r="M66" s="15"/>
      <c r="N66" s="34">
        <f>IF(H66=0,0,L66/H66)</f>
        <v>-0.70800318784105676</v>
      </c>
      <c r="O66" s="25"/>
      <c r="P66" s="33">
        <f>SUM(P63:P65)</f>
        <v>-1697.1099999999992</v>
      </c>
      <c r="Q66" s="13"/>
      <c r="R66" s="34">
        <f>IF(P$12=0,0,P66/P$12)</f>
        <v>-2.7863956523880655</v>
      </c>
      <c r="S66" s="13"/>
      <c r="T66" s="33">
        <f>SUM(T63:T65)</f>
        <v>-5812.0839999999998</v>
      </c>
      <c r="U66" s="13"/>
      <c r="V66" s="34">
        <f>IF(T$12=0,0,T66/T$12)</f>
        <v>0</v>
      </c>
      <c r="W66" s="15"/>
      <c r="X66" s="33">
        <f>+P66-T66</f>
        <v>4114.9740000000002</v>
      </c>
      <c r="Y66" s="15"/>
      <c r="Z66" s="34">
        <f>IF(T66=0,0,X66/T66)</f>
        <v>-0.70800318784105676</v>
      </c>
    </row>
    <row r="67" spans="1:26" ht="15.75" thickTop="1" x14ac:dyDescent="0.25">
      <c r="A67" s="9"/>
      <c r="C67" s="9"/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6" x14ac:dyDescent="0.25">
      <c r="A68" s="9"/>
      <c r="B68" s="61">
        <v>43726.679121064815</v>
      </c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25">
      <c r="A69" s="9"/>
      <c r="B69" s="56" t="s">
        <v>314</v>
      </c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53"/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","425", " - ", "Events Center")</f>
        <v>Department 425 - Events Center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24558.32</v>
      </c>
      <c r="E12" s="4"/>
      <c r="F12" s="12"/>
      <c r="G12" s="4"/>
      <c r="H12" s="4">
        <f>SUM(OSRRefH13x_0)</f>
        <v>10000</v>
      </c>
      <c r="I12" s="4"/>
      <c r="J12" s="12"/>
      <c r="K12" s="4"/>
      <c r="L12" s="4">
        <f t="shared" ref="L12:L16" si="0">+D12-H12</f>
        <v>14558.32</v>
      </c>
      <c r="M12" s="4"/>
      <c r="N12" s="12">
        <f t="shared" ref="N12:N16" si="1">IF(H12=0,0,L12/H12)</f>
        <v>1.455832</v>
      </c>
      <c r="O12" s="10"/>
      <c r="P12" s="4">
        <f>SUM(OSRRefP13x_0)</f>
        <v>24558.32</v>
      </c>
      <c r="Q12" s="4"/>
      <c r="R12" s="12"/>
      <c r="S12" s="4"/>
      <c r="T12" s="4">
        <f>SUM(OSRRefT13x_0)</f>
        <v>10000</v>
      </c>
      <c r="U12" s="4"/>
      <c r="V12" s="12"/>
      <c r="W12" s="4"/>
      <c r="X12" s="4">
        <f t="shared" ref="X12:X16" si="2">+P12-T12</f>
        <v>14558.32</v>
      </c>
      <c r="Y12" s="4"/>
      <c r="Z12" s="12">
        <f t="shared" ref="Z12:Z16" si="3">IF(T12=0,0,X12/T12)</f>
        <v>1.455832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2500</v>
      </c>
      <c r="I13" s="2"/>
      <c r="J13" s="22"/>
      <c r="K13" s="2"/>
      <c r="L13" s="2">
        <f t="shared" si="0"/>
        <v>-2500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2500</v>
      </c>
      <c r="U13" s="2"/>
      <c r="V13" s="22"/>
      <c r="W13" s="2"/>
      <c r="X13" s="2">
        <f t="shared" si="2"/>
        <v>-2500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"4052", " - ", "TAXABLE SALES-FOOD")</f>
        <v xml:space="preserve">          4052 - TAXABLE SALES-FOOD</v>
      </c>
      <c r="C14" s="11"/>
      <c r="D14" s="2">
        <f>--236.28</f>
        <v>236.28</v>
      </c>
      <c r="E14" s="2"/>
      <c r="F14" s="22"/>
      <c r="G14" s="2"/>
      <c r="H14" s="2"/>
      <c r="I14" s="2"/>
      <c r="J14" s="22"/>
      <c r="K14" s="2"/>
      <c r="L14" s="2">
        <f t="shared" si="0"/>
        <v>236.28</v>
      </c>
      <c r="M14" s="2"/>
      <c r="N14" s="22">
        <f t="shared" si="1"/>
        <v>0</v>
      </c>
      <c r="O14" s="11"/>
      <c r="P14" s="2">
        <f>--236.28</f>
        <v>236.28</v>
      </c>
      <c r="Q14" s="2"/>
      <c r="R14" s="22"/>
      <c r="S14" s="2"/>
      <c r="T14" s="2"/>
      <c r="U14" s="2"/>
      <c r="V14" s="22"/>
      <c r="W14" s="2"/>
      <c r="X14" s="2">
        <f t="shared" si="2"/>
        <v>236.28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"4053", " - ", "TAXABLE SALES-FOOD")</f>
        <v xml:space="preserve">          4053 - TAXABLE SALES-FOOD</v>
      </c>
      <c r="C15" s="11"/>
      <c r="D15" s="2">
        <f>--24322.04</f>
        <v>24322.04</v>
      </c>
      <c r="E15" s="2"/>
      <c r="F15" s="22"/>
      <c r="G15" s="2"/>
      <c r="H15" s="2"/>
      <c r="I15" s="2"/>
      <c r="J15" s="22"/>
      <c r="K15" s="2"/>
      <c r="L15" s="2">
        <f t="shared" si="0"/>
        <v>24322.04</v>
      </c>
      <c r="M15" s="2"/>
      <c r="N15" s="22">
        <f t="shared" si="1"/>
        <v>0</v>
      </c>
      <c r="O15" s="11"/>
      <c r="P15" s="2">
        <f>--24322.04</f>
        <v>24322.04</v>
      </c>
      <c r="Q15" s="2"/>
      <c r="R15" s="22"/>
      <c r="S15" s="2"/>
      <c r="T15" s="2"/>
      <c r="U15" s="2"/>
      <c r="V15" s="22"/>
      <c r="W15" s="2"/>
      <c r="X15" s="2">
        <f t="shared" si="2"/>
        <v>24322.04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22"/>
      <c r="G16" s="2"/>
      <c r="H16" s="2">
        <v>7500</v>
      </c>
      <c r="I16" s="2"/>
      <c r="J16" s="22"/>
      <c r="K16" s="2"/>
      <c r="L16" s="2">
        <f t="shared" si="0"/>
        <v>-7500</v>
      </c>
      <c r="M16" s="2"/>
      <c r="N16" s="22">
        <f t="shared" si="1"/>
        <v>-1</v>
      </c>
      <c r="O16" s="11"/>
      <c r="P16" s="2">
        <f>0</f>
        <v>0</v>
      </c>
      <c r="Q16" s="2"/>
      <c r="R16" s="22"/>
      <c r="S16" s="2"/>
      <c r="T16" s="2">
        <v>7500</v>
      </c>
      <c r="U16" s="2"/>
      <c r="V16" s="22"/>
      <c r="W16" s="2"/>
      <c r="X16" s="2">
        <f t="shared" si="2"/>
        <v>-7500</v>
      </c>
      <c r="Y16" s="2"/>
      <c r="Z16" s="22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6593.4400000000005</v>
      </c>
      <c r="E18" s="4"/>
      <c r="F18" s="12">
        <f t="shared" ref="F18:F21" si="4">IF(D$12=0,0,D18/D$12)</f>
        <v>0.26848090586001</v>
      </c>
      <c r="G18" s="4"/>
      <c r="H18" s="4">
        <f>SUM(OSRRefH16x_0)</f>
        <v>2300</v>
      </c>
      <c r="I18" s="4"/>
      <c r="J18" s="12">
        <f t="shared" ref="J18:J21" si="5">IF(H$12=0,0,H18/H$12)</f>
        <v>0.23</v>
      </c>
      <c r="K18" s="4"/>
      <c r="L18" s="4">
        <f t="shared" ref="L18:L21" si="6">+D18-H18</f>
        <v>4293.4400000000005</v>
      </c>
      <c r="M18" s="4"/>
      <c r="N18" s="12">
        <f t="shared" ref="N18:N21" si="7">IF(H18=0,0,L18/H18)</f>
        <v>1.8667130434782611</v>
      </c>
      <c r="O18" s="10"/>
      <c r="P18" s="4">
        <f>SUM(OSRRefP16x_0)</f>
        <v>6593.4400000000005</v>
      </c>
      <c r="Q18" s="4"/>
      <c r="R18" s="12">
        <f t="shared" ref="R18:R21" si="8">IF(P$12=0,0,P18/P$12)</f>
        <v>0.26848090586001</v>
      </c>
      <c r="S18" s="4"/>
      <c r="T18" s="4">
        <f>SUM(OSRRefT16x_0)</f>
        <v>2300</v>
      </c>
      <c r="U18" s="4"/>
      <c r="V18" s="12">
        <f t="shared" ref="V18:V21" si="9">IF(T$12=0,0,T18/T$12)</f>
        <v>0.23</v>
      </c>
      <c r="W18" s="4"/>
      <c r="X18" s="4">
        <f t="shared" ref="X18:X21" si="10">+P18-T18</f>
        <v>4293.4400000000005</v>
      </c>
      <c r="Y18" s="4"/>
      <c r="Z18" s="12">
        <f t="shared" ref="Z18:Z21" si="11">IF(T18=0,0,X18/T18)</f>
        <v>1.8667130434782611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2300</v>
      </c>
      <c r="I19" s="2"/>
      <c r="J19" s="22">
        <f t="shared" si="5"/>
        <v>0.23</v>
      </c>
      <c r="K19" s="2"/>
      <c r="L19" s="2">
        <f t="shared" si="6"/>
        <v>-2300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2300</v>
      </c>
      <c r="U19" s="2"/>
      <c r="V19" s="22">
        <f t="shared" si="9"/>
        <v>0.23</v>
      </c>
      <c r="W19" s="2"/>
      <c r="X19" s="2">
        <f t="shared" si="10"/>
        <v>-2300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9914.44</v>
      </c>
      <c r="E20" s="2"/>
      <c r="F20" s="22">
        <f t="shared" si="4"/>
        <v>0.40371002576723491</v>
      </c>
      <c r="G20" s="2"/>
      <c r="H20" s="2"/>
      <c r="I20" s="2"/>
      <c r="J20" s="22">
        <f t="shared" si="5"/>
        <v>0</v>
      </c>
      <c r="K20" s="2"/>
      <c r="L20" s="2">
        <f t="shared" si="6"/>
        <v>9914.44</v>
      </c>
      <c r="M20" s="2"/>
      <c r="N20" s="22">
        <f t="shared" si="7"/>
        <v>0</v>
      </c>
      <c r="O20" s="11"/>
      <c r="P20" s="2">
        <v>9914.44</v>
      </c>
      <c r="Q20" s="2"/>
      <c r="R20" s="22">
        <f t="shared" si="8"/>
        <v>0.40371002576723491</v>
      </c>
      <c r="S20" s="2"/>
      <c r="T20" s="2"/>
      <c r="U20" s="2"/>
      <c r="V20" s="22">
        <f t="shared" si="9"/>
        <v>0</v>
      </c>
      <c r="W20" s="2"/>
      <c r="X20" s="2">
        <f t="shared" si="10"/>
        <v>9914.44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-3321</v>
      </c>
      <c r="E21" s="2"/>
      <c r="F21" s="22">
        <f t="shared" si="4"/>
        <v>-0.13522911990722492</v>
      </c>
      <c r="G21" s="2"/>
      <c r="H21" s="2"/>
      <c r="I21" s="2"/>
      <c r="J21" s="22">
        <f t="shared" si="5"/>
        <v>0</v>
      </c>
      <c r="K21" s="2"/>
      <c r="L21" s="2">
        <f t="shared" si="6"/>
        <v>-3321</v>
      </c>
      <c r="M21" s="2"/>
      <c r="N21" s="22">
        <f t="shared" si="7"/>
        <v>0</v>
      </c>
      <c r="O21" s="11"/>
      <c r="P21" s="2">
        <v>-3321</v>
      </c>
      <c r="Q21" s="2"/>
      <c r="R21" s="22">
        <f t="shared" si="8"/>
        <v>-0.13522911990722492</v>
      </c>
      <c r="S21" s="2"/>
      <c r="T21" s="2"/>
      <c r="U21" s="2"/>
      <c r="V21" s="22">
        <f t="shared" si="9"/>
        <v>0</v>
      </c>
      <c r="W21" s="2"/>
      <c r="X21" s="2">
        <f t="shared" si="10"/>
        <v>-3321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1">
        <f>D12-D18</f>
        <v>17964.879999999997</v>
      </c>
      <c r="E23" s="13"/>
      <c r="F23" s="19">
        <f>IF(D$12=0,0,D23/D$12)</f>
        <v>0.73151909413998994</v>
      </c>
      <c r="G23" s="13"/>
      <c r="H23" s="21">
        <f>H12-H18</f>
        <v>7700</v>
      </c>
      <c r="I23" s="13"/>
      <c r="J23" s="19">
        <f>IF(H$12=0,0,H23/H$12)</f>
        <v>0.77</v>
      </c>
      <c r="K23" s="15"/>
      <c r="L23" s="21">
        <f>+D23-H23</f>
        <v>10264.879999999997</v>
      </c>
      <c r="M23" s="15"/>
      <c r="N23" s="19">
        <f>IF(H23=0,0,L23/H23)</f>
        <v>1.3331012987012985</v>
      </c>
      <c r="O23" s="25"/>
      <c r="P23" s="21">
        <f>P12-P18</f>
        <v>17964.879999999997</v>
      </c>
      <c r="Q23" s="13"/>
      <c r="R23" s="19">
        <f>IF(P$12=0,0,P23/P$12)</f>
        <v>0.73151909413998994</v>
      </c>
      <c r="S23" s="13"/>
      <c r="T23" s="21">
        <f>T12-T18</f>
        <v>7700</v>
      </c>
      <c r="U23" s="13"/>
      <c r="V23" s="19">
        <f>IF(T$12=0,0,T23/T$12)</f>
        <v>0.77</v>
      </c>
      <c r="W23" s="15"/>
      <c r="X23" s="21">
        <f>+P23-T23</f>
        <v>10264.879999999997</v>
      </c>
      <c r="Y23" s="15"/>
      <c r="Z23" s="19">
        <f>IF(T23=0,0,X23/T23)</f>
        <v>1.3331012987012985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0">
        <f>SUM(OSRRefD22x_0)</f>
        <v>25279.180000000004</v>
      </c>
      <c r="E25" s="20"/>
      <c r="F25" s="30">
        <f t="shared" ref="F25:F35" si="12">IF(D$12=0,0,D25/D$12)</f>
        <v>1.02935298505761</v>
      </c>
      <c r="G25" s="20"/>
      <c r="H25" s="20">
        <f>SUM(OSRRefH22x_0)</f>
        <v>13458.235049999999</v>
      </c>
      <c r="I25" s="20"/>
      <c r="J25" s="30">
        <f t="shared" ref="J25:J35" si="13">IF(H$12=0,0,H25/H$12)</f>
        <v>1.345823505</v>
      </c>
      <c r="K25" s="4"/>
      <c r="L25" s="20">
        <f t="shared" ref="L25:L35" si="14">+D25-H25</f>
        <v>11820.944950000005</v>
      </c>
      <c r="M25" s="4"/>
      <c r="N25" s="30">
        <f t="shared" ref="N25:N35" si="15">IF(H25=0,0,L25/H25)</f>
        <v>0.87834288122349335</v>
      </c>
      <c r="O25" s="10"/>
      <c r="P25" s="20">
        <f>SUM(OSRRefP22x_0)</f>
        <v>25279.180000000004</v>
      </c>
      <c r="Q25" s="20"/>
      <c r="R25" s="30">
        <f t="shared" ref="R25:R35" si="16">IF(P$12=0,0,P25/P$12)</f>
        <v>1.02935298505761</v>
      </c>
      <c r="S25" s="20"/>
      <c r="T25" s="20">
        <f>SUM(OSRRefT22x_0)</f>
        <v>13458.235049999999</v>
      </c>
      <c r="U25" s="20"/>
      <c r="V25" s="30">
        <f t="shared" ref="V25:V35" si="17">IF(T$12=0,0,T25/T$12)</f>
        <v>1.345823505</v>
      </c>
      <c r="W25" s="4"/>
      <c r="X25" s="20">
        <f t="shared" ref="X25:X35" si="18">+P25-T25</f>
        <v>11820.944950000005</v>
      </c>
      <c r="Y25" s="4"/>
      <c r="Z25" s="30">
        <f t="shared" ref="Z25:Z35" si="19">IF(T25=0,0,X25/T25)</f>
        <v>0.87834288122349335</v>
      </c>
    </row>
    <row r="26" spans="1:26" s="27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2541.23</v>
      </c>
      <c r="E26" s="1"/>
      <c r="F26" s="5">
        <f t="shared" si="12"/>
        <v>0.10347735512852671</v>
      </c>
      <c r="G26" s="1"/>
      <c r="H26" s="1">
        <f>SUM(OSRRefH22_0x_0)</f>
        <v>3066.9273576923088</v>
      </c>
      <c r="I26" s="1"/>
      <c r="J26" s="5">
        <f t="shared" si="13"/>
        <v>0.3066927357692309</v>
      </c>
      <c r="K26" s="1"/>
      <c r="L26" s="1">
        <f t="shared" si="14"/>
        <v>-525.69735769230874</v>
      </c>
      <c r="M26" s="1"/>
      <c r="N26" s="5">
        <f t="shared" si="15"/>
        <v>-0.17140848033905393</v>
      </c>
      <c r="O26" s="14"/>
      <c r="P26" s="1">
        <f>SUM(OSRRefP22_0x_0)</f>
        <v>2541.23</v>
      </c>
      <c r="Q26" s="1"/>
      <c r="R26" s="5">
        <f t="shared" si="16"/>
        <v>0.10347735512852671</v>
      </c>
      <c r="S26" s="1"/>
      <c r="T26" s="1">
        <f>SUM(OSRRefT22_0x_0)</f>
        <v>3066.9273576923088</v>
      </c>
      <c r="U26" s="1"/>
      <c r="V26" s="5">
        <f t="shared" si="17"/>
        <v>0.3066927357692309</v>
      </c>
      <c r="W26" s="1"/>
      <c r="X26" s="1">
        <f t="shared" si="18"/>
        <v>-525.69735769230874</v>
      </c>
      <c r="Y26" s="1"/>
      <c r="Z26" s="5">
        <f t="shared" si="19"/>
        <v>-0.17140848033905393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466.02</v>
      </c>
      <c r="E27" s="2"/>
      <c r="F27" s="6">
        <f t="shared" si="12"/>
        <v>1.8976053736574815E-2</v>
      </c>
      <c r="G27" s="2"/>
      <c r="H27" s="7">
        <v>627.86978076923094</v>
      </c>
      <c r="I27" s="2"/>
      <c r="J27" s="6">
        <f t="shared" si="13"/>
        <v>6.27869780769231E-2</v>
      </c>
      <c r="K27" s="2"/>
      <c r="L27" s="7">
        <f t="shared" si="14"/>
        <v>-161.84978076923096</v>
      </c>
      <c r="M27" s="2"/>
      <c r="N27" s="6">
        <f t="shared" si="15"/>
        <v>-0.25777603211121525</v>
      </c>
      <c r="O27" s="11"/>
      <c r="P27" s="7">
        <v>466.02</v>
      </c>
      <c r="Q27" s="2"/>
      <c r="R27" s="6">
        <f t="shared" si="16"/>
        <v>1.8976053736574815E-2</v>
      </c>
      <c r="S27" s="2"/>
      <c r="T27" s="7">
        <v>627.86978076923094</v>
      </c>
      <c r="U27" s="2"/>
      <c r="V27" s="6">
        <f t="shared" si="17"/>
        <v>6.27869780769231E-2</v>
      </c>
      <c r="W27" s="2"/>
      <c r="X27" s="7">
        <f t="shared" si="18"/>
        <v>-161.84978076923096</v>
      </c>
      <c r="Y27" s="2"/>
      <c r="Z27" s="6">
        <f t="shared" si="19"/>
        <v>-0.25777603211121525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372.07</v>
      </c>
      <c r="E28" s="2"/>
      <c r="F28" s="6">
        <f t="shared" si="12"/>
        <v>1.5150466318542962E-2</v>
      </c>
      <c r="G28" s="2"/>
      <c r="H28" s="7">
        <v>283.40415384615397</v>
      </c>
      <c r="I28" s="2"/>
      <c r="J28" s="6">
        <f t="shared" si="13"/>
        <v>2.8340415384615396E-2</v>
      </c>
      <c r="K28" s="2"/>
      <c r="L28" s="7">
        <f t="shared" si="14"/>
        <v>88.665846153846019</v>
      </c>
      <c r="M28" s="2"/>
      <c r="N28" s="6">
        <f t="shared" si="15"/>
        <v>0.31286007967963059</v>
      </c>
      <c r="O28" s="11"/>
      <c r="P28" s="7">
        <v>372.07</v>
      </c>
      <c r="Q28" s="2"/>
      <c r="R28" s="6">
        <f t="shared" si="16"/>
        <v>1.5150466318542962E-2</v>
      </c>
      <c r="S28" s="2"/>
      <c r="T28" s="7">
        <v>283.40415384615397</v>
      </c>
      <c r="U28" s="2"/>
      <c r="V28" s="6">
        <f t="shared" si="17"/>
        <v>2.8340415384615396E-2</v>
      </c>
      <c r="W28" s="2"/>
      <c r="X28" s="7">
        <f t="shared" si="18"/>
        <v>88.665846153846019</v>
      </c>
      <c r="Y28" s="2"/>
      <c r="Z28" s="6">
        <f t="shared" si="19"/>
        <v>0.31286007967963059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698.2</v>
      </c>
      <c r="E29" s="2"/>
      <c r="F29" s="6">
        <f t="shared" si="12"/>
        <v>2.8430283504734855E-2</v>
      </c>
      <c r="G29" s="2"/>
      <c r="H29" s="7">
        <v>663</v>
      </c>
      <c r="I29" s="2"/>
      <c r="J29" s="6">
        <f t="shared" si="13"/>
        <v>6.6299999999999998E-2</v>
      </c>
      <c r="K29" s="2"/>
      <c r="L29" s="7">
        <f t="shared" si="14"/>
        <v>35.200000000000045</v>
      </c>
      <c r="M29" s="2"/>
      <c r="N29" s="6">
        <f t="shared" si="15"/>
        <v>5.3092006033182572E-2</v>
      </c>
      <c r="O29" s="11"/>
      <c r="P29" s="7">
        <v>698.2</v>
      </c>
      <c r="Q29" s="2"/>
      <c r="R29" s="6">
        <f t="shared" si="16"/>
        <v>2.8430283504734855E-2</v>
      </c>
      <c r="S29" s="2"/>
      <c r="T29" s="7">
        <v>663</v>
      </c>
      <c r="U29" s="2"/>
      <c r="V29" s="6">
        <f t="shared" si="17"/>
        <v>6.6299999999999998E-2</v>
      </c>
      <c r="W29" s="2"/>
      <c r="X29" s="7">
        <f t="shared" si="18"/>
        <v>35.200000000000045</v>
      </c>
      <c r="Y29" s="2"/>
      <c r="Z29" s="6">
        <f t="shared" si="19"/>
        <v>5.3092006033182572E-2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24.93</v>
      </c>
      <c r="E30" s="2"/>
      <c r="F30" s="6">
        <f t="shared" si="12"/>
        <v>1.015134585753423E-3</v>
      </c>
      <c r="G30" s="2"/>
      <c r="H30" s="7">
        <v>23.651499999999999</v>
      </c>
      <c r="I30" s="2"/>
      <c r="J30" s="6">
        <f t="shared" si="13"/>
        <v>2.3651499999999999E-3</v>
      </c>
      <c r="K30" s="2"/>
      <c r="L30" s="7">
        <f t="shared" si="14"/>
        <v>1.2785000000000011</v>
      </c>
      <c r="M30" s="2"/>
      <c r="N30" s="6">
        <f t="shared" si="15"/>
        <v>5.4055768133099431E-2</v>
      </c>
      <c r="O30" s="11"/>
      <c r="P30" s="7">
        <v>24.93</v>
      </c>
      <c r="Q30" s="2"/>
      <c r="R30" s="6">
        <f t="shared" si="16"/>
        <v>1.015134585753423E-3</v>
      </c>
      <c r="S30" s="2"/>
      <c r="T30" s="7">
        <v>23.651499999999999</v>
      </c>
      <c r="U30" s="2"/>
      <c r="V30" s="6">
        <f t="shared" si="17"/>
        <v>2.3651499999999999E-3</v>
      </c>
      <c r="W30" s="2"/>
      <c r="X30" s="7">
        <f t="shared" si="18"/>
        <v>1.2785000000000011</v>
      </c>
      <c r="Y30" s="2"/>
      <c r="Z30" s="6">
        <f t="shared" si="19"/>
        <v>5.4055768133099431E-2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320.99</v>
      </c>
      <c r="E31" s="2"/>
      <c r="F31" s="6">
        <f t="shared" si="12"/>
        <v>1.3070519481788657E-2</v>
      </c>
      <c r="G31" s="2"/>
      <c r="H31" s="7">
        <v>494.00384615384598</v>
      </c>
      <c r="I31" s="2"/>
      <c r="J31" s="6">
        <f t="shared" si="13"/>
        <v>4.9400384615384596E-2</v>
      </c>
      <c r="K31" s="2"/>
      <c r="L31" s="7">
        <f t="shared" si="14"/>
        <v>-173.01384615384598</v>
      </c>
      <c r="M31" s="2"/>
      <c r="N31" s="6">
        <f t="shared" si="15"/>
        <v>-0.35022773102046828</v>
      </c>
      <c r="O31" s="11"/>
      <c r="P31" s="7">
        <v>320.99</v>
      </c>
      <c r="Q31" s="2"/>
      <c r="R31" s="6">
        <f t="shared" si="16"/>
        <v>1.3070519481788657E-2</v>
      </c>
      <c r="S31" s="2"/>
      <c r="T31" s="7">
        <v>494.00384615384598</v>
      </c>
      <c r="U31" s="2"/>
      <c r="V31" s="6">
        <f t="shared" si="17"/>
        <v>4.9400384615384596E-2</v>
      </c>
      <c r="W31" s="2"/>
      <c r="X31" s="7">
        <f t="shared" si="18"/>
        <v>-173.01384615384598</v>
      </c>
      <c r="Y31" s="2"/>
      <c r="Z31" s="6">
        <f t="shared" si="19"/>
        <v>-0.35022773102046828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203.22</v>
      </c>
      <c r="E33" s="2"/>
      <c r="F33" s="6">
        <f t="shared" si="12"/>
        <v>8.2749960094990211E-3</v>
      </c>
      <c r="G33" s="2"/>
      <c r="H33" s="7">
        <v>287.21153846153902</v>
      </c>
      <c r="I33" s="2"/>
      <c r="J33" s="6">
        <f t="shared" si="13"/>
        <v>2.8721153846153903E-2</v>
      </c>
      <c r="K33" s="2"/>
      <c r="L33" s="7">
        <f t="shared" si="14"/>
        <v>-83.991538461539022</v>
      </c>
      <c r="M33" s="2"/>
      <c r="N33" s="6">
        <f t="shared" si="15"/>
        <v>-0.29243789755607769</v>
      </c>
      <c r="O33" s="11"/>
      <c r="P33" s="7">
        <v>203.22</v>
      </c>
      <c r="Q33" s="2"/>
      <c r="R33" s="6">
        <f t="shared" si="16"/>
        <v>8.2749960094990211E-3</v>
      </c>
      <c r="S33" s="2"/>
      <c r="T33" s="7">
        <v>287.21153846153902</v>
      </c>
      <c r="U33" s="2"/>
      <c r="V33" s="6">
        <f t="shared" si="17"/>
        <v>2.8721153846153903E-2</v>
      </c>
      <c r="W33" s="2"/>
      <c r="X33" s="7">
        <f t="shared" si="18"/>
        <v>-83.991538461539022</v>
      </c>
      <c r="Y33" s="2"/>
      <c r="Z33" s="6">
        <f t="shared" si="19"/>
        <v>-0.29243789755607769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305.8</v>
      </c>
      <c r="E34" s="2"/>
      <c r="F34" s="6">
        <f t="shared" si="12"/>
        <v>1.2451991830060037E-2</v>
      </c>
      <c r="G34" s="2"/>
      <c r="H34" s="7">
        <v>387.78653846153901</v>
      </c>
      <c r="I34" s="2"/>
      <c r="J34" s="6">
        <f t="shared" si="13"/>
        <v>3.87786538461539E-2</v>
      </c>
      <c r="K34" s="2"/>
      <c r="L34" s="7">
        <f t="shared" si="14"/>
        <v>-81.986538461538998</v>
      </c>
      <c r="M34" s="2"/>
      <c r="N34" s="6">
        <f t="shared" si="15"/>
        <v>-0.21142182703608856</v>
      </c>
      <c r="O34" s="11"/>
      <c r="P34" s="7">
        <v>305.8</v>
      </c>
      <c r="Q34" s="2"/>
      <c r="R34" s="6">
        <f t="shared" si="16"/>
        <v>1.2451991830060037E-2</v>
      </c>
      <c r="S34" s="2"/>
      <c r="T34" s="7">
        <v>387.78653846153901</v>
      </c>
      <c r="U34" s="2"/>
      <c r="V34" s="6">
        <f t="shared" si="17"/>
        <v>3.87786538461539E-2</v>
      </c>
      <c r="W34" s="2"/>
      <c r="X34" s="7">
        <f t="shared" si="18"/>
        <v>-81.986538461538998</v>
      </c>
      <c r="Y34" s="2"/>
      <c r="Z34" s="6">
        <f t="shared" si="19"/>
        <v>-0.21142182703608856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7">
        <v>150</v>
      </c>
      <c r="E35" s="2"/>
      <c r="F35" s="6">
        <f t="shared" si="12"/>
        <v>6.1079096615729413E-3</v>
      </c>
      <c r="G35" s="2"/>
      <c r="H35" s="7">
        <v>300</v>
      </c>
      <c r="I35" s="2"/>
      <c r="J35" s="6">
        <f t="shared" si="13"/>
        <v>0.03</v>
      </c>
      <c r="K35" s="2"/>
      <c r="L35" s="7">
        <f t="shared" si="14"/>
        <v>-150</v>
      </c>
      <c r="M35" s="2"/>
      <c r="N35" s="6">
        <f t="shared" si="15"/>
        <v>-0.5</v>
      </c>
      <c r="O35" s="11"/>
      <c r="P35" s="7">
        <v>150</v>
      </c>
      <c r="Q35" s="2"/>
      <c r="R35" s="6">
        <f t="shared" si="16"/>
        <v>6.1079096615729413E-3</v>
      </c>
      <c r="S35" s="2"/>
      <c r="T35" s="7">
        <v>300</v>
      </c>
      <c r="U35" s="2"/>
      <c r="V35" s="6">
        <f t="shared" si="17"/>
        <v>0.03</v>
      </c>
      <c r="W35" s="2"/>
      <c r="X35" s="7">
        <f t="shared" si="18"/>
        <v>-150</v>
      </c>
      <c r="Y35" s="2"/>
      <c r="Z35" s="6">
        <f t="shared" si="19"/>
        <v>-0.5</v>
      </c>
    </row>
    <row r="36" spans="1:26" s="27" customFormat="1" outlineLevel="1" collapsed="1" x14ac:dyDescent="0.25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7794.93</v>
      </c>
      <c r="E36" s="1"/>
      <c r="F36" s="5">
        <f t="shared" ref="F36:F46" si="20">IF(D$12=0,0,D36/D$12)</f>
        <v>0.3174048550552318</v>
      </c>
      <c r="G36" s="1"/>
      <c r="H36" s="1">
        <f>SUM(OSRRefH22_1x_0)</f>
        <v>8522.3076923076915</v>
      </c>
      <c r="I36" s="1"/>
      <c r="J36" s="5">
        <f t="shared" ref="J36:J46" si="21">IF(H$12=0,0,H36/H$12)</f>
        <v>0.85223076923076913</v>
      </c>
      <c r="K36" s="1"/>
      <c r="L36" s="1">
        <f t="shared" ref="L36:L46" si="22">+D36-H36</f>
        <v>-727.37769230769118</v>
      </c>
      <c r="M36" s="1"/>
      <c r="N36" s="5">
        <f t="shared" ref="N36:N46" si="23">IF(H36=0,0,L36/H36)</f>
        <v>-8.534985106959099E-2</v>
      </c>
      <c r="O36" s="14"/>
      <c r="P36" s="1">
        <f>SUM(OSRRefP22_1x_0)</f>
        <v>7794.93</v>
      </c>
      <c r="Q36" s="1"/>
      <c r="R36" s="5">
        <f t="shared" ref="R36:R46" si="24">IF(P$12=0,0,P36/P$12)</f>
        <v>0.3174048550552318</v>
      </c>
      <c r="S36" s="1"/>
      <c r="T36" s="1">
        <f>SUM(OSRRefT22_1x_0)</f>
        <v>8522.3076923076915</v>
      </c>
      <c r="U36" s="1"/>
      <c r="V36" s="5">
        <f t="shared" ref="V36:V46" si="25">IF(T$12=0,0,T36/T$12)</f>
        <v>0.85223076923076913</v>
      </c>
      <c r="W36" s="1"/>
      <c r="X36" s="1">
        <f t="shared" ref="X36:X46" si="26">+P36-T36</f>
        <v>-727.37769230769118</v>
      </c>
      <c r="Y36" s="1"/>
      <c r="Z36" s="5">
        <f t="shared" ref="Z36:Z46" si="27">IF(T36=0,0,X36/T36)</f>
        <v>-8.534985106959099E-2</v>
      </c>
    </row>
    <row r="37" spans="1:26" s="24" customFormat="1" hidden="1" outlineLevel="2" x14ac:dyDescent="0.2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"6002", " - ", "STAFF SALARIES")</f>
        <v xml:space="preserve">          6002 - STAFF SALARIES</v>
      </c>
      <c r="C38" s="11"/>
      <c r="D38" s="7">
        <v>5744.38</v>
      </c>
      <c r="E38" s="2"/>
      <c r="F38" s="6">
        <f t="shared" si="20"/>
        <v>0.23390769401164249</v>
      </c>
      <c r="G38" s="2"/>
      <c r="H38" s="7">
        <v>5169.8076923076906</v>
      </c>
      <c r="I38" s="2"/>
      <c r="J38" s="6">
        <f t="shared" si="21"/>
        <v>0.51698076923076908</v>
      </c>
      <c r="K38" s="2"/>
      <c r="L38" s="7">
        <f t="shared" si="22"/>
        <v>574.57230769230955</v>
      </c>
      <c r="M38" s="2"/>
      <c r="N38" s="6">
        <f t="shared" si="23"/>
        <v>0.11113997693709819</v>
      </c>
      <c r="O38" s="11"/>
      <c r="P38" s="7">
        <v>5744.38</v>
      </c>
      <c r="Q38" s="2"/>
      <c r="R38" s="6">
        <f t="shared" si="24"/>
        <v>0.23390769401164249</v>
      </c>
      <c r="S38" s="2"/>
      <c r="T38" s="7">
        <v>5169.8076923076906</v>
      </c>
      <c r="U38" s="2"/>
      <c r="V38" s="6">
        <f t="shared" si="25"/>
        <v>0.51698076923076908</v>
      </c>
      <c r="W38" s="2"/>
      <c r="X38" s="7">
        <f t="shared" si="26"/>
        <v>574.57230769230955</v>
      </c>
      <c r="Y38" s="2"/>
      <c r="Z38" s="6">
        <f t="shared" si="27"/>
        <v>0.11113997693709819</v>
      </c>
    </row>
    <row r="39" spans="1:26" s="24" customFormat="1" hidden="1" outlineLevel="2" x14ac:dyDescent="0.25">
      <c r="A39" s="29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0"/>
        <v>0</v>
      </c>
      <c r="G40" s="2"/>
      <c r="H40" s="7">
        <v>900</v>
      </c>
      <c r="I40" s="2"/>
      <c r="J40" s="6">
        <f t="shared" si="21"/>
        <v>0.09</v>
      </c>
      <c r="K40" s="2"/>
      <c r="L40" s="7">
        <f t="shared" si="22"/>
        <v>-900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900</v>
      </c>
      <c r="U40" s="2"/>
      <c r="V40" s="6">
        <f t="shared" si="25"/>
        <v>0.09</v>
      </c>
      <c r="W40" s="2"/>
      <c r="X40" s="7">
        <f t="shared" si="26"/>
        <v>-900</v>
      </c>
      <c r="Y40" s="2"/>
      <c r="Z40" s="6">
        <f t="shared" si="27"/>
        <v>-1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>
        <v>1058.55</v>
      </c>
      <c r="E41" s="2"/>
      <c r="F41" s="6">
        <f t="shared" si="20"/>
        <v>4.3103518481720247E-2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1058.55</v>
      </c>
      <c r="M41" s="2"/>
      <c r="N41" s="6">
        <f t="shared" si="23"/>
        <v>0</v>
      </c>
      <c r="O41" s="11"/>
      <c r="P41" s="7">
        <v>1058.55</v>
      </c>
      <c r="Q41" s="2"/>
      <c r="R41" s="6">
        <f t="shared" si="24"/>
        <v>4.3103518481720247E-2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1058.55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7">
        <v>78</v>
      </c>
      <c r="E42" s="2"/>
      <c r="F42" s="6">
        <f t="shared" si="20"/>
        <v>3.1761130240179295E-3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78</v>
      </c>
      <c r="M42" s="2"/>
      <c r="N42" s="6">
        <f t="shared" si="23"/>
        <v>0</v>
      </c>
      <c r="O42" s="11"/>
      <c r="P42" s="7">
        <v>78</v>
      </c>
      <c r="Q42" s="2"/>
      <c r="R42" s="6">
        <f t="shared" si="24"/>
        <v>3.1761130240179295E-3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78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>
        <v>866</v>
      </c>
      <c r="E43" s="2"/>
      <c r="F43" s="6">
        <f t="shared" si="20"/>
        <v>3.5262998446147782E-2</v>
      </c>
      <c r="G43" s="2"/>
      <c r="H43" s="7">
        <v>1560</v>
      </c>
      <c r="I43" s="2"/>
      <c r="J43" s="6">
        <f t="shared" si="21"/>
        <v>0.156</v>
      </c>
      <c r="K43" s="2"/>
      <c r="L43" s="7">
        <f t="shared" si="22"/>
        <v>-694</v>
      </c>
      <c r="M43" s="2"/>
      <c r="N43" s="6">
        <f t="shared" si="23"/>
        <v>-0.44487179487179485</v>
      </c>
      <c r="O43" s="11"/>
      <c r="P43" s="7">
        <v>866</v>
      </c>
      <c r="Q43" s="2"/>
      <c r="R43" s="6">
        <f t="shared" si="24"/>
        <v>3.5262998446147782E-2</v>
      </c>
      <c r="S43" s="2"/>
      <c r="T43" s="7">
        <v>1560</v>
      </c>
      <c r="U43" s="2"/>
      <c r="V43" s="6">
        <f t="shared" si="25"/>
        <v>0.156</v>
      </c>
      <c r="W43" s="2"/>
      <c r="X43" s="7">
        <f t="shared" si="26"/>
        <v>-694</v>
      </c>
      <c r="Y43" s="2"/>
      <c r="Z43" s="6">
        <f t="shared" si="27"/>
        <v>-0.44487179487179485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>
        <v>48</v>
      </c>
      <c r="E44" s="2"/>
      <c r="F44" s="6">
        <f t="shared" si="20"/>
        <v>1.9545310917033413E-3</v>
      </c>
      <c r="G44" s="2"/>
      <c r="H44" s="7">
        <v>892.5</v>
      </c>
      <c r="I44" s="2"/>
      <c r="J44" s="6">
        <f t="shared" si="21"/>
        <v>8.9249999999999996E-2</v>
      </c>
      <c r="K44" s="2"/>
      <c r="L44" s="7">
        <f t="shared" si="22"/>
        <v>-844.5</v>
      </c>
      <c r="M44" s="2"/>
      <c r="N44" s="6">
        <f t="shared" si="23"/>
        <v>-0.94621848739495795</v>
      </c>
      <c r="O44" s="11"/>
      <c r="P44" s="7">
        <v>48</v>
      </c>
      <c r="Q44" s="2"/>
      <c r="R44" s="6">
        <f t="shared" si="24"/>
        <v>1.9545310917033413E-3</v>
      </c>
      <c r="S44" s="2"/>
      <c r="T44" s="7">
        <v>892.5</v>
      </c>
      <c r="U44" s="2"/>
      <c r="V44" s="6">
        <f t="shared" si="25"/>
        <v>8.9249999999999996E-2</v>
      </c>
      <c r="W44" s="2"/>
      <c r="X44" s="7">
        <f t="shared" si="26"/>
        <v>-844.5</v>
      </c>
      <c r="Y44" s="2"/>
      <c r="Z44" s="6">
        <f t="shared" si="27"/>
        <v>-0.94621848739495795</v>
      </c>
    </row>
    <row r="45" spans="1:26" s="24" customFormat="1" hidden="1" outlineLevel="2" x14ac:dyDescent="0.25">
      <c r="A45" s="29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7" customFormat="1" outlineLevel="1" collapsed="1" x14ac:dyDescent="0.25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63" si="28">IF(D$12=0,0,D47/D$12)</f>
        <v>0</v>
      </c>
      <c r="G47" s="1"/>
      <c r="H47" s="1">
        <f>SUM(OSRRefH22_2x_0)</f>
        <v>100</v>
      </c>
      <c r="I47" s="1"/>
      <c r="J47" s="5">
        <f t="shared" ref="J47:J63" si="29">IF(H$12=0,0,H47/H$12)</f>
        <v>0.01</v>
      </c>
      <c r="K47" s="1"/>
      <c r="L47" s="1">
        <f t="shared" ref="L47:L63" si="30">+D47-H47</f>
        <v>-100</v>
      </c>
      <c r="M47" s="1"/>
      <c r="N47" s="5">
        <f t="shared" ref="N47:N63" si="31">IF(H47=0,0,L47/H47)</f>
        <v>-1</v>
      </c>
      <c r="O47" s="14"/>
      <c r="P47" s="1">
        <f>SUM(OSRRefP22_2x_0)</f>
        <v>0</v>
      </c>
      <c r="Q47" s="1"/>
      <c r="R47" s="5">
        <f t="shared" ref="R47:R63" si="32">IF(P$12=0,0,P47/P$12)</f>
        <v>0</v>
      </c>
      <c r="S47" s="1"/>
      <c r="T47" s="1">
        <f>SUM(OSRRefT22_2x_0)</f>
        <v>100</v>
      </c>
      <c r="U47" s="1"/>
      <c r="V47" s="5">
        <f t="shared" ref="V47:V63" si="33">IF(T$12=0,0,T47/T$12)</f>
        <v>0.01</v>
      </c>
      <c r="W47" s="1"/>
      <c r="X47" s="1">
        <f t="shared" ref="X47:X63" si="34">+P47-T47</f>
        <v>-100</v>
      </c>
      <c r="Y47" s="1"/>
      <c r="Z47" s="5">
        <f t="shared" ref="Z47:Z63" si="35">IF(T47=0,0,X47/T47)</f>
        <v>-1</v>
      </c>
    </row>
    <row r="48" spans="1:26" s="24" customFormat="1" hidden="1" outlineLevel="2" x14ac:dyDescent="0.25">
      <c r="A48" s="29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28"/>
        <v>0</v>
      </c>
      <c r="G48" s="2"/>
      <c r="H48" s="7">
        <v>100</v>
      </c>
      <c r="I48" s="2"/>
      <c r="J48" s="6">
        <f t="shared" si="29"/>
        <v>0.01</v>
      </c>
      <c r="K48" s="2"/>
      <c r="L48" s="7">
        <f t="shared" si="30"/>
        <v>-100</v>
      </c>
      <c r="M48" s="2"/>
      <c r="N48" s="6">
        <f t="shared" si="31"/>
        <v>-1</v>
      </c>
      <c r="O48" s="11"/>
      <c r="P48" s="7"/>
      <c r="Q48" s="2"/>
      <c r="R48" s="6">
        <f t="shared" si="32"/>
        <v>0</v>
      </c>
      <c r="S48" s="2"/>
      <c r="T48" s="7">
        <v>100</v>
      </c>
      <c r="U48" s="2"/>
      <c r="V48" s="6">
        <f t="shared" si="33"/>
        <v>0.01</v>
      </c>
      <c r="W48" s="2"/>
      <c r="X48" s="7">
        <f t="shared" si="34"/>
        <v>-100</v>
      </c>
      <c r="Y48" s="2"/>
      <c r="Z48" s="6">
        <f t="shared" si="35"/>
        <v>-1</v>
      </c>
    </row>
    <row r="49" spans="1:26" s="27" customFormat="1" outlineLevel="1" collapsed="1" x14ac:dyDescent="0.25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0</v>
      </c>
      <c r="E49" s="1"/>
      <c r="F49" s="5">
        <f t="shared" si="28"/>
        <v>0</v>
      </c>
      <c r="G49" s="1"/>
      <c r="H49" s="1">
        <f>SUM(OSRRefH22_3x_0)</f>
        <v>50</v>
      </c>
      <c r="I49" s="1"/>
      <c r="J49" s="5">
        <f t="shared" si="29"/>
        <v>5.0000000000000001E-3</v>
      </c>
      <c r="K49" s="1"/>
      <c r="L49" s="1">
        <f t="shared" si="30"/>
        <v>-50</v>
      </c>
      <c r="M49" s="1"/>
      <c r="N49" s="5">
        <f t="shared" si="31"/>
        <v>-1</v>
      </c>
      <c r="O49" s="14"/>
      <c r="P49" s="1">
        <f>SUM(OSRRefP22_3x_0)</f>
        <v>0</v>
      </c>
      <c r="Q49" s="1"/>
      <c r="R49" s="5">
        <f t="shared" si="32"/>
        <v>0</v>
      </c>
      <c r="S49" s="1"/>
      <c r="T49" s="1">
        <f>SUM(OSRRefT22_3x_0)</f>
        <v>50</v>
      </c>
      <c r="U49" s="1"/>
      <c r="V49" s="5">
        <f t="shared" si="33"/>
        <v>5.0000000000000001E-3</v>
      </c>
      <c r="W49" s="1"/>
      <c r="X49" s="1">
        <f t="shared" si="34"/>
        <v>-50</v>
      </c>
      <c r="Y49" s="1"/>
      <c r="Z49" s="5">
        <f t="shared" si="35"/>
        <v>-1</v>
      </c>
    </row>
    <row r="50" spans="1:26" s="24" customFormat="1" hidden="1" outlineLevel="2" x14ac:dyDescent="0.25">
      <c r="A50" s="29"/>
      <c r="B50" s="11" t="str">
        <f>CONCATENATE("          ", "6272", " - ", "CASH (OVER/SHORT)")</f>
        <v xml:space="preserve">          6272 - CASH (OVER/SHORT)</v>
      </c>
      <c r="C50" s="11"/>
      <c r="D50" s="7"/>
      <c r="E50" s="2"/>
      <c r="F50" s="6">
        <f t="shared" si="28"/>
        <v>0</v>
      </c>
      <c r="G50" s="2"/>
      <c r="H50" s="7">
        <v>50</v>
      </c>
      <c r="I50" s="2"/>
      <c r="J50" s="6">
        <f t="shared" si="29"/>
        <v>5.0000000000000001E-3</v>
      </c>
      <c r="K50" s="2"/>
      <c r="L50" s="7">
        <f t="shared" si="30"/>
        <v>-50</v>
      </c>
      <c r="M50" s="2"/>
      <c r="N50" s="6">
        <f t="shared" si="31"/>
        <v>-1</v>
      </c>
      <c r="O50" s="11"/>
      <c r="P50" s="7"/>
      <c r="Q50" s="2"/>
      <c r="R50" s="6">
        <f t="shared" si="32"/>
        <v>0</v>
      </c>
      <c r="S50" s="2"/>
      <c r="T50" s="7">
        <v>50</v>
      </c>
      <c r="U50" s="2"/>
      <c r="V50" s="6">
        <f t="shared" si="33"/>
        <v>5.0000000000000001E-3</v>
      </c>
      <c r="W50" s="2"/>
      <c r="X50" s="7">
        <f t="shared" si="34"/>
        <v>-50</v>
      </c>
      <c r="Y50" s="2"/>
      <c r="Z50" s="6">
        <f t="shared" si="35"/>
        <v>-1</v>
      </c>
    </row>
    <row r="51" spans="1:26" s="27" customFormat="1" outlineLevel="1" collapsed="1" x14ac:dyDescent="0.25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505.8</v>
      </c>
      <c r="E51" s="1"/>
      <c r="F51" s="5">
        <f t="shared" si="28"/>
        <v>2.059587137882396E-2</v>
      </c>
      <c r="G51" s="1"/>
      <c r="H51" s="1">
        <f>SUM(OSRRefH22_4x_0)</f>
        <v>100</v>
      </c>
      <c r="I51" s="1"/>
      <c r="J51" s="5">
        <f t="shared" si="29"/>
        <v>0.01</v>
      </c>
      <c r="K51" s="1"/>
      <c r="L51" s="1">
        <f t="shared" si="30"/>
        <v>405.8</v>
      </c>
      <c r="M51" s="1"/>
      <c r="N51" s="5">
        <f t="shared" si="31"/>
        <v>4.0579999999999998</v>
      </c>
      <c r="O51" s="14"/>
      <c r="P51" s="1">
        <f>SUM(OSRRefP22_4x_0)</f>
        <v>505.8</v>
      </c>
      <c r="Q51" s="1"/>
      <c r="R51" s="5">
        <f t="shared" si="32"/>
        <v>2.059587137882396E-2</v>
      </c>
      <c r="S51" s="1"/>
      <c r="T51" s="1">
        <f>SUM(OSRRefT22_4x_0)</f>
        <v>100</v>
      </c>
      <c r="U51" s="1"/>
      <c r="V51" s="5">
        <f t="shared" si="33"/>
        <v>0.01</v>
      </c>
      <c r="W51" s="1"/>
      <c r="X51" s="1">
        <f t="shared" si="34"/>
        <v>405.8</v>
      </c>
      <c r="Y51" s="1"/>
      <c r="Z51" s="5">
        <f t="shared" si="35"/>
        <v>4.0579999999999998</v>
      </c>
    </row>
    <row r="52" spans="1:26" s="24" customFormat="1" hidden="1" outlineLevel="2" x14ac:dyDescent="0.25">
      <c r="A52" s="29"/>
      <c r="B52" s="11" t="str">
        <f>CONCATENATE("          ", "6381", " - ", "BANK/CREDIT CARD FEES")</f>
        <v xml:space="preserve">          6381 - BANK/CREDIT CARD FEES</v>
      </c>
      <c r="C52" s="11"/>
      <c r="D52" s="7">
        <v>505.8</v>
      </c>
      <c r="E52" s="2"/>
      <c r="F52" s="6">
        <f t="shared" si="28"/>
        <v>2.059587137882396E-2</v>
      </c>
      <c r="G52" s="2"/>
      <c r="H52" s="7">
        <v>100</v>
      </c>
      <c r="I52" s="2"/>
      <c r="J52" s="6">
        <f t="shared" si="29"/>
        <v>0.01</v>
      </c>
      <c r="K52" s="2"/>
      <c r="L52" s="7">
        <f t="shared" si="30"/>
        <v>405.8</v>
      </c>
      <c r="M52" s="2"/>
      <c r="N52" s="6">
        <f t="shared" si="31"/>
        <v>4.0579999999999998</v>
      </c>
      <c r="O52" s="11"/>
      <c r="P52" s="7">
        <v>505.8</v>
      </c>
      <c r="Q52" s="2"/>
      <c r="R52" s="6">
        <f t="shared" si="32"/>
        <v>2.059587137882396E-2</v>
      </c>
      <c r="S52" s="2"/>
      <c r="T52" s="7">
        <v>100</v>
      </c>
      <c r="U52" s="2"/>
      <c r="V52" s="6">
        <f t="shared" si="33"/>
        <v>0.01</v>
      </c>
      <c r="W52" s="2"/>
      <c r="X52" s="7">
        <f t="shared" si="34"/>
        <v>405.8</v>
      </c>
      <c r="Y52" s="2"/>
      <c r="Z52" s="6">
        <f t="shared" si="35"/>
        <v>4.0579999999999998</v>
      </c>
    </row>
    <row r="53" spans="1:26" s="27" customFormat="1" outlineLevel="1" collapsed="1" x14ac:dyDescent="0.25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255.35</v>
      </c>
      <c r="E53" s="1"/>
      <c r="F53" s="5">
        <f t="shared" si="28"/>
        <v>1.0397698213884338E-2</v>
      </c>
      <c r="G53" s="1"/>
      <c r="H53" s="1">
        <f>SUM(OSRRefH22_5x_0)</f>
        <v>269</v>
      </c>
      <c r="I53" s="1"/>
      <c r="J53" s="5">
        <f t="shared" si="29"/>
        <v>2.69E-2</v>
      </c>
      <c r="K53" s="1"/>
      <c r="L53" s="1">
        <f t="shared" si="30"/>
        <v>-13.650000000000006</v>
      </c>
      <c r="M53" s="1"/>
      <c r="N53" s="5">
        <f t="shared" si="31"/>
        <v>-5.0743494423791842E-2</v>
      </c>
      <c r="O53" s="14"/>
      <c r="P53" s="1">
        <f>SUM(OSRRefP22_5x_0)</f>
        <v>255.35</v>
      </c>
      <c r="Q53" s="1"/>
      <c r="R53" s="5">
        <f t="shared" si="32"/>
        <v>1.0397698213884338E-2</v>
      </c>
      <c r="S53" s="1"/>
      <c r="T53" s="1">
        <f>SUM(OSRRefT22_5x_0)</f>
        <v>269</v>
      </c>
      <c r="U53" s="1"/>
      <c r="V53" s="5">
        <f t="shared" si="33"/>
        <v>2.69E-2</v>
      </c>
      <c r="W53" s="1"/>
      <c r="X53" s="1">
        <f t="shared" si="34"/>
        <v>-13.650000000000006</v>
      </c>
      <c r="Y53" s="1"/>
      <c r="Z53" s="5">
        <f t="shared" si="35"/>
        <v>-5.0743494423791842E-2</v>
      </c>
    </row>
    <row r="54" spans="1:26" s="24" customFormat="1" hidden="1" outlineLevel="2" x14ac:dyDescent="0.25">
      <c r="A54" s="29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255.35</v>
      </c>
      <c r="E54" s="2"/>
      <c r="F54" s="6">
        <f t="shared" si="28"/>
        <v>1.0397698213884338E-2</v>
      </c>
      <c r="G54" s="2"/>
      <c r="H54" s="7">
        <v>269</v>
      </c>
      <c r="I54" s="2"/>
      <c r="J54" s="6">
        <f t="shared" si="29"/>
        <v>2.69E-2</v>
      </c>
      <c r="K54" s="2"/>
      <c r="L54" s="7">
        <f t="shared" si="30"/>
        <v>-13.650000000000006</v>
      </c>
      <c r="M54" s="2"/>
      <c r="N54" s="6">
        <f t="shared" si="31"/>
        <v>-5.0743494423791842E-2</v>
      </c>
      <c r="O54" s="11"/>
      <c r="P54" s="7">
        <v>255.35</v>
      </c>
      <c r="Q54" s="2"/>
      <c r="R54" s="6">
        <f t="shared" si="32"/>
        <v>1.0397698213884338E-2</v>
      </c>
      <c r="S54" s="2"/>
      <c r="T54" s="7">
        <v>269</v>
      </c>
      <c r="U54" s="2"/>
      <c r="V54" s="6">
        <f t="shared" si="33"/>
        <v>2.69E-2</v>
      </c>
      <c r="W54" s="2"/>
      <c r="X54" s="7">
        <f t="shared" si="34"/>
        <v>-13.650000000000006</v>
      </c>
      <c r="Y54" s="2"/>
      <c r="Z54" s="6">
        <f t="shared" si="35"/>
        <v>-5.0743494423791842E-2</v>
      </c>
    </row>
    <row r="55" spans="1:26" s="27" customFormat="1" outlineLevel="1" collapsed="1" x14ac:dyDescent="0.25">
      <c r="A55" s="28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SUM(OSRRefD22_6x_0)</f>
        <v>4973.49</v>
      </c>
      <c r="E55" s="1"/>
      <c r="F55" s="5">
        <f t="shared" si="28"/>
        <v>0.2025175174849094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4973.49</v>
      </c>
      <c r="M55" s="1"/>
      <c r="N55" s="5">
        <f t="shared" si="31"/>
        <v>0</v>
      </c>
      <c r="O55" s="14"/>
      <c r="P55" s="1">
        <f>SUM(OSRRefP22_6x_0)</f>
        <v>4973.49</v>
      </c>
      <c r="Q55" s="1"/>
      <c r="R55" s="5">
        <f t="shared" si="32"/>
        <v>0.2025175174849094</v>
      </c>
      <c r="S55" s="1"/>
      <c r="T55" s="1">
        <f>SUM(OSRRefT22_6x_0)</f>
        <v>0</v>
      </c>
      <c r="U55" s="1"/>
      <c r="V55" s="5">
        <f t="shared" si="33"/>
        <v>0</v>
      </c>
      <c r="W55" s="1"/>
      <c r="X55" s="1">
        <f t="shared" si="34"/>
        <v>4973.49</v>
      </c>
      <c r="Y55" s="1"/>
      <c r="Z55" s="5">
        <f t="shared" si="35"/>
        <v>0</v>
      </c>
    </row>
    <row r="56" spans="1:26" s="24" customFormat="1" hidden="1" outlineLevel="2" x14ac:dyDescent="0.25">
      <c r="A56" s="29"/>
      <c r="B56" s="11" t="str">
        <f>CONCATENATE("          ", "6279", " - ", "GENERAL EXPENSE")</f>
        <v xml:space="preserve">          6279 - GENERAL EXPENSE</v>
      </c>
      <c r="C56" s="11"/>
      <c r="D56" s="7">
        <v>4973.49</v>
      </c>
      <c r="E56" s="2"/>
      <c r="F56" s="6">
        <f t="shared" si="28"/>
        <v>0.2025175174849094</v>
      </c>
      <c r="G56" s="2"/>
      <c r="H56" s="7"/>
      <c r="I56" s="2"/>
      <c r="J56" s="6">
        <f t="shared" si="29"/>
        <v>0</v>
      </c>
      <c r="K56" s="2"/>
      <c r="L56" s="7">
        <f t="shared" si="30"/>
        <v>4973.49</v>
      </c>
      <c r="M56" s="2"/>
      <c r="N56" s="6">
        <f t="shared" si="31"/>
        <v>0</v>
      </c>
      <c r="O56" s="11"/>
      <c r="P56" s="7">
        <v>4973.49</v>
      </c>
      <c r="Q56" s="2"/>
      <c r="R56" s="6">
        <f t="shared" si="32"/>
        <v>0.2025175174849094</v>
      </c>
      <c r="S56" s="2"/>
      <c r="T56" s="7"/>
      <c r="U56" s="2"/>
      <c r="V56" s="6">
        <f t="shared" si="33"/>
        <v>0</v>
      </c>
      <c r="W56" s="2"/>
      <c r="X56" s="7">
        <f t="shared" si="34"/>
        <v>4973.49</v>
      </c>
      <c r="Y56" s="2"/>
      <c r="Z56" s="6">
        <f t="shared" si="35"/>
        <v>0</v>
      </c>
    </row>
    <row r="57" spans="1:26" s="27" customFormat="1" outlineLevel="1" collapsed="1" x14ac:dyDescent="0.25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SUM(OSRRefD22_7x_0)</f>
        <v>838.95</v>
      </c>
      <c r="E57" s="1"/>
      <c r="F57" s="5">
        <f t="shared" si="28"/>
        <v>3.4161538737177463E-2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838.95</v>
      </c>
      <c r="M57" s="1"/>
      <c r="N57" s="5">
        <f t="shared" si="31"/>
        <v>0</v>
      </c>
      <c r="O57" s="14"/>
      <c r="P57" s="1">
        <f>SUM(OSRRefP22_7x_0)</f>
        <v>838.95</v>
      </c>
      <c r="Q57" s="1"/>
      <c r="R57" s="5">
        <f t="shared" si="32"/>
        <v>3.4161538737177463E-2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838.95</v>
      </c>
      <c r="Y57" s="1"/>
      <c r="Z57" s="5">
        <f t="shared" si="35"/>
        <v>0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7">
        <v>838.95</v>
      </c>
      <c r="E58" s="2"/>
      <c r="F58" s="6">
        <f t="shared" si="28"/>
        <v>3.4161538737177463E-2</v>
      </c>
      <c r="G58" s="2"/>
      <c r="H58" s="7"/>
      <c r="I58" s="2"/>
      <c r="J58" s="6">
        <f t="shared" si="29"/>
        <v>0</v>
      </c>
      <c r="K58" s="2"/>
      <c r="L58" s="7">
        <f t="shared" si="30"/>
        <v>838.95</v>
      </c>
      <c r="M58" s="2"/>
      <c r="N58" s="6">
        <f t="shared" si="31"/>
        <v>0</v>
      </c>
      <c r="O58" s="11"/>
      <c r="P58" s="7">
        <v>838.95</v>
      </c>
      <c r="Q58" s="2"/>
      <c r="R58" s="6">
        <f t="shared" si="32"/>
        <v>3.4161538737177463E-2</v>
      </c>
      <c r="S58" s="2"/>
      <c r="T58" s="7"/>
      <c r="U58" s="2"/>
      <c r="V58" s="6">
        <f t="shared" si="33"/>
        <v>0</v>
      </c>
      <c r="W58" s="2"/>
      <c r="X58" s="7">
        <f t="shared" si="34"/>
        <v>838.95</v>
      </c>
      <c r="Y58" s="2"/>
      <c r="Z58" s="6">
        <f t="shared" si="35"/>
        <v>0</v>
      </c>
    </row>
    <row r="59" spans="1:26" s="27" customFormat="1" outlineLevel="1" collapsed="1" x14ac:dyDescent="0.25">
      <c r="A59" s="28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SUM(OSRRefD22_8x_0)</f>
        <v>6354.66</v>
      </c>
      <c r="E59" s="1"/>
      <c r="F59" s="5">
        <f t="shared" si="28"/>
        <v>0.25875792806674069</v>
      </c>
      <c r="G59" s="1"/>
      <c r="H59" s="1">
        <f>SUM(OSRRefH22_8x_0)</f>
        <v>0</v>
      </c>
      <c r="I59" s="1"/>
      <c r="J59" s="5">
        <f t="shared" si="29"/>
        <v>0</v>
      </c>
      <c r="K59" s="1"/>
      <c r="L59" s="1">
        <f t="shared" si="30"/>
        <v>6354.66</v>
      </c>
      <c r="M59" s="1"/>
      <c r="N59" s="5">
        <f t="shared" si="31"/>
        <v>0</v>
      </c>
      <c r="O59" s="14"/>
      <c r="P59" s="1">
        <f>SUM(OSRRefP22_8x_0)</f>
        <v>6354.66</v>
      </c>
      <c r="Q59" s="1"/>
      <c r="R59" s="5">
        <f t="shared" si="32"/>
        <v>0.25875792806674069</v>
      </c>
      <c r="S59" s="1"/>
      <c r="T59" s="1">
        <f>SUM(OSRRefT22_8x_0)</f>
        <v>0</v>
      </c>
      <c r="U59" s="1"/>
      <c r="V59" s="5">
        <f t="shared" si="33"/>
        <v>0</v>
      </c>
      <c r="W59" s="1"/>
      <c r="X59" s="1">
        <f t="shared" si="34"/>
        <v>6354.66</v>
      </c>
      <c r="Y59" s="1"/>
      <c r="Z59" s="5">
        <f t="shared" si="35"/>
        <v>0</v>
      </c>
    </row>
    <row r="60" spans="1:26" s="24" customFormat="1" hidden="1" outlineLevel="2" x14ac:dyDescent="0.25">
      <c r="A60" s="29"/>
      <c r="B60" s="11" t="str">
        <f>CONCATENATE("          ", "6254", " - ", "ROYALTY &amp; COMMISSIONS")</f>
        <v xml:space="preserve">          6254 - ROYALTY &amp; COMMISSIONS</v>
      </c>
      <c r="C60" s="11"/>
      <c r="D60" s="7">
        <v>6354.66</v>
      </c>
      <c r="E60" s="2"/>
      <c r="F60" s="6">
        <f t="shared" si="28"/>
        <v>0.25875792806674069</v>
      </c>
      <c r="G60" s="2"/>
      <c r="H60" s="7"/>
      <c r="I60" s="2"/>
      <c r="J60" s="6">
        <f t="shared" si="29"/>
        <v>0</v>
      </c>
      <c r="K60" s="2"/>
      <c r="L60" s="7">
        <f t="shared" si="30"/>
        <v>6354.66</v>
      </c>
      <c r="M60" s="2"/>
      <c r="N60" s="6">
        <f t="shared" si="31"/>
        <v>0</v>
      </c>
      <c r="O60" s="11"/>
      <c r="P60" s="7">
        <v>6354.66</v>
      </c>
      <c r="Q60" s="2"/>
      <c r="R60" s="6">
        <f t="shared" si="32"/>
        <v>0.25875792806674069</v>
      </c>
      <c r="S60" s="2"/>
      <c r="T60" s="7"/>
      <c r="U60" s="2"/>
      <c r="V60" s="6">
        <f t="shared" si="33"/>
        <v>0</v>
      </c>
      <c r="W60" s="2"/>
      <c r="X60" s="7">
        <f t="shared" si="34"/>
        <v>6354.66</v>
      </c>
      <c r="Y60" s="2"/>
      <c r="Z60" s="6">
        <f t="shared" si="35"/>
        <v>0</v>
      </c>
    </row>
    <row r="61" spans="1:26" s="27" customFormat="1" outlineLevel="1" collapsed="1" x14ac:dyDescent="0.25">
      <c r="A61" s="28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SUM(OSRRefD22_9x_0)</f>
        <v>233.93</v>
      </c>
      <c r="E61" s="1"/>
      <c r="F61" s="5">
        <f t="shared" si="28"/>
        <v>9.5254887142117214E-3</v>
      </c>
      <c r="G61" s="1"/>
      <c r="H61" s="1">
        <f>SUM(OSRRefH22_9x_0)</f>
        <v>0</v>
      </c>
      <c r="I61" s="1"/>
      <c r="J61" s="5">
        <f t="shared" si="29"/>
        <v>0</v>
      </c>
      <c r="K61" s="1"/>
      <c r="L61" s="1">
        <f t="shared" si="30"/>
        <v>233.93</v>
      </c>
      <c r="M61" s="1"/>
      <c r="N61" s="5">
        <f t="shared" si="31"/>
        <v>0</v>
      </c>
      <c r="O61" s="14"/>
      <c r="P61" s="1">
        <f>SUM(OSRRefP22_9x_0)</f>
        <v>233.93</v>
      </c>
      <c r="Q61" s="1"/>
      <c r="R61" s="5">
        <f t="shared" si="32"/>
        <v>9.5254887142117214E-3</v>
      </c>
      <c r="S61" s="1"/>
      <c r="T61" s="1">
        <f>SUM(OSRRefT22_9x_0)</f>
        <v>0</v>
      </c>
      <c r="U61" s="1"/>
      <c r="V61" s="5">
        <f t="shared" si="33"/>
        <v>0</v>
      </c>
      <c r="W61" s="1"/>
      <c r="X61" s="1">
        <f t="shared" si="34"/>
        <v>233.93</v>
      </c>
      <c r="Y61" s="1"/>
      <c r="Z61" s="5">
        <f t="shared" si="35"/>
        <v>0</v>
      </c>
    </row>
    <row r="62" spans="1:26" s="24" customFormat="1" hidden="1" outlineLevel="2" x14ac:dyDescent="0.25">
      <c r="A62" s="29"/>
      <c r="B62" s="11" t="str">
        <f>CONCATENATE("          ", "6282", " - ", "JANITORIAL/EXTERMINATOR EXPENS")</f>
        <v xml:space="preserve">          6282 - JANITORIAL/EXTERMINATOR EXPENS</v>
      </c>
      <c r="C62" s="11"/>
      <c r="D62" s="7">
        <v>225.81</v>
      </c>
      <c r="E62" s="2"/>
      <c r="F62" s="6">
        <f t="shared" si="28"/>
        <v>9.1948472045319061E-3</v>
      </c>
      <c r="G62" s="2"/>
      <c r="H62" s="7"/>
      <c r="I62" s="2"/>
      <c r="J62" s="6">
        <f t="shared" si="29"/>
        <v>0</v>
      </c>
      <c r="K62" s="2"/>
      <c r="L62" s="7">
        <f t="shared" si="30"/>
        <v>225.81</v>
      </c>
      <c r="M62" s="2"/>
      <c r="N62" s="6">
        <f t="shared" si="31"/>
        <v>0</v>
      </c>
      <c r="O62" s="11"/>
      <c r="P62" s="7">
        <v>225.81</v>
      </c>
      <c r="Q62" s="2"/>
      <c r="R62" s="6">
        <f t="shared" si="32"/>
        <v>9.1948472045319061E-3</v>
      </c>
      <c r="S62" s="2"/>
      <c r="T62" s="7"/>
      <c r="U62" s="2"/>
      <c r="V62" s="6">
        <f t="shared" si="33"/>
        <v>0</v>
      </c>
      <c r="W62" s="2"/>
      <c r="X62" s="7">
        <f t="shared" si="34"/>
        <v>225.81</v>
      </c>
      <c r="Y62" s="2"/>
      <c r="Z62" s="6">
        <f t="shared" si="35"/>
        <v>0</v>
      </c>
    </row>
    <row r="63" spans="1:26" s="24" customFormat="1" hidden="1" outlineLevel="2" x14ac:dyDescent="0.25">
      <c r="A63" s="29"/>
      <c r="B63" s="11" t="str">
        <f>CONCATENATE("          ", "6286", " - ", "LAUNDRY EXPENSE")</f>
        <v xml:space="preserve">          6286 - LAUNDRY EXPENSE</v>
      </c>
      <c r="C63" s="11"/>
      <c r="D63" s="7">
        <v>8.1199999999999992</v>
      </c>
      <c r="E63" s="2"/>
      <c r="F63" s="6">
        <f t="shared" si="28"/>
        <v>3.3064150967981518E-4</v>
      </c>
      <c r="G63" s="2"/>
      <c r="H63" s="7"/>
      <c r="I63" s="2"/>
      <c r="J63" s="6">
        <f t="shared" si="29"/>
        <v>0</v>
      </c>
      <c r="K63" s="2"/>
      <c r="L63" s="7">
        <f t="shared" si="30"/>
        <v>8.1199999999999992</v>
      </c>
      <c r="M63" s="2"/>
      <c r="N63" s="6">
        <f t="shared" si="31"/>
        <v>0</v>
      </c>
      <c r="O63" s="11"/>
      <c r="P63" s="7">
        <v>8.1199999999999992</v>
      </c>
      <c r="Q63" s="2"/>
      <c r="R63" s="6">
        <f t="shared" si="32"/>
        <v>3.3064150967981518E-4</v>
      </c>
      <c r="S63" s="2"/>
      <c r="T63" s="7"/>
      <c r="U63" s="2"/>
      <c r="V63" s="6">
        <f t="shared" si="33"/>
        <v>0</v>
      </c>
      <c r="W63" s="2"/>
      <c r="X63" s="7">
        <f t="shared" si="34"/>
        <v>8.1199999999999992</v>
      </c>
      <c r="Y63" s="2"/>
      <c r="Z63" s="6">
        <f t="shared" si="35"/>
        <v>0</v>
      </c>
    </row>
    <row r="64" spans="1:26" s="27" customFormat="1" outlineLevel="1" collapsed="1" x14ac:dyDescent="0.25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SUM(OSRRefD22_10x_0)</f>
        <v>1406.46</v>
      </c>
      <c r="E64" s="1"/>
      <c r="F64" s="5">
        <f t="shared" ref="F64:F68" si="36">IF(D$12=0,0,D64/D$12)</f>
        <v>5.7270204150772532E-2</v>
      </c>
      <c r="G64" s="1"/>
      <c r="H64" s="1">
        <f>SUM(OSRRefH22_10x_0)</f>
        <v>850</v>
      </c>
      <c r="I64" s="1"/>
      <c r="J64" s="5">
        <f t="shared" ref="J64:J68" si="37">IF(H$12=0,0,H64/H$12)</f>
        <v>8.5000000000000006E-2</v>
      </c>
      <c r="K64" s="1"/>
      <c r="L64" s="1">
        <f t="shared" ref="L64:L68" si="38">+D64-H64</f>
        <v>556.46</v>
      </c>
      <c r="M64" s="1"/>
      <c r="N64" s="5">
        <f t="shared" ref="N64:N68" si="39">IF(H64=0,0,L64/H64)</f>
        <v>0.65465882352941185</v>
      </c>
      <c r="O64" s="14"/>
      <c r="P64" s="1">
        <f>SUM(OSRRefP22_10x_0)</f>
        <v>1406.46</v>
      </c>
      <c r="Q64" s="1"/>
      <c r="R64" s="5">
        <f t="shared" ref="R64:R68" si="40">IF(P$12=0,0,P64/P$12)</f>
        <v>5.7270204150772532E-2</v>
      </c>
      <c r="S64" s="1"/>
      <c r="T64" s="1">
        <f>SUM(OSRRefT22_10x_0)</f>
        <v>850</v>
      </c>
      <c r="U64" s="1"/>
      <c r="V64" s="5">
        <f t="shared" ref="V64:V68" si="41">IF(T$12=0,0,T64/T$12)</f>
        <v>8.5000000000000006E-2</v>
      </c>
      <c r="W64" s="1"/>
      <c r="X64" s="1">
        <f t="shared" ref="X64:X68" si="42">+P64-T64</f>
        <v>556.46</v>
      </c>
      <c r="Y64" s="1"/>
      <c r="Z64" s="5">
        <f t="shared" ref="Z64:Z68" si="43">IF(T64=0,0,X64/T64)</f>
        <v>0.65465882352941185</v>
      </c>
    </row>
    <row r="65" spans="1:26" s="24" customFormat="1" hidden="1" outlineLevel="2" x14ac:dyDescent="0.25">
      <c r="A65" s="29"/>
      <c r="B65" s="11" t="str">
        <f>CONCATENATE("          ", "6239", " - ", "KITCHEN SUPPLIES")</f>
        <v xml:space="preserve">          6239 - KITCHEN SUPPLIES</v>
      </c>
      <c r="C65" s="11"/>
      <c r="D65" s="7">
        <v>1348.63</v>
      </c>
      <c r="E65" s="2"/>
      <c r="F65" s="6">
        <f t="shared" si="36"/>
        <v>5.4915401379247449E-2</v>
      </c>
      <c r="G65" s="2"/>
      <c r="H65" s="7"/>
      <c r="I65" s="2"/>
      <c r="J65" s="6">
        <f t="shared" si="37"/>
        <v>0</v>
      </c>
      <c r="K65" s="2"/>
      <c r="L65" s="7">
        <f t="shared" si="38"/>
        <v>1348.63</v>
      </c>
      <c r="M65" s="2"/>
      <c r="N65" s="6">
        <f t="shared" si="39"/>
        <v>0</v>
      </c>
      <c r="O65" s="11"/>
      <c r="P65" s="7">
        <v>1348.63</v>
      </c>
      <c r="Q65" s="2"/>
      <c r="R65" s="6">
        <f t="shared" si="40"/>
        <v>5.4915401379247449E-2</v>
      </c>
      <c r="S65" s="2"/>
      <c r="T65" s="7"/>
      <c r="U65" s="2"/>
      <c r="V65" s="6">
        <f t="shared" si="41"/>
        <v>0</v>
      </c>
      <c r="W65" s="2"/>
      <c r="X65" s="7">
        <f t="shared" si="42"/>
        <v>1348.63</v>
      </c>
      <c r="Y65" s="2"/>
      <c r="Z65" s="6">
        <f t="shared" si="43"/>
        <v>0</v>
      </c>
    </row>
    <row r="66" spans="1:26" s="24" customFormat="1" hidden="1" outlineLevel="2" x14ac:dyDescent="0.25">
      <c r="A66" s="29"/>
      <c r="B66" s="11" t="str">
        <f>CONCATENATE("          ", "6241", " - ", "OFFICE EXPENSE")</f>
        <v xml:space="preserve">          6241 - OFFICE EXPENSE</v>
      </c>
      <c r="C66" s="11"/>
      <c r="D66" s="7">
        <v>57.83</v>
      </c>
      <c r="E66" s="2"/>
      <c r="F66" s="6">
        <f t="shared" si="36"/>
        <v>2.3548027715250882E-3</v>
      </c>
      <c r="G66" s="2"/>
      <c r="H66" s="7"/>
      <c r="I66" s="2"/>
      <c r="J66" s="6">
        <f t="shared" si="37"/>
        <v>0</v>
      </c>
      <c r="K66" s="2"/>
      <c r="L66" s="7">
        <f t="shared" si="38"/>
        <v>57.83</v>
      </c>
      <c r="M66" s="2"/>
      <c r="N66" s="6">
        <f t="shared" si="39"/>
        <v>0</v>
      </c>
      <c r="O66" s="11"/>
      <c r="P66" s="7">
        <v>57.83</v>
      </c>
      <c r="Q66" s="2"/>
      <c r="R66" s="6">
        <f t="shared" si="40"/>
        <v>2.3548027715250882E-3</v>
      </c>
      <c r="S66" s="2"/>
      <c r="T66" s="7"/>
      <c r="U66" s="2"/>
      <c r="V66" s="6">
        <f t="shared" si="41"/>
        <v>0</v>
      </c>
      <c r="W66" s="2"/>
      <c r="X66" s="7">
        <f t="shared" si="42"/>
        <v>57.83</v>
      </c>
      <c r="Y66" s="2"/>
      <c r="Z66" s="6">
        <f t="shared" si="43"/>
        <v>0</v>
      </c>
    </row>
    <row r="67" spans="1:26" s="24" customFormat="1" hidden="1" outlineLevel="2" x14ac:dyDescent="0.25">
      <c r="A67" s="29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36"/>
        <v>0</v>
      </c>
      <c r="G67" s="2"/>
      <c r="H67" s="7">
        <v>250</v>
      </c>
      <c r="I67" s="2"/>
      <c r="J67" s="6">
        <f t="shared" si="37"/>
        <v>2.5000000000000001E-2</v>
      </c>
      <c r="K67" s="2"/>
      <c r="L67" s="7">
        <f t="shared" si="38"/>
        <v>-250</v>
      </c>
      <c r="M67" s="2"/>
      <c r="N67" s="6">
        <f t="shared" si="39"/>
        <v>-1</v>
      </c>
      <c r="O67" s="11"/>
      <c r="P67" s="7"/>
      <c r="Q67" s="2"/>
      <c r="R67" s="6">
        <f t="shared" si="40"/>
        <v>0</v>
      </c>
      <c r="S67" s="2"/>
      <c r="T67" s="7">
        <v>250</v>
      </c>
      <c r="U67" s="2"/>
      <c r="V67" s="6">
        <f t="shared" si="41"/>
        <v>2.5000000000000001E-2</v>
      </c>
      <c r="W67" s="2"/>
      <c r="X67" s="7">
        <f t="shared" si="42"/>
        <v>-250</v>
      </c>
      <c r="Y67" s="2"/>
      <c r="Z67" s="6">
        <f t="shared" si="43"/>
        <v>-1</v>
      </c>
    </row>
    <row r="68" spans="1:26" s="24" customFormat="1" hidden="1" outlineLevel="2" x14ac:dyDescent="0.25">
      <c r="A68" s="29"/>
      <c r="B68" s="11" t="str">
        <f>CONCATENATE("          ", "6248", " - ", "UNIFORMS")</f>
        <v xml:space="preserve">          6248 - UNIFORMS</v>
      </c>
      <c r="C68" s="11"/>
      <c r="D68" s="7"/>
      <c r="E68" s="2"/>
      <c r="F68" s="6">
        <f t="shared" si="36"/>
        <v>0</v>
      </c>
      <c r="G68" s="2"/>
      <c r="H68" s="7">
        <v>600</v>
      </c>
      <c r="I68" s="2"/>
      <c r="J68" s="6">
        <f t="shared" si="37"/>
        <v>0.06</v>
      </c>
      <c r="K68" s="2"/>
      <c r="L68" s="7">
        <f t="shared" si="38"/>
        <v>-600</v>
      </c>
      <c r="M68" s="2"/>
      <c r="N68" s="6">
        <f t="shared" si="39"/>
        <v>-1</v>
      </c>
      <c r="O68" s="11"/>
      <c r="P68" s="7"/>
      <c r="Q68" s="2"/>
      <c r="R68" s="6">
        <f t="shared" si="40"/>
        <v>0</v>
      </c>
      <c r="S68" s="2"/>
      <c r="T68" s="7">
        <v>600</v>
      </c>
      <c r="U68" s="2"/>
      <c r="V68" s="6">
        <f t="shared" si="41"/>
        <v>0.06</v>
      </c>
      <c r="W68" s="2"/>
      <c r="X68" s="7">
        <f t="shared" si="42"/>
        <v>-600</v>
      </c>
      <c r="Y68" s="2"/>
      <c r="Z68" s="6">
        <f t="shared" si="43"/>
        <v>-1</v>
      </c>
    </row>
    <row r="69" spans="1:26" s="27" customFormat="1" outlineLevel="1" collapsed="1" x14ac:dyDescent="0.25">
      <c r="A69" s="28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SUM(OSRRefD22_11x_0)</f>
        <v>221.43</v>
      </c>
      <c r="E69" s="1"/>
      <c r="F69" s="5">
        <f t="shared" ref="F69:F72" si="44">IF(D$12=0,0,D69/D$12)</f>
        <v>9.0164962424139766E-3</v>
      </c>
      <c r="G69" s="1"/>
      <c r="H69" s="1">
        <f>SUM(OSRRefH22_11x_0)</f>
        <v>0</v>
      </c>
      <c r="I69" s="1"/>
      <c r="J69" s="5">
        <f t="shared" ref="J69:J72" si="45">IF(H$12=0,0,H69/H$12)</f>
        <v>0</v>
      </c>
      <c r="K69" s="1"/>
      <c r="L69" s="1">
        <f t="shared" ref="L69:L72" si="46">+D69-H69</f>
        <v>221.43</v>
      </c>
      <c r="M69" s="1"/>
      <c r="N69" s="5">
        <f t="shared" ref="N69:N72" si="47">IF(H69=0,0,L69/H69)</f>
        <v>0</v>
      </c>
      <c r="O69" s="14"/>
      <c r="P69" s="1">
        <f>SUM(OSRRefP22_11x_0)</f>
        <v>221.43</v>
      </c>
      <c r="Q69" s="1"/>
      <c r="R69" s="5">
        <f t="shared" ref="R69:R72" si="48">IF(P$12=0,0,P69/P$12)</f>
        <v>9.0164962424139766E-3</v>
      </c>
      <c r="S69" s="1"/>
      <c r="T69" s="1">
        <f>SUM(OSRRefT22_11x_0)</f>
        <v>0</v>
      </c>
      <c r="U69" s="1"/>
      <c r="V69" s="5">
        <f t="shared" ref="V69:V72" si="49">IF(T$12=0,0,T69/T$12)</f>
        <v>0</v>
      </c>
      <c r="W69" s="1"/>
      <c r="X69" s="1">
        <f t="shared" ref="X69:X72" si="50">+P69-T69</f>
        <v>221.43</v>
      </c>
      <c r="Y69" s="1"/>
      <c r="Z69" s="5">
        <f t="shared" ref="Z69:Z72" si="51">IF(T69=0,0,X69/T69)</f>
        <v>0</v>
      </c>
    </row>
    <row r="70" spans="1:26" s="24" customFormat="1" hidden="1" outlineLevel="2" x14ac:dyDescent="0.25">
      <c r="A70" s="29"/>
      <c r="B70" s="11" t="str">
        <f>CONCATENATE("          ", "6309", " - ", "TELEPHONE")</f>
        <v xml:space="preserve">          6309 - TELEPHONE</v>
      </c>
      <c r="C70" s="11"/>
      <c r="D70" s="7">
        <v>221.43</v>
      </c>
      <c r="E70" s="2"/>
      <c r="F70" s="6">
        <f t="shared" si="44"/>
        <v>9.0164962424139766E-3</v>
      </c>
      <c r="G70" s="2"/>
      <c r="H70" s="7"/>
      <c r="I70" s="2"/>
      <c r="J70" s="6">
        <f t="shared" si="45"/>
        <v>0</v>
      </c>
      <c r="K70" s="2"/>
      <c r="L70" s="7">
        <f t="shared" si="46"/>
        <v>221.43</v>
      </c>
      <c r="M70" s="2"/>
      <c r="N70" s="6">
        <f t="shared" si="47"/>
        <v>0</v>
      </c>
      <c r="O70" s="11"/>
      <c r="P70" s="7">
        <v>221.43</v>
      </c>
      <c r="Q70" s="2"/>
      <c r="R70" s="6">
        <f t="shared" si="48"/>
        <v>9.0164962424139766E-3</v>
      </c>
      <c r="S70" s="2"/>
      <c r="T70" s="7"/>
      <c r="U70" s="2"/>
      <c r="V70" s="6">
        <f t="shared" si="49"/>
        <v>0</v>
      </c>
      <c r="W70" s="2"/>
      <c r="X70" s="7">
        <f t="shared" si="50"/>
        <v>221.43</v>
      </c>
      <c r="Y70" s="2"/>
      <c r="Z70" s="6">
        <f t="shared" si="51"/>
        <v>0</v>
      </c>
    </row>
    <row r="71" spans="1:26" s="27" customFormat="1" outlineLevel="1" collapsed="1" x14ac:dyDescent="0.25">
      <c r="A71" s="28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SUM(OSRRefD22_12x_0)</f>
        <v>152.94999999999999</v>
      </c>
      <c r="E71" s="1"/>
      <c r="F71" s="5">
        <f t="shared" si="44"/>
        <v>6.2280318849172091E-3</v>
      </c>
      <c r="G71" s="1"/>
      <c r="H71" s="1">
        <f>SUM(OSRRefH22_12x_0)</f>
        <v>500</v>
      </c>
      <c r="I71" s="1"/>
      <c r="J71" s="5">
        <f t="shared" si="45"/>
        <v>0.05</v>
      </c>
      <c r="K71" s="1"/>
      <c r="L71" s="1">
        <f t="shared" si="46"/>
        <v>-347.05</v>
      </c>
      <c r="M71" s="1"/>
      <c r="N71" s="5">
        <f t="shared" si="47"/>
        <v>-0.69410000000000005</v>
      </c>
      <c r="O71" s="14"/>
      <c r="P71" s="1">
        <f>SUM(OSRRefP22_12x_0)</f>
        <v>152.94999999999999</v>
      </c>
      <c r="Q71" s="1"/>
      <c r="R71" s="5">
        <f t="shared" si="48"/>
        <v>6.2280318849172091E-3</v>
      </c>
      <c r="S71" s="1"/>
      <c r="T71" s="1">
        <f>SUM(OSRRefT22_12x_0)</f>
        <v>500</v>
      </c>
      <c r="U71" s="1"/>
      <c r="V71" s="5">
        <f t="shared" si="49"/>
        <v>0.05</v>
      </c>
      <c r="W71" s="1"/>
      <c r="X71" s="1">
        <f t="shared" si="50"/>
        <v>-347.05</v>
      </c>
      <c r="Y71" s="1"/>
      <c r="Z71" s="5">
        <f t="shared" si="51"/>
        <v>-0.69410000000000005</v>
      </c>
    </row>
    <row r="72" spans="1:26" s="24" customFormat="1" hidden="1" outlineLevel="2" x14ac:dyDescent="0.25">
      <c r="A72" s="29"/>
      <c r="B72" s="11" t="str">
        <f>CONCATENATE("          ", "6376", " - ", "TRAINING")</f>
        <v xml:space="preserve">          6376 - TRAINING</v>
      </c>
      <c r="C72" s="11"/>
      <c r="D72" s="7">
        <v>152.94999999999999</v>
      </c>
      <c r="E72" s="2"/>
      <c r="F72" s="6">
        <f t="shared" si="44"/>
        <v>6.2280318849172091E-3</v>
      </c>
      <c r="G72" s="2"/>
      <c r="H72" s="7">
        <v>500</v>
      </c>
      <c r="I72" s="2"/>
      <c r="J72" s="6">
        <f t="shared" si="45"/>
        <v>0.05</v>
      </c>
      <c r="K72" s="2"/>
      <c r="L72" s="7">
        <f t="shared" si="46"/>
        <v>-347.05</v>
      </c>
      <c r="M72" s="2"/>
      <c r="N72" s="6">
        <f t="shared" si="47"/>
        <v>-0.69410000000000005</v>
      </c>
      <c r="O72" s="11"/>
      <c r="P72" s="7">
        <v>152.94999999999999</v>
      </c>
      <c r="Q72" s="2"/>
      <c r="R72" s="6">
        <f t="shared" si="48"/>
        <v>6.2280318849172091E-3</v>
      </c>
      <c r="S72" s="2"/>
      <c r="T72" s="7">
        <v>500</v>
      </c>
      <c r="U72" s="2"/>
      <c r="V72" s="6">
        <f t="shared" si="49"/>
        <v>0.05</v>
      </c>
      <c r="W72" s="2"/>
      <c r="X72" s="7">
        <f t="shared" si="50"/>
        <v>-347.05</v>
      </c>
      <c r="Y72" s="2"/>
      <c r="Z72" s="6">
        <f t="shared" si="51"/>
        <v>-0.69410000000000005</v>
      </c>
    </row>
    <row r="73" spans="1:26" s="57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25">
      <c r="A74" s="10"/>
      <c r="B74" s="25" t="s">
        <v>0</v>
      </c>
      <c r="C74" s="10"/>
      <c r="D74" s="4">
        <f>SUM(OSRRefD25x_0)</f>
        <v>29281.48</v>
      </c>
      <c r="E74" s="4"/>
      <c r="F74" s="12">
        <f t="shared" ref="F74:F75" si="52">IF(D$12=0,0,D74/D$12)</f>
        <v>1.1923242306476991</v>
      </c>
      <c r="G74" s="4"/>
      <c r="H74" s="4">
        <f>SUM(OSRRefH25x_0)</f>
        <v>2050</v>
      </c>
      <c r="I74" s="4"/>
      <c r="J74" s="12">
        <f t="shared" ref="J74:J75" si="53">IF(H$12=0,0,H74/H$12)</f>
        <v>0.20499999999999999</v>
      </c>
      <c r="K74" s="4"/>
      <c r="L74" s="4">
        <f t="shared" ref="L74:L75" si="54">+D74-H74</f>
        <v>27231.48</v>
      </c>
      <c r="M74" s="4"/>
      <c r="N74" s="12">
        <f t="shared" ref="N74:N75" si="55">IF(H74=0,0,L74/H74)</f>
        <v>13.283648780487805</v>
      </c>
      <c r="O74" s="10"/>
      <c r="P74" s="4">
        <f>SUM(OSRRefP25x_0)</f>
        <v>29281.48</v>
      </c>
      <c r="Q74" s="4"/>
      <c r="R74" s="12">
        <f t="shared" ref="R74:R75" si="56">IF(P$12=0,0,P74/P$12)</f>
        <v>1.1923242306476991</v>
      </c>
      <c r="S74" s="4"/>
      <c r="T74" s="4">
        <f>SUM(OSRRefT25x_0)</f>
        <v>2050</v>
      </c>
      <c r="U74" s="4"/>
      <c r="V74" s="12">
        <f t="shared" ref="V74:V75" si="57">IF(T$12=0,0,T74/T$12)</f>
        <v>0.20499999999999999</v>
      </c>
      <c r="W74" s="4"/>
      <c r="X74" s="4">
        <f t="shared" ref="X74:X75" si="58">+P74-T74</f>
        <v>27231.48</v>
      </c>
      <c r="Y74" s="4"/>
      <c r="Z74" s="12">
        <f t="shared" ref="Z74:Z75" si="59">IF(T74=0,0,X74/T74)</f>
        <v>13.283648780487805</v>
      </c>
    </row>
    <row r="75" spans="1:26" s="24" customFormat="1" hidden="1" outlineLevel="1" x14ac:dyDescent="0.25">
      <c r="A75" s="51"/>
      <c r="B75" s="11" t="str">
        <f>CONCATENATE("          ", "9150", " - ", "MISC. INCOME")</f>
        <v xml:space="preserve">          9150 - MISC. INCOME</v>
      </c>
      <c r="C75" s="11"/>
      <c r="D75" s="2">
        <f>--29281.48</f>
        <v>29281.48</v>
      </c>
      <c r="E75" s="2"/>
      <c r="F75" s="22">
        <f t="shared" si="52"/>
        <v>1.1923242306476991</v>
      </c>
      <c r="G75" s="2"/>
      <c r="H75" s="2">
        <v>2050</v>
      </c>
      <c r="I75" s="2"/>
      <c r="J75" s="22">
        <f t="shared" si="53"/>
        <v>0.20499999999999999</v>
      </c>
      <c r="K75" s="2"/>
      <c r="L75" s="2">
        <f t="shared" si="54"/>
        <v>27231.48</v>
      </c>
      <c r="M75" s="2"/>
      <c r="N75" s="22">
        <f t="shared" si="55"/>
        <v>13.283648780487805</v>
      </c>
      <c r="O75" s="11"/>
      <c r="P75" s="2">
        <f>--29281.48</f>
        <v>29281.48</v>
      </c>
      <c r="Q75" s="2"/>
      <c r="R75" s="22">
        <f t="shared" si="56"/>
        <v>1.1923242306476991</v>
      </c>
      <c r="S75" s="2"/>
      <c r="T75" s="2">
        <v>2050</v>
      </c>
      <c r="U75" s="2"/>
      <c r="V75" s="22">
        <f t="shared" si="57"/>
        <v>0.20499999999999999</v>
      </c>
      <c r="W75" s="2"/>
      <c r="X75" s="2">
        <f t="shared" si="58"/>
        <v>27231.48</v>
      </c>
      <c r="Y75" s="2"/>
      <c r="Z75" s="22">
        <f t="shared" si="59"/>
        <v>13.283648780487805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6" t="s">
        <v>3</v>
      </c>
      <c r="C77" s="26"/>
      <c r="D77" s="21">
        <f>+D23-D25+D74</f>
        <v>21967.179999999993</v>
      </c>
      <c r="E77" s="13"/>
      <c r="F77" s="19">
        <f>IF(D$12=0,0,D77/D$12)</f>
        <v>0.89449033973007896</v>
      </c>
      <c r="G77" s="13"/>
      <c r="H77" s="21">
        <f>+H23-H25+H74</f>
        <v>-3708.2350499999993</v>
      </c>
      <c r="I77" s="13"/>
      <c r="J77" s="19">
        <f>IF(H$12=0,0,H77/H$12)</f>
        <v>-0.37082350499999994</v>
      </c>
      <c r="K77" s="15"/>
      <c r="L77" s="21">
        <f>+D77-H77</f>
        <v>25675.415049999992</v>
      </c>
      <c r="M77" s="15"/>
      <c r="N77" s="19">
        <f>IF(H77=0,0,L77/H77)</f>
        <v>-6.9238909356622358</v>
      </c>
      <c r="O77" s="25"/>
      <c r="P77" s="21">
        <f>+P23-P25+P74</f>
        <v>21967.179999999993</v>
      </c>
      <c r="Q77" s="13"/>
      <c r="R77" s="19">
        <f>IF(P$12=0,0,P77/P$12)</f>
        <v>0.89449033973007896</v>
      </c>
      <c r="S77" s="13"/>
      <c r="T77" s="21">
        <f>+T23-T25+T74</f>
        <v>-3708.2350499999993</v>
      </c>
      <c r="U77" s="13"/>
      <c r="V77" s="19">
        <f>IF(T$12=0,0,T77/T$12)</f>
        <v>-0.37082350499999994</v>
      </c>
      <c r="W77" s="15"/>
      <c r="X77" s="21">
        <f>+P77-T77</f>
        <v>25675.415049999992</v>
      </c>
      <c r="Y77" s="15"/>
      <c r="Z77" s="19">
        <f>IF(T77=0,0,X77/T77)</f>
        <v>-6.9238909356622358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>
        <v>5106.3999999999996</v>
      </c>
      <c r="E79" s="4"/>
      <c r="F79" s="12">
        <f>IF(D$12=0,0,D79/D$12)</f>
        <v>0.20792953263904043</v>
      </c>
      <c r="G79" s="4"/>
      <c r="H79" s="4">
        <v>2437</v>
      </c>
      <c r="I79" s="4"/>
      <c r="J79" s="12">
        <f>IF(H$12=0,0,H79/H$12)</f>
        <v>0.2437</v>
      </c>
      <c r="K79" s="4"/>
      <c r="L79" s="4">
        <f>+D79-H79</f>
        <v>2669.3999999999996</v>
      </c>
      <c r="M79" s="4"/>
      <c r="N79" s="12">
        <f>IF(H79=0,0,L79/H79)</f>
        <v>1.0953631514156748</v>
      </c>
      <c r="O79" s="10"/>
      <c r="P79" s="4">
        <v>5106.3999999999996</v>
      </c>
      <c r="Q79" s="4"/>
      <c r="R79" s="12">
        <f>IF(P$12=0,0,P79/P$12)</f>
        <v>0.20792953263904043</v>
      </c>
      <c r="S79" s="4"/>
      <c r="T79" s="4">
        <v>2437</v>
      </c>
      <c r="U79" s="4"/>
      <c r="V79" s="12">
        <f>IF(T$12=0,0,T79/T$12)</f>
        <v>0.2437</v>
      </c>
      <c r="W79" s="4"/>
      <c r="X79" s="4">
        <f>+P79-T79</f>
        <v>2669.3999999999996</v>
      </c>
      <c r="Y79" s="4"/>
      <c r="Z79" s="12">
        <f>IF(T79=0,0,X79/T79)</f>
        <v>1.0953631514156748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4</v>
      </c>
      <c r="C81" s="26"/>
      <c r="D81" s="32">
        <f>+D77-D79</f>
        <v>16860.779999999992</v>
      </c>
      <c r="E81" s="13"/>
      <c r="F81" s="31">
        <f>IF(D$12=0,0,D81/D$12)</f>
        <v>0.68656080709103851</v>
      </c>
      <c r="G81" s="13"/>
      <c r="H81" s="32">
        <f>+H77-H79</f>
        <v>-6145.2350499999993</v>
      </c>
      <c r="I81" s="13"/>
      <c r="J81" s="31">
        <f>IF(H$12=0,0,H81/H$12)</f>
        <v>-0.61452350499999997</v>
      </c>
      <c r="K81" s="15"/>
      <c r="L81" s="32">
        <f>D81-H81</f>
        <v>23006.015049999991</v>
      </c>
      <c r="M81" s="15"/>
      <c r="N81" s="31">
        <f>IF(H81=0,0,L81/H81)</f>
        <v>-3.7437160438639356</v>
      </c>
      <c r="O81" s="25"/>
      <c r="P81" s="32">
        <f>+P77-P79</f>
        <v>16860.779999999992</v>
      </c>
      <c r="Q81" s="13"/>
      <c r="R81" s="31">
        <f>IF(P$12=0,0,P81/P$12)</f>
        <v>0.68656080709103851</v>
      </c>
      <c r="S81" s="13"/>
      <c r="T81" s="32">
        <f>+T77-T79</f>
        <v>-6145.2350499999993</v>
      </c>
      <c r="U81" s="13"/>
      <c r="V81" s="31">
        <f>IF(T$12=0,0,T81/T$12)</f>
        <v>-0.61452350499999997</v>
      </c>
      <c r="W81" s="15"/>
      <c r="X81" s="32">
        <f>P81-T81</f>
        <v>23006.015049999991</v>
      </c>
      <c r="Y81" s="15"/>
      <c r="Z81" s="31">
        <f>IF(T81=0,0,X81/T81)</f>
        <v>-3.7437160438639356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5</v>
      </c>
      <c r="C84" s="26"/>
      <c r="D84" s="33">
        <f>SUM(D81:D83)</f>
        <v>16860.779999999992</v>
      </c>
      <c r="E84" s="13"/>
      <c r="F84" s="34">
        <f>IF(D$12=0,0,D84/D$12)</f>
        <v>0.68656080709103851</v>
      </c>
      <c r="G84" s="13"/>
      <c r="H84" s="33">
        <f>SUM(H81:H83)</f>
        <v>-6145.2350499999993</v>
      </c>
      <c r="I84" s="13"/>
      <c r="J84" s="34">
        <f>IF(H$12=0,0,H84/H$12)</f>
        <v>-0.61452350499999997</v>
      </c>
      <c r="K84" s="15"/>
      <c r="L84" s="33">
        <f>+D84-H84</f>
        <v>23006.015049999991</v>
      </c>
      <c r="M84" s="15"/>
      <c r="N84" s="34">
        <f>IF(H84=0,0,L84/H84)</f>
        <v>-3.7437160438639356</v>
      </c>
      <c r="O84" s="25"/>
      <c r="P84" s="33">
        <f>SUM(P81:P83)</f>
        <v>16860.779999999992</v>
      </c>
      <c r="Q84" s="13"/>
      <c r="R84" s="34">
        <f>IF(P$12=0,0,P84/P$12)</f>
        <v>0.68656080709103851</v>
      </c>
      <c r="S84" s="13"/>
      <c r="T84" s="33">
        <f>SUM(T81:T83)</f>
        <v>-6145.2350499999993</v>
      </c>
      <c r="U84" s="13"/>
      <c r="V84" s="34">
        <f>IF(T$12=0,0,T84/T$12)</f>
        <v>-0.61452350499999997</v>
      </c>
      <c r="W84" s="15"/>
      <c r="X84" s="33">
        <f>+P84-T84</f>
        <v>23006.015049999991</v>
      </c>
      <c r="Y84" s="15"/>
      <c r="Z84" s="34">
        <f>IF(T84=0,0,X84/T84)</f>
        <v>-3.7437160438639356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1">
        <v>43726.679136493054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6" t="s">
        <v>314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3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5"/>
      <c r="L18" s="21" t="e">
        <f ca="1">+D18-H18</f>
        <v>#NAME?</v>
      </c>
      <c r="M18" s="15"/>
      <c r="N18" s="19" t="e">
        <f ca="1">IF(H18=0,0,L18/H18)</f>
        <v>#NAME?</v>
      </c>
      <c r="O18" s="25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5"/>
      <c r="X18" s="21" t="e">
        <f ca="1">+P18-T18</f>
        <v>#NAME?</v>
      </c>
      <c r="Y18" s="15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7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5"/>
      <c r="L27" s="21" t="e">
        <f ca="1">+D27-H27</f>
        <v>#NAME?</v>
      </c>
      <c r="M27" s="15"/>
      <c r="N27" s="19" t="e">
        <f ca="1">IF(H27=0,0,L27/H27)</f>
        <v>#NAME?</v>
      </c>
      <c r="O27" s="25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5"/>
      <c r="X27" s="21" t="e">
        <f ca="1">+P27-T27</f>
        <v>#NAME?</v>
      </c>
      <c r="Y27" s="15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3" t="e">
        <f ca="1">SUM(D31:D35)</f>
        <v>#NAME?</v>
      </c>
      <c r="E36" s="13"/>
      <c r="F36" s="34" t="e">
        <f ca="1">IF(D$12=0,0,D36/D$12)</f>
        <v>#NAME?</v>
      </c>
      <c r="G36" s="13"/>
      <c r="H36" s="33" t="e">
        <f ca="1">SUM(H31:H35)</f>
        <v>#NAME?</v>
      </c>
      <c r="I36" s="13"/>
      <c r="J36" s="34" t="e">
        <f ca="1">IF(H$12=0,0,H36/H$12)</f>
        <v>#NAME?</v>
      </c>
      <c r="K36" s="15"/>
      <c r="L36" s="33" t="e">
        <f ca="1">+D36-H36</f>
        <v>#NAME?</v>
      </c>
      <c r="M36" s="15"/>
      <c r="N36" s="34" t="e">
        <f ca="1">IF(H36=0,0,L36/H36)</f>
        <v>#NAME?</v>
      </c>
      <c r="O36" s="25"/>
      <c r="P36" s="33" t="e">
        <f ca="1">SUM(P31:P35)</f>
        <v>#NAME?</v>
      </c>
      <c r="Q36" s="13"/>
      <c r="R36" s="34" t="e">
        <f ca="1">IF(P$12=0,0,P36/P$12)</f>
        <v>#NAME?</v>
      </c>
      <c r="S36" s="13"/>
      <c r="T36" s="33" t="e">
        <f ca="1">SUM(T31:T35)</f>
        <v>#NAME?</v>
      </c>
      <c r="U36" s="13"/>
      <c r="V36" s="34" t="e">
        <f ca="1">IF(T$12=0,0,T36/T$12)</f>
        <v>#NAME?</v>
      </c>
      <c r="W36" s="15"/>
      <c r="X36" s="33" t="e">
        <f ca="1">+P36-T36</f>
        <v>#NAME?</v>
      </c>
      <c r="Y36" s="15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6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","455", " - ", "Vending")</f>
        <v>Department 455 - Vending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10114.89</v>
      </c>
      <c r="E18" s="20"/>
      <c r="F18" s="30">
        <f t="shared" ref="F18:F27" si="0">IF(D$12=0,0,D18/D$12)</f>
        <v>0</v>
      </c>
      <c r="G18" s="20"/>
      <c r="H18" s="20">
        <f>SUM(OSRRefH22x_0)</f>
        <v>6661.7349645096147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3453.1550354903848</v>
      </c>
      <c r="M18" s="4"/>
      <c r="N18" s="30">
        <f t="shared" ref="N18:N27" si="3">IF(H18=0,0,L18/H18)</f>
        <v>0.51835671246110271</v>
      </c>
      <c r="O18" s="10"/>
      <c r="P18" s="20">
        <f>SUM(OSRRefP22x_0)</f>
        <v>10114.89</v>
      </c>
      <c r="Q18" s="20"/>
      <c r="R18" s="30">
        <f t="shared" ref="R18:R27" si="4">IF(P$12=0,0,P18/P$12)</f>
        <v>0</v>
      </c>
      <c r="S18" s="20"/>
      <c r="T18" s="20">
        <f>SUM(OSRRefT22x_0)</f>
        <v>6661.7349645096147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3453.1550354903848</v>
      </c>
      <c r="Y18" s="4"/>
      <c r="Z18" s="30">
        <f t="shared" ref="Z18:Z27" si="7">IF(T18=0,0,X18/T18)</f>
        <v>0.51835671246110271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4396.8100000000004</v>
      </c>
      <c r="E19" s="1"/>
      <c r="F19" s="5">
        <f t="shared" si="0"/>
        <v>0</v>
      </c>
      <c r="G19" s="1"/>
      <c r="H19" s="1">
        <f>SUM(OSRRefH22_0x_0)</f>
        <v>1515.904483740384</v>
      </c>
      <c r="I19" s="1"/>
      <c r="J19" s="5">
        <f t="shared" si="1"/>
        <v>0</v>
      </c>
      <c r="K19" s="1"/>
      <c r="L19" s="1">
        <f t="shared" si="2"/>
        <v>2880.9055162596164</v>
      </c>
      <c r="M19" s="1"/>
      <c r="N19" s="5">
        <f t="shared" si="3"/>
        <v>1.9004531929024919</v>
      </c>
      <c r="O19" s="14"/>
      <c r="P19" s="1">
        <f>SUM(OSRRefP22_0x_0)</f>
        <v>4396.8100000000004</v>
      </c>
      <c r="Q19" s="1"/>
      <c r="R19" s="5">
        <f t="shared" si="4"/>
        <v>0</v>
      </c>
      <c r="S19" s="1"/>
      <c r="T19" s="1">
        <f>SUM(OSRRefT22_0x_0)</f>
        <v>1515.904483740384</v>
      </c>
      <c r="U19" s="1"/>
      <c r="V19" s="5">
        <f t="shared" si="5"/>
        <v>0</v>
      </c>
      <c r="W19" s="1"/>
      <c r="X19" s="1">
        <f t="shared" si="6"/>
        <v>2880.9055162596164</v>
      </c>
      <c r="Y19" s="1"/>
      <c r="Z19" s="5">
        <f t="shared" si="7"/>
        <v>1.9004531929024919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349.92</v>
      </c>
      <c r="E20" s="2"/>
      <c r="F20" s="6">
        <f t="shared" si="0"/>
        <v>0</v>
      </c>
      <c r="G20" s="2"/>
      <c r="H20" s="7">
        <v>437.56711854807702</v>
      </c>
      <c r="I20" s="2"/>
      <c r="J20" s="6">
        <f t="shared" si="1"/>
        <v>0</v>
      </c>
      <c r="K20" s="2"/>
      <c r="L20" s="7">
        <f t="shared" si="2"/>
        <v>-87.647118548077003</v>
      </c>
      <c r="M20" s="2"/>
      <c r="N20" s="6">
        <f t="shared" si="3"/>
        <v>-0.20030554132793438</v>
      </c>
      <c r="O20" s="11"/>
      <c r="P20" s="7">
        <v>349.92</v>
      </c>
      <c r="Q20" s="2"/>
      <c r="R20" s="6">
        <f t="shared" si="4"/>
        <v>0</v>
      </c>
      <c r="S20" s="2"/>
      <c r="T20" s="7">
        <v>437.56711854807702</v>
      </c>
      <c r="U20" s="2"/>
      <c r="V20" s="6">
        <f t="shared" si="5"/>
        <v>0</v>
      </c>
      <c r="W20" s="2"/>
      <c r="X20" s="7">
        <f t="shared" si="6"/>
        <v>-87.647118548077003</v>
      </c>
      <c r="Y20" s="2"/>
      <c r="Z20" s="6">
        <f t="shared" si="7"/>
        <v>-0.20030554132793438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177.47</v>
      </c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177.47</v>
      </c>
      <c r="M21" s="2"/>
      <c r="N21" s="6">
        <f t="shared" si="3"/>
        <v>0</v>
      </c>
      <c r="O21" s="11"/>
      <c r="P21" s="7">
        <v>177.47</v>
      </c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177.47</v>
      </c>
      <c r="Y21" s="2"/>
      <c r="Z21" s="6">
        <f t="shared" si="7"/>
        <v>0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931.95</v>
      </c>
      <c r="E22" s="2"/>
      <c r="F22" s="6">
        <f t="shared" si="0"/>
        <v>0</v>
      </c>
      <c r="G22" s="2"/>
      <c r="H22" s="7">
        <v>0</v>
      </c>
      <c r="I22" s="2"/>
      <c r="J22" s="6">
        <f t="shared" si="1"/>
        <v>0</v>
      </c>
      <c r="K22" s="2"/>
      <c r="L22" s="7">
        <f t="shared" si="2"/>
        <v>931.95</v>
      </c>
      <c r="M22" s="2"/>
      <c r="N22" s="6">
        <f t="shared" si="3"/>
        <v>0</v>
      </c>
      <c r="O22" s="11"/>
      <c r="P22" s="7">
        <v>931.95</v>
      </c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931.95</v>
      </c>
      <c r="Y22" s="2"/>
      <c r="Z22" s="6">
        <f t="shared" si="7"/>
        <v>0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11.89</v>
      </c>
      <c r="E23" s="2"/>
      <c r="F23" s="6">
        <f t="shared" si="0"/>
        <v>0</v>
      </c>
      <c r="G23" s="2"/>
      <c r="H23" s="7">
        <v>14.8657325</v>
      </c>
      <c r="I23" s="2"/>
      <c r="J23" s="6">
        <f t="shared" si="1"/>
        <v>0</v>
      </c>
      <c r="K23" s="2"/>
      <c r="L23" s="7">
        <f t="shared" si="2"/>
        <v>-2.9757324999999994</v>
      </c>
      <c r="M23" s="2"/>
      <c r="N23" s="6">
        <f t="shared" si="3"/>
        <v>-0.20017395711916647</v>
      </c>
      <c r="O23" s="11"/>
      <c r="P23" s="7">
        <v>11.89</v>
      </c>
      <c r="Q23" s="2"/>
      <c r="R23" s="6">
        <f t="shared" si="4"/>
        <v>0</v>
      </c>
      <c r="S23" s="2"/>
      <c r="T23" s="7">
        <v>14.8657325</v>
      </c>
      <c r="U23" s="2"/>
      <c r="V23" s="6">
        <f t="shared" si="5"/>
        <v>0</v>
      </c>
      <c r="W23" s="2"/>
      <c r="X23" s="7">
        <f t="shared" si="6"/>
        <v>-2.9757324999999994</v>
      </c>
      <c r="Y23" s="2"/>
      <c r="Z23" s="6">
        <f t="shared" si="7"/>
        <v>-0.20017395711916647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467.52</v>
      </c>
      <c r="E24" s="2"/>
      <c r="F24" s="6">
        <f t="shared" si="0"/>
        <v>0</v>
      </c>
      <c r="G24" s="2"/>
      <c r="H24" s="7">
        <v>491.71269038461503</v>
      </c>
      <c r="I24" s="2"/>
      <c r="J24" s="6">
        <f t="shared" si="1"/>
        <v>0</v>
      </c>
      <c r="K24" s="2"/>
      <c r="L24" s="7">
        <f t="shared" si="2"/>
        <v>-24.192690384615048</v>
      </c>
      <c r="M24" s="2"/>
      <c r="N24" s="6">
        <f t="shared" si="3"/>
        <v>-4.9200866395560497E-2</v>
      </c>
      <c r="O24" s="11"/>
      <c r="P24" s="7">
        <v>467.52</v>
      </c>
      <c r="Q24" s="2"/>
      <c r="R24" s="6">
        <f t="shared" si="4"/>
        <v>0</v>
      </c>
      <c r="S24" s="2"/>
      <c r="T24" s="7">
        <v>491.71269038461503</v>
      </c>
      <c r="U24" s="2"/>
      <c r="V24" s="6">
        <f t="shared" si="5"/>
        <v>0</v>
      </c>
      <c r="W24" s="2"/>
      <c r="X24" s="7">
        <f t="shared" si="6"/>
        <v>-24.192690384615048</v>
      </c>
      <c r="Y24" s="2"/>
      <c r="Z24" s="6">
        <f t="shared" si="7"/>
        <v>-4.9200866395560497E-2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755.72</v>
      </c>
      <c r="E26" s="2"/>
      <c r="F26" s="6">
        <f t="shared" si="0"/>
        <v>0</v>
      </c>
      <c r="G26" s="2"/>
      <c r="H26" s="7">
        <v>571.758942307692</v>
      </c>
      <c r="I26" s="2"/>
      <c r="J26" s="6">
        <f t="shared" si="1"/>
        <v>0</v>
      </c>
      <c r="K26" s="2"/>
      <c r="L26" s="7">
        <f t="shared" si="2"/>
        <v>183.96105769230803</v>
      </c>
      <c r="M26" s="2"/>
      <c r="N26" s="6">
        <f t="shared" si="3"/>
        <v>0.3217458339170311</v>
      </c>
      <c r="O26" s="11"/>
      <c r="P26" s="7">
        <v>755.72</v>
      </c>
      <c r="Q26" s="2"/>
      <c r="R26" s="6">
        <f t="shared" si="4"/>
        <v>0</v>
      </c>
      <c r="S26" s="2"/>
      <c r="T26" s="7">
        <v>571.758942307692</v>
      </c>
      <c r="U26" s="2"/>
      <c r="V26" s="6">
        <f t="shared" si="5"/>
        <v>0</v>
      </c>
      <c r="W26" s="2"/>
      <c r="X26" s="7">
        <f t="shared" si="6"/>
        <v>183.96105769230803</v>
      </c>
      <c r="Y26" s="2"/>
      <c r="Z26" s="6">
        <f t="shared" si="7"/>
        <v>0.3217458339170311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1702.34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1702.34</v>
      </c>
      <c r="M27" s="2"/>
      <c r="N27" s="6">
        <f t="shared" si="3"/>
        <v>0</v>
      </c>
      <c r="O27" s="11"/>
      <c r="P27" s="7">
        <v>1702.34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1702.34</v>
      </c>
      <c r="Y27" s="2"/>
      <c r="Z27" s="6">
        <f t="shared" si="7"/>
        <v>0</v>
      </c>
    </row>
    <row r="28" spans="1:26" s="27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5718.08</v>
      </c>
      <c r="E28" s="1"/>
      <c r="F28" s="5">
        <f t="shared" ref="F28:F38" si="8">IF(D$12=0,0,D28/D$12)</f>
        <v>0</v>
      </c>
      <c r="G28" s="1"/>
      <c r="H28" s="1">
        <f>SUM(OSRRefH22_1x_0)</f>
        <v>5145.8304807692302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572.24951923076969</v>
      </c>
      <c r="M28" s="1"/>
      <c r="N28" s="5">
        <f t="shared" ref="N28:N38" si="11">IF(H28=0,0,L28/H28)</f>
        <v>0.11120644595063037</v>
      </c>
      <c r="O28" s="14"/>
      <c r="P28" s="1">
        <f>SUM(OSRRefP22_1x_0)</f>
        <v>5718.08</v>
      </c>
      <c r="Q28" s="1"/>
      <c r="R28" s="5">
        <f t="shared" ref="R28:R38" si="12">IF(P$12=0,0,P28/P$12)</f>
        <v>0</v>
      </c>
      <c r="S28" s="1"/>
      <c r="T28" s="1">
        <f>SUM(OSRRefT22_1x_0)</f>
        <v>5145.8304807692302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572.24951923076969</v>
      </c>
      <c r="Y28" s="1"/>
      <c r="Z28" s="5">
        <f t="shared" ref="Z28:Z38" si="15">IF(T28=0,0,X28/T28)</f>
        <v>0.11120644595063037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>
        <v>4574.08</v>
      </c>
      <c r="E29" s="2"/>
      <c r="F29" s="6">
        <f t="shared" si="8"/>
        <v>0</v>
      </c>
      <c r="G29" s="2"/>
      <c r="H29" s="7">
        <v>5145.8304807692302</v>
      </c>
      <c r="I29" s="2"/>
      <c r="J29" s="6">
        <f t="shared" si="9"/>
        <v>0</v>
      </c>
      <c r="K29" s="2"/>
      <c r="L29" s="7">
        <f t="shared" si="10"/>
        <v>-571.75048076923031</v>
      </c>
      <c r="M29" s="2"/>
      <c r="N29" s="6">
        <f t="shared" si="11"/>
        <v>-0.11110946676264422</v>
      </c>
      <c r="O29" s="11"/>
      <c r="P29" s="7">
        <v>4574.08</v>
      </c>
      <c r="Q29" s="2"/>
      <c r="R29" s="6">
        <f t="shared" si="12"/>
        <v>0</v>
      </c>
      <c r="S29" s="2"/>
      <c r="T29" s="7">
        <v>5145.8304807692302</v>
      </c>
      <c r="U29" s="2"/>
      <c r="V29" s="6">
        <f t="shared" si="13"/>
        <v>0</v>
      </c>
      <c r="W29" s="2"/>
      <c r="X29" s="7">
        <f t="shared" si="14"/>
        <v>-571.75048076923031</v>
      </c>
      <c r="Y29" s="2"/>
      <c r="Z29" s="6">
        <f t="shared" si="15"/>
        <v>-0.11110946676264422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1144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1144</v>
      </c>
      <c r="M30" s="2"/>
      <c r="N30" s="6">
        <f t="shared" si="11"/>
        <v>0</v>
      </c>
      <c r="O30" s="11"/>
      <c r="P30" s="7">
        <v>1144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1144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57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5" t="s">
        <v>0</v>
      </c>
      <c r="C40" s="10"/>
      <c r="D40" s="4">
        <f>SUM(OSRRefD25x_0)</f>
        <v>8662.2200000000012</v>
      </c>
      <c r="E40" s="4"/>
      <c r="F40" s="12">
        <f t="shared" ref="F40:F44" si="16">IF(D$12=0,0,D40/D$12)</f>
        <v>0</v>
      </c>
      <c r="G40" s="4"/>
      <c r="H40" s="4">
        <f>SUM(OSRRefH25x_0)</f>
        <v>22043</v>
      </c>
      <c r="I40" s="4"/>
      <c r="J40" s="12">
        <f t="shared" ref="J40:J44" si="17">IF(H$12=0,0,H40/H$12)</f>
        <v>0</v>
      </c>
      <c r="K40" s="4"/>
      <c r="L40" s="4">
        <f t="shared" ref="L40:L44" si="18">+D40-H40</f>
        <v>-13380.779999999999</v>
      </c>
      <c r="M40" s="4"/>
      <c r="N40" s="12">
        <f t="shared" ref="N40:N44" si="19">IF(H40=0,0,L40/H40)</f>
        <v>-0.6070308034296602</v>
      </c>
      <c r="O40" s="10"/>
      <c r="P40" s="4">
        <f>SUM(OSRRefP25x_0)</f>
        <v>8662.2200000000012</v>
      </c>
      <c r="Q40" s="4"/>
      <c r="R40" s="12">
        <f t="shared" ref="R40:R44" si="20">IF(P$12=0,0,P40/P$12)</f>
        <v>0</v>
      </c>
      <c r="S40" s="4"/>
      <c r="T40" s="4">
        <f>SUM(OSRRefT25x_0)</f>
        <v>22043</v>
      </c>
      <c r="U40" s="4"/>
      <c r="V40" s="12">
        <f t="shared" ref="V40:V44" si="21">IF(T$12=0,0,T40/T$12)</f>
        <v>0</v>
      </c>
      <c r="W40" s="4"/>
      <c r="X40" s="4">
        <f t="shared" ref="X40:X44" si="22">+P40-T40</f>
        <v>-13380.779999999999</v>
      </c>
      <c r="Y40" s="4"/>
      <c r="Z40" s="12">
        <f t="shared" ref="Z40:Z44" si="23">IF(T40=0,0,X40/T40)</f>
        <v>-0.6070308034296602</v>
      </c>
    </row>
    <row r="41" spans="1:26" s="24" customFormat="1" hidden="1" outlineLevel="1" x14ac:dyDescent="0.25">
      <c r="A41" s="51"/>
      <c r="B41" s="11" t="str">
        <f>CONCATENATE("          ", "9150", " - ", "MISC. INCOME")</f>
        <v xml:space="preserve">          9150 - MISC. INCOME</v>
      </c>
      <c r="C41" s="11"/>
      <c r="D41" s="2">
        <f t="shared" ref="D41:D42" si="24">0</f>
        <v>0</v>
      </c>
      <c r="E41" s="2"/>
      <c r="F41" s="22">
        <f t="shared" si="16"/>
        <v>0</v>
      </c>
      <c r="G41" s="2"/>
      <c r="H41" s="2">
        <v>9962</v>
      </c>
      <c r="I41" s="2"/>
      <c r="J41" s="22">
        <f t="shared" si="17"/>
        <v>0</v>
      </c>
      <c r="K41" s="2"/>
      <c r="L41" s="2">
        <f t="shared" si="18"/>
        <v>-9962</v>
      </c>
      <c r="M41" s="2"/>
      <c r="N41" s="22">
        <f t="shared" si="19"/>
        <v>-1</v>
      </c>
      <c r="O41" s="11"/>
      <c r="P41" s="2">
        <f t="shared" ref="P41:P42" si="25">0</f>
        <v>0</v>
      </c>
      <c r="Q41" s="2"/>
      <c r="R41" s="22">
        <f t="shared" si="20"/>
        <v>0</v>
      </c>
      <c r="S41" s="2"/>
      <c r="T41" s="2">
        <v>9962</v>
      </c>
      <c r="U41" s="2"/>
      <c r="V41" s="22">
        <f t="shared" si="21"/>
        <v>0</v>
      </c>
      <c r="W41" s="2"/>
      <c r="X41" s="2">
        <f t="shared" si="22"/>
        <v>-9962</v>
      </c>
      <c r="Y41" s="2"/>
      <c r="Z41" s="22">
        <f t="shared" si="23"/>
        <v>-1</v>
      </c>
    </row>
    <row r="42" spans="1:26" s="24" customFormat="1" hidden="1" outlineLevel="1" x14ac:dyDescent="0.25">
      <c r="A42" s="51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22">
        <f t="shared" si="16"/>
        <v>0</v>
      </c>
      <c r="G42" s="2"/>
      <c r="H42" s="2">
        <v>12081</v>
      </c>
      <c r="I42" s="2"/>
      <c r="J42" s="22">
        <f t="shared" si="17"/>
        <v>0</v>
      </c>
      <c r="K42" s="2"/>
      <c r="L42" s="2">
        <f t="shared" si="18"/>
        <v>-12081</v>
      </c>
      <c r="M42" s="2"/>
      <c r="N42" s="22">
        <f t="shared" si="19"/>
        <v>-1</v>
      </c>
      <c r="O42" s="11"/>
      <c r="P42" s="2">
        <f t="shared" si="25"/>
        <v>0</v>
      </c>
      <c r="Q42" s="2"/>
      <c r="R42" s="22">
        <f t="shared" si="20"/>
        <v>0</v>
      </c>
      <c r="S42" s="2"/>
      <c r="T42" s="2">
        <v>12081</v>
      </c>
      <c r="U42" s="2"/>
      <c r="V42" s="22">
        <f t="shared" si="21"/>
        <v>0</v>
      </c>
      <c r="W42" s="2"/>
      <c r="X42" s="2">
        <f t="shared" si="22"/>
        <v>-12081</v>
      </c>
      <c r="Y42" s="2"/>
      <c r="Z42" s="22">
        <f t="shared" si="23"/>
        <v>-1</v>
      </c>
    </row>
    <row r="43" spans="1:26" s="24" customFormat="1" hidden="1" outlineLevel="1" x14ac:dyDescent="0.25">
      <c r="A43" s="51"/>
      <c r="B43" s="11" t="str">
        <f>CONCATENATE("          ", "9160", " - ", "MISC. INCOME")</f>
        <v xml:space="preserve">          9160 - MISC. INCOME</v>
      </c>
      <c r="C43" s="11"/>
      <c r="D43" s="2">
        <f>--4981.17</f>
        <v>4981.17</v>
      </c>
      <c r="E43" s="2"/>
      <c r="F43" s="22">
        <f t="shared" si="16"/>
        <v>0</v>
      </c>
      <c r="G43" s="2"/>
      <c r="H43" s="2"/>
      <c r="I43" s="2"/>
      <c r="J43" s="22">
        <f t="shared" si="17"/>
        <v>0</v>
      </c>
      <c r="K43" s="2"/>
      <c r="L43" s="2">
        <f t="shared" si="18"/>
        <v>4981.17</v>
      </c>
      <c r="M43" s="2"/>
      <c r="N43" s="22">
        <f t="shared" si="19"/>
        <v>0</v>
      </c>
      <c r="O43" s="11"/>
      <c r="P43" s="2">
        <f>--4981.17</f>
        <v>4981.17</v>
      </c>
      <c r="Q43" s="2"/>
      <c r="R43" s="22">
        <f t="shared" si="20"/>
        <v>0</v>
      </c>
      <c r="S43" s="2"/>
      <c r="T43" s="2"/>
      <c r="U43" s="2"/>
      <c r="V43" s="22">
        <f t="shared" si="21"/>
        <v>0</v>
      </c>
      <c r="W43" s="2"/>
      <c r="X43" s="2">
        <f t="shared" si="22"/>
        <v>4981.17</v>
      </c>
      <c r="Y43" s="2"/>
      <c r="Z43" s="22">
        <f t="shared" si="23"/>
        <v>0</v>
      </c>
    </row>
    <row r="44" spans="1:26" s="24" customFormat="1" hidden="1" outlineLevel="1" x14ac:dyDescent="0.25">
      <c r="A44" s="51"/>
      <c r="B44" s="11" t="str">
        <f>CONCATENATE("          ", "9165", " - ", "OTHER INCOME")</f>
        <v xml:space="preserve">          9165 - OTHER INCOME</v>
      </c>
      <c r="C44" s="11"/>
      <c r="D44" s="2">
        <f>--3681.05</f>
        <v>3681.05</v>
      </c>
      <c r="E44" s="2"/>
      <c r="F44" s="22">
        <f t="shared" si="16"/>
        <v>0</v>
      </c>
      <c r="G44" s="2"/>
      <c r="H44" s="2"/>
      <c r="I44" s="2"/>
      <c r="J44" s="22">
        <f t="shared" si="17"/>
        <v>0</v>
      </c>
      <c r="K44" s="2"/>
      <c r="L44" s="2">
        <f t="shared" si="18"/>
        <v>3681.05</v>
      </c>
      <c r="M44" s="2"/>
      <c r="N44" s="22">
        <f t="shared" si="19"/>
        <v>0</v>
      </c>
      <c r="O44" s="11"/>
      <c r="P44" s="2">
        <f>--3681.05</f>
        <v>3681.05</v>
      </c>
      <c r="Q44" s="2"/>
      <c r="R44" s="22">
        <f t="shared" si="20"/>
        <v>0</v>
      </c>
      <c r="S44" s="2"/>
      <c r="T44" s="2"/>
      <c r="U44" s="2"/>
      <c r="V44" s="22">
        <f t="shared" si="21"/>
        <v>0</v>
      </c>
      <c r="W44" s="2"/>
      <c r="X44" s="2">
        <f t="shared" si="22"/>
        <v>3681.05</v>
      </c>
      <c r="Y44" s="2"/>
      <c r="Z44" s="22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6" t="s">
        <v>3</v>
      </c>
      <c r="C46" s="26"/>
      <c r="D46" s="21">
        <f>+D16-D18+D40</f>
        <v>-1452.6699999999983</v>
      </c>
      <c r="E46" s="13"/>
      <c r="F46" s="19">
        <f>IF(D$12=0,0,D46/D$12)</f>
        <v>0</v>
      </c>
      <c r="G46" s="13"/>
      <c r="H46" s="21">
        <f>+H16-H18+H40</f>
        <v>15381.265035490385</v>
      </c>
      <c r="I46" s="13"/>
      <c r="J46" s="19">
        <f>IF(H$12=0,0,H46/H$12)</f>
        <v>0</v>
      </c>
      <c r="K46" s="15"/>
      <c r="L46" s="21">
        <f>+D46-H46</f>
        <v>-16833.935035490384</v>
      </c>
      <c r="M46" s="15"/>
      <c r="N46" s="19">
        <f>IF(H46=0,0,L46/H46)</f>
        <v>-1.094444117349785</v>
      </c>
      <c r="O46" s="25"/>
      <c r="P46" s="21">
        <f>+P16-P18+P40</f>
        <v>-1452.6699999999983</v>
      </c>
      <c r="Q46" s="13"/>
      <c r="R46" s="19">
        <f>IF(P$12=0,0,P46/P$12)</f>
        <v>0</v>
      </c>
      <c r="S46" s="13"/>
      <c r="T46" s="21">
        <f>+T16-T18+T40</f>
        <v>15381.265035490385</v>
      </c>
      <c r="U46" s="13"/>
      <c r="V46" s="19">
        <f>IF(T$12=0,0,T46/T$12)</f>
        <v>0</v>
      </c>
      <c r="W46" s="15"/>
      <c r="X46" s="21">
        <f>+P46-T46</f>
        <v>-16833.935035490384</v>
      </c>
      <c r="Y46" s="15"/>
      <c r="Z46" s="19">
        <f>IF(T46=0,0,X46/T46)</f>
        <v>-1.094444117349785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6" t="s">
        <v>4</v>
      </c>
      <c r="C50" s="26"/>
      <c r="D50" s="32">
        <f>+D46-D48</f>
        <v>-1452.6699999999983</v>
      </c>
      <c r="E50" s="13"/>
      <c r="F50" s="31">
        <f>IF(D$12=0,0,D50/D$12)</f>
        <v>0</v>
      </c>
      <c r="G50" s="13"/>
      <c r="H50" s="32">
        <f>+H46-H48</f>
        <v>15381.265035490385</v>
      </c>
      <c r="I50" s="13"/>
      <c r="J50" s="31">
        <f>IF(H$12=0,0,H50/H$12)</f>
        <v>0</v>
      </c>
      <c r="K50" s="15"/>
      <c r="L50" s="32">
        <f>D50-H50</f>
        <v>-16833.935035490384</v>
      </c>
      <c r="M50" s="15"/>
      <c r="N50" s="31">
        <f>IF(H50=0,0,L50/H50)</f>
        <v>-1.094444117349785</v>
      </c>
      <c r="O50" s="25"/>
      <c r="P50" s="32">
        <f>+P46-P48</f>
        <v>-1452.6699999999983</v>
      </c>
      <c r="Q50" s="13"/>
      <c r="R50" s="31">
        <f>IF(P$12=0,0,P50/P$12)</f>
        <v>0</v>
      </c>
      <c r="S50" s="13"/>
      <c r="T50" s="32">
        <f>+T46-T48</f>
        <v>15381.265035490385</v>
      </c>
      <c r="U50" s="13"/>
      <c r="V50" s="31">
        <f>IF(T$12=0,0,T50/T$12)</f>
        <v>0</v>
      </c>
      <c r="W50" s="15"/>
      <c r="X50" s="32">
        <f>P50-T50</f>
        <v>-16833.935035490384</v>
      </c>
      <c r="Y50" s="15"/>
      <c r="Z50" s="31">
        <f>IF(T50=0,0,X50/T50)</f>
        <v>-1.094444117349785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6" t="s">
        <v>5</v>
      </c>
      <c r="C53" s="26"/>
      <c r="D53" s="33">
        <f>SUM(D50:D52)</f>
        <v>-1452.6699999999983</v>
      </c>
      <c r="E53" s="13"/>
      <c r="F53" s="34">
        <f>IF(D$12=0,0,D53/D$12)</f>
        <v>0</v>
      </c>
      <c r="G53" s="13"/>
      <c r="H53" s="33">
        <f>SUM(H50:H52)</f>
        <v>15381.265035490385</v>
      </c>
      <c r="I53" s="13"/>
      <c r="J53" s="34">
        <f>IF(H$12=0,0,H53/H$12)</f>
        <v>0</v>
      </c>
      <c r="K53" s="15"/>
      <c r="L53" s="33">
        <f>+D53-H53</f>
        <v>-16833.935035490384</v>
      </c>
      <c r="M53" s="15"/>
      <c r="N53" s="34">
        <f>IF(H53=0,0,L53/H53)</f>
        <v>-1.094444117349785</v>
      </c>
      <c r="O53" s="25"/>
      <c r="P53" s="33">
        <f>SUM(P50:P52)</f>
        <v>-1452.6699999999983</v>
      </c>
      <c r="Q53" s="13"/>
      <c r="R53" s="34">
        <f>IF(P$12=0,0,P53/P$12)</f>
        <v>0</v>
      </c>
      <c r="S53" s="13"/>
      <c r="T53" s="33">
        <f>SUM(T50:T52)</f>
        <v>15381.265035490385</v>
      </c>
      <c r="U53" s="13"/>
      <c r="V53" s="34">
        <f>IF(T$12=0,0,T53/T$12)</f>
        <v>0</v>
      </c>
      <c r="W53" s="15"/>
      <c r="X53" s="33">
        <f>+P53-T53</f>
        <v>-16833.935035490384</v>
      </c>
      <c r="Y53" s="15"/>
      <c r="Z53" s="34">
        <f>IF(T53=0,0,X53/T53)</f>
        <v>-1.094444117349785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25">
      <c r="A55" s="9"/>
      <c r="B55" s="61">
        <v>43726.679252199072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25">
      <c r="A56" s="9"/>
      <c r="B56" s="56" t="s">
        <v>314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25">
      <c r="A57" s="9"/>
      <c r="B57" s="53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302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509433.86</v>
      </c>
      <c r="E12" s="4"/>
      <c r="F12" s="12"/>
      <c r="G12" s="4"/>
      <c r="H12" s="4">
        <f>SUM(OSRRefH13x_0)</f>
        <v>497803.00000000006</v>
      </c>
      <c r="I12" s="4"/>
      <c r="J12" s="12"/>
      <c r="K12" s="4"/>
      <c r="L12" s="4">
        <f t="shared" ref="L12:L16" si="0">+D12-H12</f>
        <v>11630.859999999928</v>
      </c>
      <c r="M12" s="4"/>
      <c r="N12" s="12">
        <f t="shared" ref="N12:N16" si="1">IF(H12=0,0,L12/H12)</f>
        <v>2.3364383099338346E-2</v>
      </c>
      <c r="O12" s="10"/>
      <c r="P12" s="4">
        <f>SUM(OSRRefP13x_0)</f>
        <v>509433.86</v>
      </c>
      <c r="Q12" s="4"/>
      <c r="R12" s="12"/>
      <c r="S12" s="4"/>
      <c r="T12" s="4">
        <f>SUM(OSRRefT13x_0)</f>
        <v>497803.00000000006</v>
      </c>
      <c r="U12" s="4"/>
      <c r="V12" s="12"/>
      <c r="W12" s="4"/>
      <c r="X12" s="4">
        <f t="shared" ref="X12:X16" si="2">+P12-T12</f>
        <v>11630.859999999928</v>
      </c>
      <c r="Y12" s="4"/>
      <c r="Z12" s="12">
        <f t="shared" ref="Z12:Z16" si="3">IF(T12=0,0,X12/T12)</f>
        <v>2.3364383099338346E-2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--1144.1</f>
        <v>1144.0999999999999</v>
      </c>
      <c r="E13" s="2"/>
      <c r="F13" s="22"/>
      <c r="G13" s="2"/>
      <c r="H13" s="2"/>
      <c r="I13" s="2"/>
      <c r="J13" s="22"/>
      <c r="K13" s="2"/>
      <c r="L13" s="2">
        <f t="shared" si="0"/>
        <v>1144.0999999999999</v>
      </c>
      <c r="M13" s="2"/>
      <c r="N13" s="22">
        <f t="shared" si="1"/>
        <v>0</v>
      </c>
      <c r="O13" s="11"/>
      <c r="P13" s="2">
        <f>--1144.1</f>
        <v>1144.0999999999999</v>
      </c>
      <c r="Q13" s="2"/>
      <c r="R13" s="22"/>
      <c r="S13" s="2"/>
      <c r="T13" s="2"/>
      <c r="U13" s="2"/>
      <c r="V13" s="22"/>
      <c r="W13" s="2"/>
      <c r="X13" s="2">
        <f t="shared" si="2"/>
        <v>1144.0999999999999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497803.00000000006</v>
      </c>
      <c r="I14" s="2"/>
      <c r="J14" s="22"/>
      <c r="K14" s="2"/>
      <c r="L14" s="2">
        <f t="shared" si="0"/>
        <v>-497803.00000000006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497803.00000000006</v>
      </c>
      <c r="U14" s="2"/>
      <c r="V14" s="22"/>
      <c r="W14" s="2"/>
      <c r="X14" s="2">
        <f t="shared" si="2"/>
        <v>-497803.00000000006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--489278.05</f>
        <v>489278.05</v>
      </c>
      <c r="E15" s="2"/>
      <c r="F15" s="22"/>
      <c r="G15" s="2"/>
      <c r="H15" s="2"/>
      <c r="I15" s="2"/>
      <c r="J15" s="22"/>
      <c r="K15" s="2"/>
      <c r="L15" s="2">
        <f t="shared" si="0"/>
        <v>489278.05</v>
      </c>
      <c r="M15" s="2"/>
      <c r="N15" s="22">
        <f t="shared" si="1"/>
        <v>0</v>
      </c>
      <c r="O15" s="11"/>
      <c r="P15" s="2">
        <f>--489278.05</f>
        <v>489278.05</v>
      </c>
      <c r="Q15" s="2"/>
      <c r="R15" s="22"/>
      <c r="S15" s="2"/>
      <c r="T15" s="2"/>
      <c r="U15" s="2"/>
      <c r="V15" s="22"/>
      <c r="W15" s="2"/>
      <c r="X15" s="2">
        <f t="shared" si="2"/>
        <v>489278.05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--19011.71</f>
        <v>19011.71</v>
      </c>
      <c r="E16" s="2"/>
      <c r="F16" s="22"/>
      <c r="G16" s="2"/>
      <c r="H16" s="2"/>
      <c r="I16" s="2"/>
      <c r="J16" s="22"/>
      <c r="K16" s="2"/>
      <c r="L16" s="2">
        <f t="shared" si="0"/>
        <v>19011.71</v>
      </c>
      <c r="M16" s="2"/>
      <c r="N16" s="22">
        <f t="shared" si="1"/>
        <v>0</v>
      </c>
      <c r="O16" s="11"/>
      <c r="P16" s="2">
        <f>--19011.71</f>
        <v>19011.71</v>
      </c>
      <c r="Q16" s="2"/>
      <c r="R16" s="22"/>
      <c r="S16" s="2"/>
      <c r="T16" s="2"/>
      <c r="U16" s="2"/>
      <c r="V16" s="22"/>
      <c r="W16" s="2"/>
      <c r="X16" s="2">
        <f t="shared" si="2"/>
        <v>19011.71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158407.47</v>
      </c>
      <c r="E18" s="4"/>
      <c r="F18" s="12">
        <f t="shared" ref="F18:F21" si="4">IF(D$12=0,0,D18/D$12)</f>
        <v>0.31094805908661038</v>
      </c>
      <c r="G18" s="4"/>
      <c r="H18" s="4">
        <f>SUM(OSRRefH16x_0)</f>
        <v>152693</v>
      </c>
      <c r="I18" s="4"/>
      <c r="J18" s="12">
        <f t="shared" ref="J18:J21" si="5">IF(H$12=0,0,H18/H$12)</f>
        <v>0.30673378826563918</v>
      </c>
      <c r="K18" s="4"/>
      <c r="L18" s="4">
        <f t="shared" ref="L18:L21" si="6">+D18-H18</f>
        <v>5714.4700000000012</v>
      </c>
      <c r="M18" s="4"/>
      <c r="N18" s="12">
        <f t="shared" ref="N18:N21" si="7">IF(H18=0,0,L18/H18)</f>
        <v>3.7424570870963313E-2</v>
      </c>
      <c r="O18" s="10"/>
      <c r="P18" s="4">
        <f>SUM(OSRRefP16x_0)</f>
        <v>158407.47</v>
      </c>
      <c r="Q18" s="4"/>
      <c r="R18" s="12">
        <f t="shared" ref="R18:R21" si="8">IF(P$12=0,0,P18/P$12)</f>
        <v>0.31094805908661038</v>
      </c>
      <c r="S18" s="4"/>
      <c r="T18" s="4">
        <f>SUM(OSRRefT16x_0)</f>
        <v>152693</v>
      </c>
      <c r="U18" s="4"/>
      <c r="V18" s="12">
        <f t="shared" ref="V18:V21" si="9">IF(T$12=0,0,T18/T$12)</f>
        <v>0.30673378826563918</v>
      </c>
      <c r="W18" s="4"/>
      <c r="X18" s="4">
        <f t="shared" ref="X18:X21" si="10">+P18-T18</f>
        <v>5714.4700000000012</v>
      </c>
      <c r="Y18" s="4"/>
      <c r="Z18" s="12">
        <f t="shared" ref="Z18:Z21" si="11">IF(T18=0,0,X18/T18)</f>
        <v>3.7424570870963313E-2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152693</v>
      </c>
      <c r="I19" s="2"/>
      <c r="J19" s="22">
        <f t="shared" si="5"/>
        <v>0.30673378826563918</v>
      </c>
      <c r="K19" s="2"/>
      <c r="L19" s="2">
        <f t="shared" si="6"/>
        <v>-152693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152693</v>
      </c>
      <c r="U19" s="2"/>
      <c r="V19" s="22">
        <f t="shared" si="9"/>
        <v>0.30673378826563918</v>
      </c>
      <c r="W19" s="2"/>
      <c r="X19" s="2">
        <f t="shared" si="10"/>
        <v>-152693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154210.47</v>
      </c>
      <c r="E20" s="2"/>
      <c r="F20" s="22">
        <f t="shared" si="4"/>
        <v>0.30270950187724077</v>
      </c>
      <c r="G20" s="2"/>
      <c r="H20" s="2"/>
      <c r="I20" s="2"/>
      <c r="J20" s="22">
        <f t="shared" si="5"/>
        <v>0</v>
      </c>
      <c r="K20" s="2"/>
      <c r="L20" s="2">
        <f t="shared" si="6"/>
        <v>154210.47</v>
      </c>
      <c r="M20" s="2"/>
      <c r="N20" s="22">
        <f t="shared" si="7"/>
        <v>0</v>
      </c>
      <c r="O20" s="11"/>
      <c r="P20" s="2">
        <v>154210.47</v>
      </c>
      <c r="Q20" s="2"/>
      <c r="R20" s="22">
        <f t="shared" si="8"/>
        <v>0.30270950187724077</v>
      </c>
      <c r="S20" s="2"/>
      <c r="T20" s="2"/>
      <c r="U20" s="2"/>
      <c r="V20" s="22">
        <f t="shared" si="9"/>
        <v>0</v>
      </c>
      <c r="W20" s="2"/>
      <c r="X20" s="2">
        <f t="shared" si="10"/>
        <v>154210.47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4197</v>
      </c>
      <c r="E21" s="2"/>
      <c r="F21" s="22">
        <f t="shared" si="4"/>
        <v>8.2385572093696333E-3</v>
      </c>
      <c r="G21" s="2"/>
      <c r="H21" s="2"/>
      <c r="I21" s="2"/>
      <c r="J21" s="22">
        <f t="shared" si="5"/>
        <v>0</v>
      </c>
      <c r="K21" s="2"/>
      <c r="L21" s="2">
        <f t="shared" si="6"/>
        <v>4197</v>
      </c>
      <c r="M21" s="2"/>
      <c r="N21" s="22">
        <f t="shared" si="7"/>
        <v>0</v>
      </c>
      <c r="O21" s="11"/>
      <c r="P21" s="2">
        <v>4197</v>
      </c>
      <c r="Q21" s="2"/>
      <c r="R21" s="22">
        <f t="shared" si="8"/>
        <v>8.2385572093696333E-3</v>
      </c>
      <c r="S21" s="2"/>
      <c r="T21" s="2"/>
      <c r="U21" s="2"/>
      <c r="V21" s="22">
        <f t="shared" si="9"/>
        <v>0</v>
      </c>
      <c r="W21" s="2"/>
      <c r="X21" s="2">
        <f t="shared" si="10"/>
        <v>4197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1">
        <f>D12-D18</f>
        <v>351026.39</v>
      </c>
      <c r="E23" s="13"/>
      <c r="F23" s="19">
        <f>IF(D$12=0,0,D23/D$12)</f>
        <v>0.68905194091338962</v>
      </c>
      <c r="G23" s="13"/>
      <c r="H23" s="21">
        <f>H12-H18</f>
        <v>345110.00000000006</v>
      </c>
      <c r="I23" s="13"/>
      <c r="J23" s="19">
        <f>IF(H$12=0,0,H23/H$12)</f>
        <v>0.69326621173436087</v>
      </c>
      <c r="K23" s="15"/>
      <c r="L23" s="21">
        <f>+D23-H23</f>
        <v>5916.3899999999558</v>
      </c>
      <c r="M23" s="15"/>
      <c r="N23" s="19">
        <f>IF(H23=0,0,L23/H23)</f>
        <v>1.7143490481295688E-2</v>
      </c>
      <c r="O23" s="25"/>
      <c r="P23" s="21">
        <f>P12-P18</f>
        <v>351026.39</v>
      </c>
      <c r="Q23" s="13"/>
      <c r="R23" s="19">
        <f>IF(P$12=0,0,P23/P$12)</f>
        <v>0.68905194091338962</v>
      </c>
      <c r="S23" s="13"/>
      <c r="T23" s="21">
        <f>T12-T18</f>
        <v>345110.00000000006</v>
      </c>
      <c r="U23" s="13"/>
      <c r="V23" s="19">
        <f>IF(T$12=0,0,T23/T$12)</f>
        <v>0.69326621173436087</v>
      </c>
      <c r="W23" s="15"/>
      <c r="X23" s="21">
        <f>+P23-T23</f>
        <v>5916.3899999999558</v>
      </c>
      <c r="Y23" s="15"/>
      <c r="Z23" s="19">
        <f>IF(T23=0,0,X23/T23)</f>
        <v>1.7143490481295688E-2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0">
        <f>SUM(OSRRefD22x_0)</f>
        <v>405619.70000000007</v>
      </c>
      <c r="E25" s="20"/>
      <c r="F25" s="30">
        <f t="shared" ref="F25:F36" si="12">IF(D$12=0,0,D25/D$12)</f>
        <v>0.79621660798126004</v>
      </c>
      <c r="G25" s="20"/>
      <c r="H25" s="20">
        <f>SUM(OSRRefH22x_0)</f>
        <v>404050.70023478224</v>
      </c>
      <c r="I25" s="20"/>
      <c r="J25" s="30">
        <f t="shared" ref="J25:J36" si="13">IF(H$12=0,0,H25/H$12)</f>
        <v>0.81166786908632971</v>
      </c>
      <c r="K25" s="4"/>
      <c r="L25" s="20">
        <f t="shared" ref="L25:L36" si="14">+D25-H25</f>
        <v>1568.9997652178281</v>
      </c>
      <c r="M25" s="4"/>
      <c r="N25" s="30">
        <f t="shared" ref="N25:N36" si="15">IF(H25=0,0,L25/H25)</f>
        <v>3.8831754636389133E-3</v>
      </c>
      <c r="O25" s="10"/>
      <c r="P25" s="20">
        <f>SUM(OSRRefP22x_0)</f>
        <v>405619.70000000007</v>
      </c>
      <c r="Q25" s="20"/>
      <c r="R25" s="30">
        <f t="shared" ref="R25:R36" si="16">IF(P$12=0,0,P25/P$12)</f>
        <v>0.79621660798126004</v>
      </c>
      <c r="S25" s="20"/>
      <c r="T25" s="20">
        <f>SUM(OSRRefT22x_0)</f>
        <v>404050.70023478224</v>
      </c>
      <c r="U25" s="20"/>
      <c r="V25" s="30">
        <f t="shared" ref="V25:V36" si="17">IF(T$12=0,0,T25/T$12)</f>
        <v>0.81166786908632971</v>
      </c>
      <c r="W25" s="4"/>
      <c r="X25" s="20">
        <f t="shared" ref="X25:X36" si="18">+P25-T25</f>
        <v>1568.9997652178281</v>
      </c>
      <c r="Y25" s="4"/>
      <c r="Z25" s="30">
        <f t="shared" ref="Z25:Z36" si="19">IF(T25=0,0,X25/T25)</f>
        <v>3.8831754636389133E-3</v>
      </c>
    </row>
    <row r="26" spans="1:26" s="27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100933.98</v>
      </c>
      <c r="E26" s="1"/>
      <c r="F26" s="5">
        <f t="shared" si="12"/>
        <v>0.19812970421714804</v>
      </c>
      <c r="G26" s="1"/>
      <c r="H26" s="1">
        <f>SUM(OSRRefH22_0x_0)</f>
        <v>91497.440176320772</v>
      </c>
      <c r="I26" s="1"/>
      <c r="J26" s="5">
        <f t="shared" si="13"/>
        <v>0.18380250857532149</v>
      </c>
      <c r="K26" s="1"/>
      <c r="L26" s="1">
        <f t="shared" si="14"/>
        <v>9436.5398236792244</v>
      </c>
      <c r="M26" s="1"/>
      <c r="N26" s="5">
        <f t="shared" si="15"/>
        <v>0.10313446808451117</v>
      </c>
      <c r="O26" s="14"/>
      <c r="P26" s="1">
        <f>SUM(OSRRefP22_0x_0)</f>
        <v>100933.98</v>
      </c>
      <c r="Q26" s="1"/>
      <c r="R26" s="5">
        <f t="shared" si="16"/>
        <v>0.19812970421714804</v>
      </c>
      <c r="S26" s="1"/>
      <c r="T26" s="1">
        <f>SUM(OSRRefT22_0x_0)</f>
        <v>91497.440176320772</v>
      </c>
      <c r="U26" s="1"/>
      <c r="V26" s="5">
        <f t="shared" si="17"/>
        <v>0.18380250857532149</v>
      </c>
      <c r="W26" s="1"/>
      <c r="X26" s="1">
        <f t="shared" si="18"/>
        <v>9436.5398236792244</v>
      </c>
      <c r="Y26" s="1"/>
      <c r="Z26" s="5">
        <f t="shared" si="19"/>
        <v>0.10313446808451117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13134.84</v>
      </c>
      <c r="E27" s="2"/>
      <c r="F27" s="6">
        <f t="shared" si="12"/>
        <v>2.5783209620185044E-2</v>
      </c>
      <c r="G27" s="2"/>
      <c r="H27" s="7">
        <v>15767.414493505388</v>
      </c>
      <c r="I27" s="2"/>
      <c r="J27" s="6">
        <f t="shared" si="13"/>
        <v>3.167400456306086E-2</v>
      </c>
      <c r="K27" s="2"/>
      <c r="L27" s="7">
        <f t="shared" si="14"/>
        <v>-2632.5744935053881</v>
      </c>
      <c r="M27" s="2"/>
      <c r="N27" s="6">
        <f t="shared" si="15"/>
        <v>-0.16696297890752779</v>
      </c>
      <c r="O27" s="11"/>
      <c r="P27" s="7">
        <v>13134.84</v>
      </c>
      <c r="Q27" s="2"/>
      <c r="R27" s="6">
        <f t="shared" si="16"/>
        <v>2.5783209620185044E-2</v>
      </c>
      <c r="S27" s="2"/>
      <c r="T27" s="7">
        <v>15767.414493505388</v>
      </c>
      <c r="U27" s="2"/>
      <c r="V27" s="6">
        <f t="shared" si="17"/>
        <v>3.167400456306086E-2</v>
      </c>
      <c r="W27" s="2"/>
      <c r="X27" s="7">
        <f t="shared" si="18"/>
        <v>-2632.5744935053881</v>
      </c>
      <c r="Y27" s="2"/>
      <c r="Z27" s="6">
        <f t="shared" si="19"/>
        <v>-0.16696297890752779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7054.76</v>
      </c>
      <c r="E28" s="2"/>
      <c r="F28" s="6">
        <f t="shared" si="12"/>
        <v>1.384823537249762E-2</v>
      </c>
      <c r="G28" s="2"/>
      <c r="H28" s="7">
        <v>8793.3552634769203</v>
      </c>
      <c r="I28" s="2"/>
      <c r="J28" s="6">
        <f t="shared" si="13"/>
        <v>1.7664327582350689E-2</v>
      </c>
      <c r="K28" s="2"/>
      <c r="L28" s="7">
        <f t="shared" si="14"/>
        <v>-1738.5952634769201</v>
      </c>
      <c r="M28" s="2"/>
      <c r="N28" s="6">
        <f t="shared" si="15"/>
        <v>-0.19771693641199184</v>
      </c>
      <c r="O28" s="11"/>
      <c r="P28" s="7">
        <v>7054.76</v>
      </c>
      <c r="Q28" s="2"/>
      <c r="R28" s="6">
        <f t="shared" si="16"/>
        <v>1.384823537249762E-2</v>
      </c>
      <c r="S28" s="2"/>
      <c r="T28" s="7">
        <v>8793.3552634769203</v>
      </c>
      <c r="U28" s="2"/>
      <c r="V28" s="6">
        <f t="shared" si="17"/>
        <v>1.7664327582350689E-2</v>
      </c>
      <c r="W28" s="2"/>
      <c r="X28" s="7">
        <f t="shared" si="18"/>
        <v>-1738.5952634769201</v>
      </c>
      <c r="Y28" s="2"/>
      <c r="Z28" s="6">
        <f t="shared" si="19"/>
        <v>-0.19771693641199184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44461.03</v>
      </c>
      <c r="E29" s="2"/>
      <c r="F29" s="6">
        <f t="shared" si="12"/>
        <v>8.727537270490815E-2</v>
      </c>
      <c r="G29" s="2"/>
      <c r="H29" s="7">
        <v>49894.692307692305</v>
      </c>
      <c r="I29" s="2"/>
      <c r="J29" s="6">
        <f t="shared" si="13"/>
        <v>0.10022979433167799</v>
      </c>
      <c r="K29" s="2"/>
      <c r="L29" s="7">
        <f t="shared" si="14"/>
        <v>-5433.6623076923061</v>
      </c>
      <c r="M29" s="2"/>
      <c r="N29" s="6">
        <f t="shared" si="15"/>
        <v>-0.10890261180856294</v>
      </c>
      <c r="O29" s="11"/>
      <c r="P29" s="7">
        <v>44461.03</v>
      </c>
      <c r="Q29" s="2"/>
      <c r="R29" s="6">
        <f t="shared" si="16"/>
        <v>8.727537270490815E-2</v>
      </c>
      <c r="S29" s="2"/>
      <c r="T29" s="7">
        <v>49894.692307692305</v>
      </c>
      <c r="U29" s="2"/>
      <c r="V29" s="6">
        <f t="shared" si="17"/>
        <v>0.10022979433167799</v>
      </c>
      <c r="W29" s="2"/>
      <c r="X29" s="7">
        <f t="shared" si="18"/>
        <v>-5433.6623076923061</v>
      </c>
      <c r="Y29" s="2"/>
      <c r="Z29" s="6">
        <f t="shared" si="19"/>
        <v>-0.10890261180856294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474.02</v>
      </c>
      <c r="E30" s="2"/>
      <c r="F30" s="6">
        <f t="shared" si="12"/>
        <v>9.3048389048972912E-4</v>
      </c>
      <c r="G30" s="2"/>
      <c r="H30" s="7">
        <v>589.24545579999995</v>
      </c>
      <c r="I30" s="2"/>
      <c r="J30" s="6">
        <f t="shared" si="13"/>
        <v>1.1836920544874175E-3</v>
      </c>
      <c r="K30" s="2"/>
      <c r="L30" s="7">
        <f t="shared" si="14"/>
        <v>-115.22545579999996</v>
      </c>
      <c r="M30" s="2"/>
      <c r="N30" s="6">
        <f t="shared" si="15"/>
        <v>-0.19554746611250826</v>
      </c>
      <c r="O30" s="11"/>
      <c r="P30" s="7">
        <v>474.02</v>
      </c>
      <c r="Q30" s="2"/>
      <c r="R30" s="6">
        <f t="shared" si="16"/>
        <v>9.3048389048972912E-4</v>
      </c>
      <c r="S30" s="2"/>
      <c r="T30" s="7">
        <v>589.24545579999995</v>
      </c>
      <c r="U30" s="2"/>
      <c r="V30" s="6">
        <f t="shared" si="17"/>
        <v>1.1836920544874175E-3</v>
      </c>
      <c r="W30" s="2"/>
      <c r="X30" s="7">
        <f t="shared" si="18"/>
        <v>-115.22545579999996</v>
      </c>
      <c r="Y30" s="2"/>
      <c r="Z30" s="6">
        <f t="shared" si="19"/>
        <v>-0.19554746611250826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3962.54</v>
      </c>
      <c r="E31" s="2"/>
      <c r="F31" s="6">
        <f t="shared" si="12"/>
        <v>7.7783208206851423E-3</v>
      </c>
      <c r="G31" s="2"/>
      <c r="H31" s="7">
        <v>4552.785098923081</v>
      </c>
      <c r="I31" s="2"/>
      <c r="J31" s="6">
        <f t="shared" si="13"/>
        <v>9.1457566525775871E-3</v>
      </c>
      <c r="K31" s="2"/>
      <c r="L31" s="7">
        <f t="shared" si="14"/>
        <v>-590.24509892308106</v>
      </c>
      <c r="M31" s="2"/>
      <c r="N31" s="6">
        <f t="shared" si="15"/>
        <v>-0.12964484070699889</v>
      </c>
      <c r="O31" s="11"/>
      <c r="P31" s="7">
        <v>3962.54</v>
      </c>
      <c r="Q31" s="2"/>
      <c r="R31" s="6">
        <f t="shared" si="16"/>
        <v>7.7783208206851423E-3</v>
      </c>
      <c r="S31" s="2"/>
      <c r="T31" s="7">
        <v>4552.785098923081</v>
      </c>
      <c r="U31" s="2"/>
      <c r="V31" s="6">
        <f t="shared" si="17"/>
        <v>9.1457566525775871E-3</v>
      </c>
      <c r="W31" s="2"/>
      <c r="X31" s="7">
        <f t="shared" si="18"/>
        <v>-590.24509892308106</v>
      </c>
      <c r="Y31" s="2"/>
      <c r="Z31" s="6">
        <f t="shared" si="19"/>
        <v>-0.12964484070699889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1382.26</v>
      </c>
      <c r="E33" s="2"/>
      <c r="F33" s="6">
        <f t="shared" si="12"/>
        <v>2.7133257298602022E-3</v>
      </c>
      <c r="G33" s="2"/>
      <c r="H33" s="7"/>
      <c r="I33" s="2"/>
      <c r="J33" s="6">
        <f t="shared" si="13"/>
        <v>0</v>
      </c>
      <c r="K33" s="2"/>
      <c r="L33" s="7">
        <f t="shared" si="14"/>
        <v>1382.26</v>
      </c>
      <c r="M33" s="2"/>
      <c r="N33" s="6">
        <f t="shared" si="15"/>
        <v>0</v>
      </c>
      <c r="O33" s="11"/>
      <c r="P33" s="7">
        <v>1382.26</v>
      </c>
      <c r="Q33" s="2"/>
      <c r="R33" s="6">
        <f t="shared" si="16"/>
        <v>2.7133257298602022E-3</v>
      </c>
      <c r="S33" s="2"/>
      <c r="T33" s="7"/>
      <c r="U33" s="2"/>
      <c r="V33" s="6">
        <f t="shared" si="17"/>
        <v>0</v>
      </c>
      <c r="W33" s="2"/>
      <c r="X33" s="7">
        <f t="shared" si="18"/>
        <v>1382.26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10944.66</v>
      </c>
      <c r="E34" s="2"/>
      <c r="F34" s="6">
        <f t="shared" si="12"/>
        <v>2.148396653492958E-2</v>
      </c>
      <c r="G34" s="2"/>
      <c r="H34" s="7">
        <v>4393.9276284615353</v>
      </c>
      <c r="I34" s="2"/>
      <c r="J34" s="6">
        <f t="shared" si="13"/>
        <v>8.8266395109341134E-3</v>
      </c>
      <c r="K34" s="2"/>
      <c r="L34" s="7">
        <f t="shared" si="14"/>
        <v>6550.7323715384646</v>
      </c>
      <c r="M34" s="2"/>
      <c r="N34" s="6">
        <f t="shared" si="15"/>
        <v>1.4908603248506622</v>
      </c>
      <c r="O34" s="11"/>
      <c r="P34" s="7">
        <v>10944.66</v>
      </c>
      <c r="Q34" s="2"/>
      <c r="R34" s="6">
        <f t="shared" si="16"/>
        <v>2.148396653492958E-2</v>
      </c>
      <c r="S34" s="2"/>
      <c r="T34" s="7">
        <v>4393.9276284615353</v>
      </c>
      <c r="U34" s="2"/>
      <c r="V34" s="6">
        <f t="shared" si="17"/>
        <v>8.8266395109341134E-3</v>
      </c>
      <c r="W34" s="2"/>
      <c r="X34" s="7">
        <f t="shared" si="18"/>
        <v>6550.7323715384646</v>
      </c>
      <c r="Y34" s="2"/>
      <c r="Z34" s="6">
        <f t="shared" si="19"/>
        <v>1.4908603248506622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16429.3</v>
      </c>
      <c r="E35" s="2"/>
      <c r="F35" s="6">
        <f t="shared" si="12"/>
        <v>3.2250113881319153E-2</v>
      </c>
      <c r="G35" s="2"/>
      <c r="H35" s="7">
        <v>6006.0199284615373</v>
      </c>
      <c r="I35" s="2"/>
      <c r="J35" s="6">
        <f t="shared" si="13"/>
        <v>1.2065053702893588E-2</v>
      </c>
      <c r="K35" s="2"/>
      <c r="L35" s="7">
        <f t="shared" si="14"/>
        <v>10423.280071538462</v>
      </c>
      <c r="M35" s="2"/>
      <c r="N35" s="6">
        <f t="shared" si="15"/>
        <v>1.7354721089326157</v>
      </c>
      <c r="O35" s="11"/>
      <c r="P35" s="7">
        <v>16429.3</v>
      </c>
      <c r="Q35" s="2"/>
      <c r="R35" s="6">
        <f t="shared" si="16"/>
        <v>3.2250113881319153E-2</v>
      </c>
      <c r="S35" s="2"/>
      <c r="T35" s="7">
        <v>6006.0199284615373</v>
      </c>
      <c r="U35" s="2"/>
      <c r="V35" s="6">
        <f t="shared" si="17"/>
        <v>1.2065053702893588E-2</v>
      </c>
      <c r="W35" s="2"/>
      <c r="X35" s="7">
        <f t="shared" si="18"/>
        <v>10423.280071538462</v>
      </c>
      <c r="Y35" s="2"/>
      <c r="Z35" s="6">
        <f t="shared" si="19"/>
        <v>1.7354721089326157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>
        <v>3090.57</v>
      </c>
      <c r="E36" s="2"/>
      <c r="F36" s="6">
        <f t="shared" si="12"/>
        <v>6.0666756622734111E-3</v>
      </c>
      <c r="G36" s="2"/>
      <c r="H36" s="7">
        <v>1500</v>
      </c>
      <c r="I36" s="2"/>
      <c r="J36" s="6">
        <f t="shared" si="13"/>
        <v>3.0132401773392283E-3</v>
      </c>
      <c r="K36" s="2"/>
      <c r="L36" s="7">
        <f t="shared" si="14"/>
        <v>1590.5700000000002</v>
      </c>
      <c r="M36" s="2"/>
      <c r="N36" s="6">
        <f t="shared" si="15"/>
        <v>1.0603800000000001</v>
      </c>
      <c r="O36" s="11"/>
      <c r="P36" s="7">
        <v>3090.57</v>
      </c>
      <c r="Q36" s="2"/>
      <c r="R36" s="6">
        <f t="shared" si="16"/>
        <v>6.0666756622734111E-3</v>
      </c>
      <c r="S36" s="2"/>
      <c r="T36" s="7">
        <v>1500</v>
      </c>
      <c r="U36" s="2"/>
      <c r="V36" s="6">
        <f t="shared" si="17"/>
        <v>3.0132401773392283E-3</v>
      </c>
      <c r="W36" s="2"/>
      <c r="X36" s="7">
        <f t="shared" si="18"/>
        <v>1590.5700000000002</v>
      </c>
      <c r="Y36" s="2"/>
      <c r="Z36" s="6">
        <f t="shared" si="19"/>
        <v>1.0603800000000001</v>
      </c>
    </row>
    <row r="37" spans="1:26" s="27" customFormat="1" outlineLevel="1" collapsed="1" x14ac:dyDescent="0.25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205421.06</v>
      </c>
      <c r="E37" s="1"/>
      <c r="F37" s="5">
        <f t="shared" ref="F37:F47" si="20">IF(D$12=0,0,D37/D$12)</f>
        <v>0.40323401353808719</v>
      </c>
      <c r="G37" s="1"/>
      <c r="H37" s="1">
        <f>SUM(OSRRefH22_1x_0)</f>
        <v>217789.26005846146</v>
      </c>
      <c r="I37" s="1"/>
      <c r="J37" s="5">
        <f t="shared" ref="J37:J47" si="21">IF(H$12=0,0,H37/H$12)</f>
        <v>0.43750089906742512</v>
      </c>
      <c r="K37" s="1"/>
      <c r="L37" s="1">
        <f t="shared" ref="L37:L47" si="22">+D37-H37</f>
        <v>-12368.200058461458</v>
      </c>
      <c r="M37" s="1"/>
      <c r="N37" s="5">
        <f t="shared" ref="N37:N47" si="23">IF(H37=0,0,L37/H37)</f>
        <v>-5.6789761144059384E-2</v>
      </c>
      <c r="O37" s="14"/>
      <c r="P37" s="1">
        <f>SUM(OSRRefP22_1x_0)</f>
        <v>205421.06</v>
      </c>
      <c r="Q37" s="1"/>
      <c r="R37" s="5">
        <f t="shared" ref="R37:R47" si="24">IF(P$12=0,0,P37/P$12)</f>
        <v>0.40323401353808719</v>
      </c>
      <c r="S37" s="1"/>
      <c r="T37" s="1">
        <f>SUM(OSRRefT22_1x_0)</f>
        <v>217789.26005846146</v>
      </c>
      <c r="U37" s="1"/>
      <c r="V37" s="5">
        <f t="shared" ref="V37:V47" si="25">IF(T$12=0,0,T37/T$12)</f>
        <v>0.43750089906742512</v>
      </c>
      <c r="W37" s="1"/>
      <c r="X37" s="1">
        <f t="shared" ref="X37:X47" si="26">+P37-T37</f>
        <v>-12368.200058461458</v>
      </c>
      <c r="Y37" s="1"/>
      <c r="Z37" s="5">
        <f t="shared" ref="Z37:Z47" si="27">IF(T37=0,0,X37/T37)</f>
        <v>-5.6789761144059384E-2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>
        <v>7737.53</v>
      </c>
      <c r="E38" s="2"/>
      <c r="F38" s="6">
        <f t="shared" si="20"/>
        <v>1.5188487863763119E-2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7737.53</v>
      </c>
      <c r="M38" s="2"/>
      <c r="N38" s="6">
        <f t="shared" si="23"/>
        <v>0</v>
      </c>
      <c r="O38" s="11"/>
      <c r="P38" s="7">
        <v>7737.53</v>
      </c>
      <c r="Q38" s="2"/>
      <c r="R38" s="6">
        <f t="shared" si="24"/>
        <v>1.5188487863763119E-2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7737.53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45384.409999999996</v>
      </c>
      <c r="E39" s="2"/>
      <c r="F39" s="6">
        <f t="shared" si="20"/>
        <v>8.908793380950375E-2</v>
      </c>
      <c r="G39" s="2"/>
      <c r="H39" s="7">
        <v>49598.673718461454</v>
      </c>
      <c r="I39" s="2"/>
      <c r="J39" s="6">
        <f t="shared" si="21"/>
        <v>9.9635144260804873E-2</v>
      </c>
      <c r="K39" s="2"/>
      <c r="L39" s="7">
        <f t="shared" si="22"/>
        <v>-4214.2637184614578</v>
      </c>
      <c r="M39" s="2"/>
      <c r="N39" s="6">
        <f t="shared" si="23"/>
        <v>-8.4967266310043255E-2</v>
      </c>
      <c r="O39" s="11"/>
      <c r="P39" s="7">
        <v>45384.409999999996</v>
      </c>
      <c r="Q39" s="2"/>
      <c r="R39" s="6">
        <f t="shared" si="24"/>
        <v>8.908793380950375E-2</v>
      </c>
      <c r="S39" s="2"/>
      <c r="T39" s="7">
        <v>49598.673718461454</v>
      </c>
      <c r="U39" s="2"/>
      <c r="V39" s="6">
        <f t="shared" si="25"/>
        <v>9.9635144260804873E-2</v>
      </c>
      <c r="W39" s="2"/>
      <c r="X39" s="7">
        <f t="shared" si="26"/>
        <v>-4214.2637184614578</v>
      </c>
      <c r="Y39" s="2"/>
      <c r="Z39" s="6">
        <f t="shared" si="27"/>
        <v>-8.4967266310043255E-2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>
        <v>45772.49</v>
      </c>
      <c r="E41" s="2"/>
      <c r="F41" s="6">
        <f t="shared" si="20"/>
        <v>8.9849720629092064E-2</v>
      </c>
      <c r="G41" s="2"/>
      <c r="H41" s="7">
        <v>85238.626440000007</v>
      </c>
      <c r="I41" s="2"/>
      <c r="J41" s="6">
        <f t="shared" si="21"/>
        <v>0.17122963590014523</v>
      </c>
      <c r="K41" s="2"/>
      <c r="L41" s="7">
        <f t="shared" si="22"/>
        <v>-39466.136440000009</v>
      </c>
      <c r="M41" s="2"/>
      <c r="N41" s="6">
        <f t="shared" si="23"/>
        <v>-0.4630076537868717</v>
      </c>
      <c r="O41" s="11"/>
      <c r="P41" s="7">
        <v>45772.49</v>
      </c>
      <c r="Q41" s="2"/>
      <c r="R41" s="6">
        <f t="shared" si="24"/>
        <v>8.9849720629092064E-2</v>
      </c>
      <c r="S41" s="2"/>
      <c r="T41" s="7">
        <v>85238.626440000007</v>
      </c>
      <c r="U41" s="2"/>
      <c r="V41" s="6">
        <f t="shared" si="25"/>
        <v>0.17122963590014523</v>
      </c>
      <c r="W41" s="2"/>
      <c r="X41" s="7">
        <f t="shared" si="26"/>
        <v>-39466.136440000009</v>
      </c>
      <c r="Y41" s="2"/>
      <c r="Z41" s="6">
        <f t="shared" si="27"/>
        <v>-0.4630076537868717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34175.409999999996</v>
      </c>
      <c r="E42" s="2"/>
      <c r="F42" s="6">
        <f t="shared" si="20"/>
        <v>6.7085077540782231E-2</v>
      </c>
      <c r="G42" s="2"/>
      <c r="H42" s="7">
        <v>15100.397400000002</v>
      </c>
      <c r="I42" s="2"/>
      <c r="J42" s="6">
        <f t="shared" si="21"/>
        <v>3.0334082759645883E-2</v>
      </c>
      <c r="K42" s="2"/>
      <c r="L42" s="7">
        <f t="shared" si="22"/>
        <v>19075.012599999995</v>
      </c>
      <c r="M42" s="2"/>
      <c r="N42" s="6">
        <f t="shared" si="23"/>
        <v>1.2632126224704519</v>
      </c>
      <c r="O42" s="11"/>
      <c r="P42" s="7">
        <v>34175.409999999996</v>
      </c>
      <c r="Q42" s="2"/>
      <c r="R42" s="6">
        <f t="shared" si="24"/>
        <v>6.7085077540782231E-2</v>
      </c>
      <c r="S42" s="2"/>
      <c r="T42" s="7">
        <v>15100.397400000002</v>
      </c>
      <c r="U42" s="2"/>
      <c r="V42" s="6">
        <f t="shared" si="25"/>
        <v>3.0334082759645883E-2</v>
      </c>
      <c r="W42" s="2"/>
      <c r="X42" s="7">
        <f t="shared" si="26"/>
        <v>19075.012599999995</v>
      </c>
      <c r="Y42" s="2"/>
      <c r="Z42" s="6">
        <f t="shared" si="27"/>
        <v>1.2632126224704519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>
        <v>6324.57</v>
      </c>
      <c r="E43" s="2"/>
      <c r="F43" s="6">
        <f t="shared" si="20"/>
        <v>1.241489915884272E-2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6324.57</v>
      </c>
      <c r="M43" s="2"/>
      <c r="N43" s="6">
        <f t="shared" si="23"/>
        <v>0</v>
      </c>
      <c r="O43" s="11"/>
      <c r="P43" s="7">
        <v>6324.57</v>
      </c>
      <c r="Q43" s="2"/>
      <c r="R43" s="6">
        <f t="shared" si="24"/>
        <v>1.241489915884272E-2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6324.57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>
        <v>56756.65</v>
      </c>
      <c r="E44" s="2"/>
      <c r="F44" s="6">
        <f t="shared" si="20"/>
        <v>0.11141122421662353</v>
      </c>
      <c r="G44" s="2"/>
      <c r="H44" s="7">
        <v>62966.400000000001</v>
      </c>
      <c r="I44" s="2"/>
      <c r="J44" s="6">
        <f t="shared" si="21"/>
        <v>0.12648859086827519</v>
      </c>
      <c r="K44" s="2"/>
      <c r="L44" s="7">
        <f t="shared" si="22"/>
        <v>-6209.75</v>
      </c>
      <c r="M44" s="2"/>
      <c r="N44" s="6">
        <f t="shared" si="23"/>
        <v>-9.8620057681557141E-2</v>
      </c>
      <c r="O44" s="11"/>
      <c r="P44" s="7">
        <v>56756.65</v>
      </c>
      <c r="Q44" s="2"/>
      <c r="R44" s="6">
        <f t="shared" si="24"/>
        <v>0.11141122421662353</v>
      </c>
      <c r="S44" s="2"/>
      <c r="T44" s="7">
        <v>62966.400000000001</v>
      </c>
      <c r="U44" s="2"/>
      <c r="V44" s="6">
        <f t="shared" si="25"/>
        <v>0.12648859086827519</v>
      </c>
      <c r="W44" s="2"/>
      <c r="X44" s="7">
        <f t="shared" si="26"/>
        <v>-6209.75</v>
      </c>
      <c r="Y44" s="2"/>
      <c r="Z44" s="6">
        <f t="shared" si="27"/>
        <v>-9.8620057681557141E-2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>
        <v>9270</v>
      </c>
      <c r="E45" s="2"/>
      <c r="F45" s="6">
        <f t="shared" si="20"/>
        <v>1.8196670319479746E-2</v>
      </c>
      <c r="G45" s="2"/>
      <c r="H45" s="7">
        <v>4885.1624999999995</v>
      </c>
      <c r="I45" s="2"/>
      <c r="J45" s="6">
        <f t="shared" si="21"/>
        <v>9.8134452785539634E-3</v>
      </c>
      <c r="K45" s="2"/>
      <c r="L45" s="7">
        <f t="shared" si="22"/>
        <v>4384.8375000000005</v>
      </c>
      <c r="M45" s="2"/>
      <c r="N45" s="6">
        <f t="shared" si="23"/>
        <v>0.89758273138304023</v>
      </c>
      <c r="O45" s="11"/>
      <c r="P45" s="7">
        <v>9270</v>
      </c>
      <c r="Q45" s="2"/>
      <c r="R45" s="6">
        <f t="shared" si="24"/>
        <v>1.8196670319479746E-2</v>
      </c>
      <c r="S45" s="2"/>
      <c r="T45" s="7">
        <v>4885.1624999999995</v>
      </c>
      <c r="U45" s="2"/>
      <c r="V45" s="6">
        <f t="shared" si="25"/>
        <v>9.8134452785539634E-3</v>
      </c>
      <c r="W45" s="2"/>
      <c r="X45" s="7">
        <f t="shared" si="26"/>
        <v>4384.8375000000005</v>
      </c>
      <c r="Y45" s="2"/>
      <c r="Z45" s="6">
        <f t="shared" si="27"/>
        <v>0.89758273138304023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7" customFormat="1" outlineLevel="1" collapsed="1" x14ac:dyDescent="0.25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1268.07</v>
      </c>
      <c r="E48" s="1"/>
      <c r="F48" s="5">
        <f t="shared" ref="F48:F52" si="28">IF(D$12=0,0,D48/D$12)</f>
        <v>2.4891749441232664E-3</v>
      </c>
      <c r="G48" s="1"/>
      <c r="H48" s="1">
        <f>SUM(OSRRefH22_2x_0)</f>
        <v>3175</v>
      </c>
      <c r="I48" s="1"/>
      <c r="J48" s="5">
        <f t="shared" ref="J48:J52" si="29">IF(H$12=0,0,H48/H$12)</f>
        <v>6.3780250420346993E-3</v>
      </c>
      <c r="K48" s="1"/>
      <c r="L48" s="1">
        <f t="shared" ref="L48:L52" si="30">+D48-H48</f>
        <v>-1906.93</v>
      </c>
      <c r="M48" s="1"/>
      <c r="N48" s="5">
        <f t="shared" ref="N48:N52" si="31">IF(H48=0,0,L48/H48)</f>
        <v>-0.600607874015748</v>
      </c>
      <c r="O48" s="14"/>
      <c r="P48" s="1">
        <f>SUM(OSRRefP22_2x_0)</f>
        <v>1268.07</v>
      </c>
      <c r="Q48" s="1"/>
      <c r="R48" s="5">
        <f t="shared" ref="R48:R52" si="32">IF(P$12=0,0,P48/P$12)</f>
        <v>2.4891749441232664E-3</v>
      </c>
      <c r="S48" s="1"/>
      <c r="T48" s="1">
        <f>SUM(OSRRefT22_2x_0)</f>
        <v>3175</v>
      </c>
      <c r="U48" s="1"/>
      <c r="V48" s="5">
        <f t="shared" ref="V48:V52" si="33">IF(T$12=0,0,T48/T$12)</f>
        <v>6.3780250420346993E-3</v>
      </c>
      <c r="W48" s="1"/>
      <c r="X48" s="1">
        <f t="shared" ref="X48:X52" si="34">+P48-T48</f>
        <v>-1906.93</v>
      </c>
      <c r="Y48" s="1"/>
      <c r="Z48" s="5">
        <f t="shared" ref="Z48:Z52" si="35">IF(T48=0,0,X48/T48)</f>
        <v>-0.600607874015748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>
        <v>1268.07</v>
      </c>
      <c r="E49" s="2"/>
      <c r="F49" s="6">
        <f t="shared" si="28"/>
        <v>2.4891749441232664E-3</v>
      </c>
      <c r="G49" s="2"/>
      <c r="H49" s="7">
        <v>3175</v>
      </c>
      <c r="I49" s="2"/>
      <c r="J49" s="6">
        <f t="shared" si="29"/>
        <v>6.3780250420346993E-3</v>
      </c>
      <c r="K49" s="2"/>
      <c r="L49" s="7">
        <f t="shared" si="30"/>
        <v>-1906.93</v>
      </c>
      <c r="M49" s="2"/>
      <c r="N49" s="6">
        <f t="shared" si="31"/>
        <v>-0.600607874015748</v>
      </c>
      <c r="O49" s="11"/>
      <c r="P49" s="7">
        <v>1268.07</v>
      </c>
      <c r="Q49" s="2"/>
      <c r="R49" s="6">
        <f t="shared" si="32"/>
        <v>2.4891749441232664E-3</v>
      </c>
      <c r="S49" s="2"/>
      <c r="T49" s="7">
        <v>3175</v>
      </c>
      <c r="U49" s="2"/>
      <c r="V49" s="6">
        <f t="shared" si="33"/>
        <v>6.3780250420346993E-3</v>
      </c>
      <c r="W49" s="2"/>
      <c r="X49" s="7">
        <f t="shared" si="34"/>
        <v>-1906.93</v>
      </c>
      <c r="Y49" s="2"/>
      <c r="Z49" s="6">
        <f t="shared" si="35"/>
        <v>-0.600607874015748</v>
      </c>
    </row>
    <row r="50" spans="1:26" s="27" customFormat="1" outlineLevel="1" collapsed="1" x14ac:dyDescent="0.25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-2.1</v>
      </c>
      <c r="E50" s="1"/>
      <c r="F50" s="5">
        <f t="shared" si="28"/>
        <v>-4.1222230497203314E-6</v>
      </c>
      <c r="G50" s="1"/>
      <c r="H50" s="1">
        <f>SUM(OSRRefH22_3x_0)</f>
        <v>43</v>
      </c>
      <c r="I50" s="1"/>
      <c r="J50" s="5">
        <f t="shared" si="29"/>
        <v>8.6379551750391206E-5</v>
      </c>
      <c r="K50" s="1"/>
      <c r="L50" s="1">
        <f t="shared" si="30"/>
        <v>-45.1</v>
      </c>
      <c r="M50" s="1"/>
      <c r="N50" s="5">
        <f t="shared" si="31"/>
        <v>-1.0488372093023257</v>
      </c>
      <c r="O50" s="14"/>
      <c r="P50" s="1">
        <f>SUM(OSRRefP22_3x_0)</f>
        <v>-2.1</v>
      </c>
      <c r="Q50" s="1"/>
      <c r="R50" s="5">
        <f t="shared" si="32"/>
        <v>-4.1222230497203314E-6</v>
      </c>
      <c r="S50" s="1"/>
      <c r="T50" s="1">
        <f>SUM(OSRRefT22_3x_0)</f>
        <v>43</v>
      </c>
      <c r="U50" s="1"/>
      <c r="V50" s="5">
        <f t="shared" si="33"/>
        <v>8.6379551750391206E-5</v>
      </c>
      <c r="W50" s="1"/>
      <c r="X50" s="1">
        <f t="shared" si="34"/>
        <v>-45.1</v>
      </c>
      <c r="Y50" s="1"/>
      <c r="Z50" s="5">
        <f t="shared" si="35"/>
        <v>-1.0488372093023257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>
        <v>-2.1</v>
      </c>
      <c r="E51" s="2"/>
      <c r="F51" s="6">
        <f t="shared" si="28"/>
        <v>-4.1222230497203314E-6</v>
      </c>
      <c r="G51" s="2"/>
      <c r="H51" s="7">
        <v>43</v>
      </c>
      <c r="I51" s="2"/>
      <c r="J51" s="6">
        <f t="shared" si="29"/>
        <v>8.6379551750391206E-5</v>
      </c>
      <c r="K51" s="2"/>
      <c r="L51" s="7">
        <f t="shared" si="30"/>
        <v>-45.1</v>
      </c>
      <c r="M51" s="2"/>
      <c r="N51" s="6">
        <f t="shared" si="31"/>
        <v>-1.0488372093023257</v>
      </c>
      <c r="O51" s="11"/>
      <c r="P51" s="7">
        <v>-2.1</v>
      </c>
      <c r="Q51" s="2"/>
      <c r="R51" s="6">
        <f t="shared" si="32"/>
        <v>-4.1222230497203314E-6</v>
      </c>
      <c r="S51" s="2"/>
      <c r="T51" s="7">
        <v>43</v>
      </c>
      <c r="U51" s="2"/>
      <c r="V51" s="6">
        <f t="shared" si="33"/>
        <v>8.6379551750391206E-5</v>
      </c>
      <c r="W51" s="2"/>
      <c r="X51" s="7">
        <f t="shared" si="34"/>
        <v>-45.1</v>
      </c>
      <c r="Y51" s="2"/>
      <c r="Z51" s="6">
        <f t="shared" si="35"/>
        <v>-1.0488372093023257</v>
      </c>
    </row>
    <row r="52" spans="1:26" s="24" customFormat="1" hidden="1" outlineLevel="2" x14ac:dyDescent="0.25">
      <c r="A52" s="29"/>
      <c r="B52" s="11" t="str">
        <f>CONCATENATE("          ", "6342", " - ", "BAD DEBT")</f>
        <v xml:space="preserve">          6342 - BAD DEBT</v>
      </c>
      <c r="C52" s="11"/>
      <c r="D52" s="7"/>
      <c r="E52" s="2"/>
      <c r="F52" s="6">
        <f t="shared" si="28"/>
        <v>0</v>
      </c>
      <c r="G52" s="2"/>
      <c r="H52" s="7">
        <v>0</v>
      </c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/>
      <c r="Q52" s="2"/>
      <c r="R52" s="6">
        <f t="shared" si="32"/>
        <v>0</v>
      </c>
      <c r="S52" s="2"/>
      <c r="T52" s="7">
        <v>0</v>
      </c>
      <c r="U52" s="2"/>
      <c r="V52" s="6">
        <f t="shared" si="33"/>
        <v>0</v>
      </c>
      <c r="W52" s="2"/>
      <c r="X52" s="7">
        <f t="shared" si="34"/>
        <v>0</v>
      </c>
      <c r="Y52" s="2"/>
      <c r="Z52" s="6">
        <f t="shared" si="35"/>
        <v>0</v>
      </c>
    </row>
    <row r="53" spans="1:26" s="27" customFormat="1" outlineLevel="1" collapsed="1" x14ac:dyDescent="0.25">
      <c r="A53" s="28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373.38</v>
      </c>
      <c r="E53" s="1"/>
      <c r="F53" s="5">
        <f t="shared" ref="F53:F72" si="36">IF(D$12=0,0,D53/D$12)</f>
        <v>7.3293125824027479E-4</v>
      </c>
      <c r="G53" s="1"/>
      <c r="H53" s="1">
        <f>SUM(OSRRefH22_4x_0)</f>
        <v>415</v>
      </c>
      <c r="I53" s="1"/>
      <c r="J53" s="5">
        <f t="shared" ref="J53:J72" si="37">IF(H$12=0,0,H53/H$12)</f>
        <v>8.3366311573051979E-4</v>
      </c>
      <c r="K53" s="1"/>
      <c r="L53" s="1">
        <f t="shared" ref="L53:L72" si="38">+D53-H53</f>
        <v>-41.620000000000005</v>
      </c>
      <c r="M53" s="1"/>
      <c r="N53" s="5">
        <f t="shared" ref="N53:N72" si="39">IF(H53=0,0,L53/H53)</f>
        <v>-0.10028915662650603</v>
      </c>
      <c r="O53" s="14"/>
      <c r="P53" s="1">
        <f>SUM(OSRRefP22_4x_0)</f>
        <v>373.38</v>
      </c>
      <c r="Q53" s="1"/>
      <c r="R53" s="5">
        <f t="shared" ref="R53:R72" si="40">IF(P$12=0,0,P53/P$12)</f>
        <v>7.3293125824027479E-4</v>
      </c>
      <c r="S53" s="1"/>
      <c r="T53" s="1">
        <f>SUM(OSRRefT22_4x_0)</f>
        <v>415</v>
      </c>
      <c r="U53" s="1"/>
      <c r="V53" s="5">
        <f t="shared" ref="V53:V72" si="41">IF(T$12=0,0,T53/T$12)</f>
        <v>8.3366311573051979E-4</v>
      </c>
      <c r="W53" s="1"/>
      <c r="X53" s="1">
        <f t="shared" ref="X53:X72" si="42">+P53-T53</f>
        <v>-41.620000000000005</v>
      </c>
      <c r="Y53" s="1"/>
      <c r="Z53" s="5">
        <f t="shared" ref="Z53:Z72" si="43">IF(T53=0,0,X53/T53)</f>
        <v>-0.10028915662650603</v>
      </c>
    </row>
    <row r="54" spans="1:26" s="24" customFormat="1" hidden="1" outlineLevel="2" x14ac:dyDescent="0.25">
      <c r="A54" s="29"/>
      <c r="B54" s="11" t="str">
        <f>CONCATENATE("          ", "6381", " - ", "BANK/CREDIT CARD FEES")</f>
        <v xml:space="preserve">          6381 - BANK/CREDIT CARD FEES</v>
      </c>
      <c r="C54" s="11"/>
      <c r="D54" s="7">
        <v>373.38</v>
      </c>
      <c r="E54" s="2"/>
      <c r="F54" s="6">
        <f t="shared" si="36"/>
        <v>7.3293125824027479E-4</v>
      </c>
      <c r="G54" s="2"/>
      <c r="H54" s="7">
        <v>415</v>
      </c>
      <c r="I54" s="2"/>
      <c r="J54" s="6">
        <f t="shared" si="37"/>
        <v>8.3366311573051979E-4</v>
      </c>
      <c r="K54" s="2"/>
      <c r="L54" s="7">
        <f t="shared" si="38"/>
        <v>-41.620000000000005</v>
      </c>
      <c r="M54" s="2"/>
      <c r="N54" s="6">
        <f t="shared" si="39"/>
        <v>-0.10028915662650603</v>
      </c>
      <c r="O54" s="11"/>
      <c r="P54" s="7">
        <v>373.38</v>
      </c>
      <c r="Q54" s="2"/>
      <c r="R54" s="6">
        <f t="shared" si="40"/>
        <v>7.3293125824027479E-4</v>
      </c>
      <c r="S54" s="2"/>
      <c r="T54" s="7">
        <v>415</v>
      </c>
      <c r="U54" s="2"/>
      <c r="V54" s="6">
        <f t="shared" si="41"/>
        <v>8.3366311573051979E-4</v>
      </c>
      <c r="W54" s="2"/>
      <c r="X54" s="7">
        <f t="shared" si="42"/>
        <v>-41.620000000000005</v>
      </c>
      <c r="Y54" s="2"/>
      <c r="Z54" s="6">
        <f t="shared" si="43"/>
        <v>-0.10028915662650603</v>
      </c>
    </row>
    <row r="55" spans="1:26" s="27" customFormat="1" outlineLevel="1" collapsed="1" x14ac:dyDescent="0.25">
      <c r="A55" s="28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SUM(OSRRefD22_5x_0)</f>
        <v>0</v>
      </c>
      <c r="E55" s="1"/>
      <c r="F55" s="5">
        <f t="shared" si="36"/>
        <v>0</v>
      </c>
      <c r="G55" s="1"/>
      <c r="H55" s="1">
        <f>SUM(OSRRefH22_5x_0)</f>
        <v>100</v>
      </c>
      <c r="I55" s="1"/>
      <c r="J55" s="5">
        <f t="shared" si="37"/>
        <v>2.0088267848928189E-4</v>
      </c>
      <c r="K55" s="1"/>
      <c r="L55" s="1">
        <f t="shared" si="38"/>
        <v>-100</v>
      </c>
      <c r="M55" s="1"/>
      <c r="N55" s="5">
        <f t="shared" si="39"/>
        <v>-1</v>
      </c>
      <c r="O55" s="14"/>
      <c r="P55" s="1">
        <f>SUM(OSRRefP22_5x_0)</f>
        <v>0</v>
      </c>
      <c r="Q55" s="1"/>
      <c r="R55" s="5">
        <f t="shared" si="40"/>
        <v>0</v>
      </c>
      <c r="S55" s="1"/>
      <c r="T55" s="1">
        <f>SUM(OSRRefT22_5x_0)</f>
        <v>100</v>
      </c>
      <c r="U55" s="1"/>
      <c r="V55" s="5">
        <f t="shared" si="41"/>
        <v>2.0088267848928189E-4</v>
      </c>
      <c r="W55" s="1"/>
      <c r="X55" s="1">
        <f t="shared" si="42"/>
        <v>-100</v>
      </c>
      <c r="Y55" s="1"/>
      <c r="Z55" s="5">
        <f t="shared" si="43"/>
        <v>-1</v>
      </c>
    </row>
    <row r="56" spans="1:26" s="24" customFormat="1" hidden="1" outlineLevel="2" x14ac:dyDescent="0.25">
      <c r="A56" s="29"/>
      <c r="B56" s="11" t="str">
        <f>CONCATENATE("          ", "6396", " - ", "COUPONS-CHARTROOM")</f>
        <v xml:space="preserve">          6396 - COUPONS-CHARTROOM</v>
      </c>
      <c r="C56" s="11"/>
      <c r="D56" s="7"/>
      <c r="E56" s="2"/>
      <c r="F56" s="6">
        <f t="shared" si="36"/>
        <v>0</v>
      </c>
      <c r="G56" s="2"/>
      <c r="H56" s="7">
        <v>100</v>
      </c>
      <c r="I56" s="2"/>
      <c r="J56" s="6">
        <f t="shared" si="37"/>
        <v>2.0088267848928189E-4</v>
      </c>
      <c r="K56" s="2"/>
      <c r="L56" s="7">
        <f t="shared" si="38"/>
        <v>-100</v>
      </c>
      <c r="M56" s="2"/>
      <c r="N56" s="6">
        <f t="shared" si="39"/>
        <v>-1</v>
      </c>
      <c r="O56" s="11"/>
      <c r="P56" s="7"/>
      <c r="Q56" s="2"/>
      <c r="R56" s="6">
        <f t="shared" si="40"/>
        <v>0</v>
      </c>
      <c r="S56" s="2"/>
      <c r="T56" s="7">
        <v>100</v>
      </c>
      <c r="U56" s="2"/>
      <c r="V56" s="6">
        <f t="shared" si="41"/>
        <v>2.0088267848928189E-4</v>
      </c>
      <c r="W56" s="2"/>
      <c r="X56" s="7">
        <f t="shared" si="42"/>
        <v>-100</v>
      </c>
      <c r="Y56" s="2"/>
      <c r="Z56" s="6">
        <f t="shared" si="43"/>
        <v>-1</v>
      </c>
    </row>
    <row r="57" spans="1:26" s="27" customFormat="1" outlineLevel="1" collapsed="1" x14ac:dyDescent="0.25">
      <c r="A57" s="28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0</v>
      </c>
      <c r="E57" s="1"/>
      <c r="F57" s="5">
        <f t="shared" si="36"/>
        <v>0</v>
      </c>
      <c r="G57" s="1"/>
      <c r="H57" s="1">
        <f>SUM(OSRRefH22_6x_0)</f>
        <v>595</v>
      </c>
      <c r="I57" s="1"/>
      <c r="J57" s="5">
        <f t="shared" si="37"/>
        <v>1.1952519370112271E-3</v>
      </c>
      <c r="K57" s="1"/>
      <c r="L57" s="1">
        <f t="shared" si="38"/>
        <v>-595</v>
      </c>
      <c r="M57" s="1"/>
      <c r="N57" s="5">
        <f t="shared" si="39"/>
        <v>-1</v>
      </c>
      <c r="O57" s="14"/>
      <c r="P57" s="1">
        <f>SUM(OSRRefP22_6x_0)</f>
        <v>0</v>
      </c>
      <c r="Q57" s="1"/>
      <c r="R57" s="5">
        <f t="shared" si="40"/>
        <v>0</v>
      </c>
      <c r="S57" s="1"/>
      <c r="T57" s="1">
        <f>SUM(OSRRefT22_6x_0)</f>
        <v>595</v>
      </c>
      <c r="U57" s="1"/>
      <c r="V57" s="5">
        <f t="shared" si="41"/>
        <v>1.1952519370112271E-3</v>
      </c>
      <c r="W57" s="1"/>
      <c r="X57" s="1">
        <f t="shared" si="42"/>
        <v>-595</v>
      </c>
      <c r="Y57" s="1"/>
      <c r="Z57" s="5">
        <f t="shared" si="43"/>
        <v>-1</v>
      </c>
    </row>
    <row r="58" spans="1:26" s="24" customFormat="1" hidden="1" outlineLevel="2" x14ac:dyDescent="0.25">
      <c r="A58" s="29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36"/>
        <v>0</v>
      </c>
      <c r="G58" s="2"/>
      <c r="H58" s="7">
        <v>595</v>
      </c>
      <c r="I58" s="2"/>
      <c r="J58" s="6">
        <f t="shared" si="37"/>
        <v>1.1952519370112271E-3</v>
      </c>
      <c r="K58" s="2"/>
      <c r="L58" s="7">
        <f t="shared" si="38"/>
        <v>-595</v>
      </c>
      <c r="M58" s="2"/>
      <c r="N58" s="6">
        <f t="shared" si="39"/>
        <v>-1</v>
      </c>
      <c r="O58" s="11"/>
      <c r="P58" s="7"/>
      <c r="Q58" s="2"/>
      <c r="R58" s="6">
        <f t="shared" si="40"/>
        <v>0</v>
      </c>
      <c r="S58" s="2"/>
      <c r="T58" s="7">
        <v>595</v>
      </c>
      <c r="U58" s="2"/>
      <c r="V58" s="6">
        <f t="shared" si="41"/>
        <v>1.1952519370112271E-3</v>
      </c>
      <c r="W58" s="2"/>
      <c r="X58" s="7">
        <f t="shared" si="42"/>
        <v>-595</v>
      </c>
      <c r="Y58" s="2"/>
      <c r="Z58" s="6">
        <f t="shared" si="43"/>
        <v>-1</v>
      </c>
    </row>
    <row r="59" spans="1:26" s="27" customFormat="1" outlineLevel="1" collapsed="1" x14ac:dyDescent="0.25">
      <c r="A59" s="28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251.63</v>
      </c>
      <c r="E59" s="1"/>
      <c r="F59" s="5">
        <f t="shared" si="36"/>
        <v>4.9394046952434606E-4</v>
      </c>
      <c r="G59" s="1"/>
      <c r="H59" s="1">
        <f>SUM(OSRRefH22_7x_0)</f>
        <v>670</v>
      </c>
      <c r="I59" s="1"/>
      <c r="J59" s="5">
        <f t="shared" si="37"/>
        <v>1.3459139458781885E-3</v>
      </c>
      <c r="K59" s="1"/>
      <c r="L59" s="1">
        <f t="shared" si="38"/>
        <v>-418.37</v>
      </c>
      <c r="M59" s="1"/>
      <c r="N59" s="5">
        <f t="shared" si="39"/>
        <v>-0.62443283582089548</v>
      </c>
      <c r="O59" s="14"/>
      <c r="P59" s="1">
        <f>SUM(OSRRefP22_7x_0)</f>
        <v>251.63</v>
      </c>
      <c r="Q59" s="1"/>
      <c r="R59" s="5">
        <f t="shared" si="40"/>
        <v>4.9394046952434606E-4</v>
      </c>
      <c r="S59" s="1"/>
      <c r="T59" s="1">
        <f>SUM(OSRRefT22_7x_0)</f>
        <v>670</v>
      </c>
      <c r="U59" s="1"/>
      <c r="V59" s="5">
        <f t="shared" si="41"/>
        <v>1.3459139458781885E-3</v>
      </c>
      <c r="W59" s="1"/>
      <c r="X59" s="1">
        <f t="shared" si="42"/>
        <v>-418.37</v>
      </c>
      <c r="Y59" s="1"/>
      <c r="Z59" s="5">
        <f t="shared" si="43"/>
        <v>-0.62443283582089548</v>
      </c>
    </row>
    <row r="60" spans="1:26" s="24" customFormat="1" hidden="1" outlineLevel="2" x14ac:dyDescent="0.25">
      <c r="A60" s="29"/>
      <c r="B60" s="11" t="str">
        <f>CONCATENATE("          ", "6351", " - ", "EQUIPMENT RENTAL")</f>
        <v xml:space="preserve">          6351 - EQUIPMENT RENTAL</v>
      </c>
      <c r="C60" s="11"/>
      <c r="D60" s="7">
        <v>251.63</v>
      </c>
      <c r="E60" s="2"/>
      <c r="F60" s="6">
        <f t="shared" si="36"/>
        <v>4.9394046952434606E-4</v>
      </c>
      <c r="G60" s="2"/>
      <c r="H60" s="7">
        <v>670</v>
      </c>
      <c r="I60" s="2"/>
      <c r="J60" s="6">
        <f t="shared" si="37"/>
        <v>1.3459139458781885E-3</v>
      </c>
      <c r="K60" s="2"/>
      <c r="L60" s="7">
        <f t="shared" si="38"/>
        <v>-418.37</v>
      </c>
      <c r="M60" s="2"/>
      <c r="N60" s="6">
        <f t="shared" si="39"/>
        <v>-0.62443283582089548</v>
      </c>
      <c r="O60" s="11"/>
      <c r="P60" s="7">
        <v>251.63</v>
      </c>
      <c r="Q60" s="2"/>
      <c r="R60" s="6">
        <f t="shared" si="40"/>
        <v>4.9394046952434606E-4</v>
      </c>
      <c r="S60" s="2"/>
      <c r="T60" s="7">
        <v>670</v>
      </c>
      <c r="U60" s="2"/>
      <c r="V60" s="6">
        <f t="shared" si="41"/>
        <v>1.3459139458781885E-3</v>
      </c>
      <c r="W60" s="2"/>
      <c r="X60" s="7">
        <f t="shared" si="42"/>
        <v>-418.37</v>
      </c>
      <c r="Y60" s="2"/>
      <c r="Z60" s="6">
        <f t="shared" si="43"/>
        <v>-0.62443283582089548</v>
      </c>
    </row>
    <row r="61" spans="1:26" s="27" customFormat="1" outlineLevel="1" collapsed="1" x14ac:dyDescent="0.25">
      <c r="A61" s="28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1</v>
      </c>
      <c r="I61" s="1"/>
      <c r="J61" s="5">
        <f t="shared" si="37"/>
        <v>2.0088267848928188E-6</v>
      </c>
      <c r="K61" s="1"/>
      <c r="L61" s="1">
        <f t="shared" si="38"/>
        <v>-1</v>
      </c>
      <c r="M61" s="1"/>
      <c r="N61" s="5">
        <f t="shared" si="39"/>
        <v>-1</v>
      </c>
      <c r="O61" s="14"/>
      <c r="P61" s="1">
        <f>SUM(OSRRefP22_8x_0)</f>
        <v>0</v>
      </c>
      <c r="Q61" s="1"/>
      <c r="R61" s="5">
        <f t="shared" si="40"/>
        <v>0</v>
      </c>
      <c r="S61" s="1"/>
      <c r="T61" s="1">
        <f>SUM(OSRRefT22_8x_0)</f>
        <v>1</v>
      </c>
      <c r="U61" s="1"/>
      <c r="V61" s="5">
        <f t="shared" si="41"/>
        <v>2.0088267848928188E-6</v>
      </c>
      <c r="W61" s="1"/>
      <c r="X61" s="1">
        <f t="shared" si="42"/>
        <v>-1</v>
      </c>
      <c r="Y61" s="1"/>
      <c r="Z61" s="5">
        <f t="shared" si="43"/>
        <v>-1</v>
      </c>
    </row>
    <row r="62" spans="1:26" s="24" customFormat="1" hidden="1" outlineLevel="2" x14ac:dyDescent="0.25">
      <c r="A62" s="29"/>
      <c r="B62" s="11" t="str">
        <f>CONCATENATE("          ", "6307", " - ", "POSTAGE")</f>
        <v xml:space="preserve">          6307 - POSTAGE</v>
      </c>
      <c r="C62" s="11"/>
      <c r="D62" s="7"/>
      <c r="E62" s="2"/>
      <c r="F62" s="6">
        <f t="shared" si="36"/>
        <v>0</v>
      </c>
      <c r="G62" s="2"/>
      <c r="H62" s="7">
        <v>1</v>
      </c>
      <c r="I62" s="2"/>
      <c r="J62" s="6">
        <f t="shared" si="37"/>
        <v>2.0088267848928188E-6</v>
      </c>
      <c r="K62" s="2"/>
      <c r="L62" s="7">
        <f t="shared" si="38"/>
        <v>-1</v>
      </c>
      <c r="M62" s="2"/>
      <c r="N62" s="6">
        <f t="shared" si="39"/>
        <v>-1</v>
      </c>
      <c r="O62" s="11"/>
      <c r="P62" s="7"/>
      <c r="Q62" s="2"/>
      <c r="R62" s="6">
        <f t="shared" si="40"/>
        <v>0</v>
      </c>
      <c r="S62" s="2"/>
      <c r="T62" s="7">
        <v>1</v>
      </c>
      <c r="U62" s="2"/>
      <c r="V62" s="6">
        <f t="shared" si="41"/>
        <v>2.0088267848928188E-6</v>
      </c>
      <c r="W62" s="2"/>
      <c r="X62" s="7">
        <f t="shared" si="42"/>
        <v>-1</v>
      </c>
      <c r="Y62" s="2"/>
      <c r="Z62" s="6">
        <f t="shared" si="43"/>
        <v>-1</v>
      </c>
    </row>
    <row r="63" spans="1:26" s="27" customFormat="1" outlineLevel="1" collapsed="1" x14ac:dyDescent="0.25">
      <c r="A63" s="28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SUM(OSRRefD22_9x_0)</f>
        <v>5625.86</v>
      </c>
      <c r="E63" s="1"/>
      <c r="F63" s="5">
        <f t="shared" si="36"/>
        <v>1.1043357031666486E-2</v>
      </c>
      <c r="G63" s="1"/>
      <c r="H63" s="1">
        <f>SUM(OSRRefH22_9x_0)</f>
        <v>3775</v>
      </c>
      <c r="I63" s="1"/>
      <c r="J63" s="5">
        <f t="shared" si="37"/>
        <v>7.5833211129703914E-3</v>
      </c>
      <c r="K63" s="1"/>
      <c r="L63" s="1">
        <f t="shared" si="38"/>
        <v>1850.8599999999997</v>
      </c>
      <c r="M63" s="1"/>
      <c r="N63" s="5">
        <f t="shared" si="39"/>
        <v>0.49029403973509927</v>
      </c>
      <c r="O63" s="14"/>
      <c r="P63" s="1">
        <f>SUM(OSRRefP22_9x_0)</f>
        <v>5625.86</v>
      </c>
      <c r="Q63" s="1"/>
      <c r="R63" s="5">
        <f t="shared" si="40"/>
        <v>1.1043357031666486E-2</v>
      </c>
      <c r="S63" s="1"/>
      <c r="T63" s="1">
        <f>SUM(OSRRefT22_9x_0)</f>
        <v>3775</v>
      </c>
      <c r="U63" s="1"/>
      <c r="V63" s="5">
        <f t="shared" si="41"/>
        <v>7.5833211129703914E-3</v>
      </c>
      <c r="W63" s="1"/>
      <c r="X63" s="1">
        <f t="shared" si="42"/>
        <v>1850.8599999999997</v>
      </c>
      <c r="Y63" s="1"/>
      <c r="Z63" s="5">
        <f t="shared" si="43"/>
        <v>0.49029403973509927</v>
      </c>
    </row>
    <row r="64" spans="1:26" s="24" customFormat="1" hidden="1" outlineLevel="2" x14ac:dyDescent="0.25">
      <c r="A64" s="29"/>
      <c r="B64" s="11" t="str">
        <f>CONCATENATE("          ", "6279", " - ", "GENERAL EXPENSE")</f>
        <v xml:space="preserve">          6279 - GENERAL EXPENSE</v>
      </c>
      <c r="C64" s="11"/>
      <c r="D64" s="7">
        <v>5625.86</v>
      </c>
      <c r="E64" s="2"/>
      <c r="F64" s="6">
        <f t="shared" si="36"/>
        <v>1.1043357031666486E-2</v>
      </c>
      <c r="G64" s="2"/>
      <c r="H64" s="7">
        <v>3775</v>
      </c>
      <c r="I64" s="2"/>
      <c r="J64" s="6">
        <f t="shared" si="37"/>
        <v>7.5833211129703914E-3</v>
      </c>
      <c r="K64" s="2"/>
      <c r="L64" s="7">
        <f t="shared" si="38"/>
        <v>1850.8599999999997</v>
      </c>
      <c r="M64" s="2"/>
      <c r="N64" s="6">
        <f t="shared" si="39"/>
        <v>0.49029403973509927</v>
      </c>
      <c r="O64" s="11"/>
      <c r="P64" s="7">
        <v>5625.86</v>
      </c>
      <c r="Q64" s="2"/>
      <c r="R64" s="6">
        <f t="shared" si="40"/>
        <v>1.1043357031666486E-2</v>
      </c>
      <c r="S64" s="2"/>
      <c r="T64" s="7">
        <v>3775</v>
      </c>
      <c r="U64" s="2"/>
      <c r="V64" s="6">
        <f t="shared" si="41"/>
        <v>7.5833211129703914E-3</v>
      </c>
      <c r="W64" s="2"/>
      <c r="X64" s="7">
        <f t="shared" si="42"/>
        <v>1850.8599999999997</v>
      </c>
      <c r="Y64" s="2"/>
      <c r="Z64" s="6">
        <f t="shared" si="43"/>
        <v>0.49029403973509927</v>
      </c>
    </row>
    <row r="65" spans="1:26" s="27" customFormat="1" outlineLevel="1" collapsed="1" x14ac:dyDescent="0.25">
      <c r="A65" s="28"/>
      <c r="B65" s="14" t="str">
        <f>CONCATENATE("     ","Insurance                                         ")</f>
        <v xml:space="preserve">     Insurance                                         </v>
      </c>
      <c r="C65" s="14"/>
      <c r="D65" s="1">
        <f>SUM(OSRRefD22_10x_0)</f>
        <v>5.9</v>
      </c>
      <c r="E65" s="1"/>
      <c r="F65" s="5">
        <f t="shared" si="36"/>
        <v>1.158148380635712E-5</v>
      </c>
      <c r="G65" s="1"/>
      <c r="H65" s="1">
        <f>SUM(OSRRefH22_10x_0)</f>
        <v>5</v>
      </c>
      <c r="I65" s="1"/>
      <c r="J65" s="5">
        <f t="shared" si="37"/>
        <v>1.0044133924464094E-5</v>
      </c>
      <c r="K65" s="1"/>
      <c r="L65" s="1">
        <f t="shared" si="38"/>
        <v>0.90000000000000036</v>
      </c>
      <c r="M65" s="1"/>
      <c r="N65" s="5">
        <f t="shared" si="39"/>
        <v>0.18000000000000008</v>
      </c>
      <c r="O65" s="14"/>
      <c r="P65" s="1">
        <f>SUM(OSRRefP22_10x_0)</f>
        <v>5.9</v>
      </c>
      <c r="Q65" s="1"/>
      <c r="R65" s="5">
        <f t="shared" si="40"/>
        <v>1.158148380635712E-5</v>
      </c>
      <c r="S65" s="1"/>
      <c r="T65" s="1">
        <f>SUM(OSRRefT22_10x_0)</f>
        <v>5</v>
      </c>
      <c r="U65" s="1"/>
      <c r="V65" s="5">
        <f t="shared" si="41"/>
        <v>1.0044133924464094E-5</v>
      </c>
      <c r="W65" s="1"/>
      <c r="X65" s="1">
        <f t="shared" si="42"/>
        <v>0.90000000000000036</v>
      </c>
      <c r="Y65" s="1"/>
      <c r="Z65" s="5">
        <f t="shared" si="43"/>
        <v>0.18000000000000008</v>
      </c>
    </row>
    <row r="66" spans="1:26" s="24" customFormat="1" hidden="1" outlineLevel="2" x14ac:dyDescent="0.25">
      <c r="A66" s="29"/>
      <c r="B66" s="11" t="str">
        <f>CONCATENATE("          ", "6314", " - ", "LIABILITY INSURANCE")</f>
        <v xml:space="preserve">          6314 - LIABILITY INSURANCE</v>
      </c>
      <c r="C66" s="11"/>
      <c r="D66" s="7">
        <v>5.9</v>
      </c>
      <c r="E66" s="2"/>
      <c r="F66" s="6">
        <f t="shared" si="36"/>
        <v>1.158148380635712E-5</v>
      </c>
      <c r="G66" s="2"/>
      <c r="H66" s="7">
        <v>5</v>
      </c>
      <c r="I66" s="2"/>
      <c r="J66" s="6">
        <f t="shared" si="37"/>
        <v>1.0044133924464094E-5</v>
      </c>
      <c r="K66" s="2"/>
      <c r="L66" s="7">
        <f t="shared" si="38"/>
        <v>0.90000000000000036</v>
      </c>
      <c r="M66" s="2"/>
      <c r="N66" s="6">
        <f t="shared" si="39"/>
        <v>0.18000000000000008</v>
      </c>
      <c r="O66" s="11"/>
      <c r="P66" s="7">
        <v>5.9</v>
      </c>
      <c r="Q66" s="2"/>
      <c r="R66" s="6">
        <f t="shared" si="40"/>
        <v>1.158148380635712E-5</v>
      </c>
      <c r="S66" s="2"/>
      <c r="T66" s="7">
        <v>5</v>
      </c>
      <c r="U66" s="2"/>
      <c r="V66" s="6">
        <f t="shared" si="41"/>
        <v>1.0044133924464094E-5</v>
      </c>
      <c r="W66" s="2"/>
      <c r="X66" s="7">
        <f t="shared" si="42"/>
        <v>0.90000000000000036</v>
      </c>
      <c r="Y66" s="2"/>
      <c r="Z66" s="6">
        <f t="shared" si="43"/>
        <v>0.18000000000000008</v>
      </c>
    </row>
    <row r="67" spans="1:26" s="27" customFormat="1" outlineLevel="1" collapsed="1" x14ac:dyDescent="0.25">
      <c r="A67" s="28"/>
      <c r="B67" s="14" t="str">
        <f>CONCATENATE("     ","R/H Commissions                                   ")</f>
        <v xml:space="preserve">     R/H Commissions                                   </v>
      </c>
      <c r="C67" s="14"/>
      <c r="D67" s="1">
        <f>SUM(OSRRefD22_11x_0)</f>
        <v>39712.65</v>
      </c>
      <c r="E67" s="1"/>
      <c r="F67" s="5">
        <f t="shared" si="36"/>
        <v>7.7954476759750521E-2</v>
      </c>
      <c r="G67" s="1"/>
      <c r="H67" s="1">
        <f>SUM(OSRRefH22_11x_0)</f>
        <v>39824</v>
      </c>
      <c r="I67" s="1"/>
      <c r="J67" s="5">
        <f t="shared" si="37"/>
        <v>7.9999517881571613E-2</v>
      </c>
      <c r="K67" s="1"/>
      <c r="L67" s="1">
        <f t="shared" si="38"/>
        <v>-111.34999999999854</v>
      </c>
      <c r="M67" s="1"/>
      <c r="N67" s="5">
        <f t="shared" si="39"/>
        <v>-2.796052631578911E-3</v>
      </c>
      <c r="O67" s="14"/>
      <c r="P67" s="1">
        <f>SUM(OSRRefP22_11x_0)</f>
        <v>39712.65</v>
      </c>
      <c r="Q67" s="1"/>
      <c r="R67" s="5">
        <f t="shared" si="40"/>
        <v>7.7954476759750521E-2</v>
      </c>
      <c r="S67" s="1"/>
      <c r="T67" s="1">
        <f>SUM(OSRRefT22_11x_0)</f>
        <v>39824</v>
      </c>
      <c r="U67" s="1"/>
      <c r="V67" s="5">
        <f t="shared" si="41"/>
        <v>7.9999517881571613E-2</v>
      </c>
      <c r="W67" s="1"/>
      <c r="X67" s="1">
        <f t="shared" si="42"/>
        <v>-111.34999999999854</v>
      </c>
      <c r="Y67" s="1"/>
      <c r="Z67" s="5">
        <f t="shared" si="43"/>
        <v>-2.796052631578911E-3</v>
      </c>
    </row>
    <row r="68" spans="1:26" s="24" customFormat="1" hidden="1" outlineLevel="2" x14ac:dyDescent="0.25">
      <c r="A68" s="29"/>
      <c r="B68" s="11" t="str">
        <f>CONCATENATE("          ", "6387", " - ", "COMMISSION DUE HOUSING")</f>
        <v xml:space="preserve">          6387 - COMMISSION DUE HOUSING</v>
      </c>
      <c r="C68" s="11"/>
      <c r="D68" s="7">
        <v>39712.65</v>
      </c>
      <c r="E68" s="2"/>
      <c r="F68" s="6">
        <f t="shared" si="36"/>
        <v>7.7954476759750521E-2</v>
      </c>
      <c r="G68" s="2"/>
      <c r="H68" s="7">
        <v>39824</v>
      </c>
      <c r="I68" s="2"/>
      <c r="J68" s="6">
        <f t="shared" si="37"/>
        <v>7.9999517881571613E-2</v>
      </c>
      <c r="K68" s="2"/>
      <c r="L68" s="7">
        <f t="shared" si="38"/>
        <v>-111.34999999999854</v>
      </c>
      <c r="M68" s="2"/>
      <c r="N68" s="6">
        <f t="shared" si="39"/>
        <v>-2.796052631578911E-3</v>
      </c>
      <c r="O68" s="11"/>
      <c r="P68" s="7">
        <v>39712.65</v>
      </c>
      <c r="Q68" s="2"/>
      <c r="R68" s="6">
        <f t="shared" si="40"/>
        <v>7.7954476759750521E-2</v>
      </c>
      <c r="S68" s="2"/>
      <c r="T68" s="7">
        <v>39824</v>
      </c>
      <c r="U68" s="2"/>
      <c r="V68" s="6">
        <f t="shared" si="41"/>
        <v>7.9999517881571613E-2</v>
      </c>
      <c r="W68" s="2"/>
      <c r="X68" s="7">
        <f t="shared" si="42"/>
        <v>-111.34999999999854</v>
      </c>
      <c r="Y68" s="2"/>
      <c r="Z68" s="6">
        <f t="shared" si="43"/>
        <v>-2.796052631578911E-3</v>
      </c>
    </row>
    <row r="69" spans="1:26" s="27" customFormat="1" outlineLevel="1" collapsed="1" x14ac:dyDescent="0.25">
      <c r="A69" s="28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SUM(OSRRefD22_12x_0)</f>
        <v>8.82</v>
      </c>
      <c r="E69" s="1"/>
      <c r="F69" s="5">
        <f t="shared" si="36"/>
        <v>1.7313336808825389E-5</v>
      </c>
      <c r="G69" s="1"/>
      <c r="H69" s="1">
        <f>SUM(OSRRefH22_12x_0)</f>
        <v>2037</v>
      </c>
      <c r="I69" s="1"/>
      <c r="J69" s="5">
        <f t="shared" si="37"/>
        <v>4.0919801608266717E-3</v>
      </c>
      <c r="K69" s="1"/>
      <c r="L69" s="1">
        <f t="shared" si="38"/>
        <v>-2028.18</v>
      </c>
      <c r="M69" s="1"/>
      <c r="N69" s="5">
        <f t="shared" si="39"/>
        <v>-0.99567010309278359</v>
      </c>
      <c r="O69" s="14"/>
      <c r="P69" s="1">
        <f>SUM(OSRRefP22_12x_0)</f>
        <v>8.82</v>
      </c>
      <c r="Q69" s="1"/>
      <c r="R69" s="5">
        <f t="shared" si="40"/>
        <v>1.7313336808825389E-5</v>
      </c>
      <c r="S69" s="1"/>
      <c r="T69" s="1">
        <f>SUM(OSRRefT22_12x_0)</f>
        <v>2037</v>
      </c>
      <c r="U69" s="1"/>
      <c r="V69" s="5">
        <f t="shared" si="41"/>
        <v>4.0919801608266717E-3</v>
      </c>
      <c r="W69" s="1"/>
      <c r="X69" s="1">
        <f t="shared" si="42"/>
        <v>-2028.18</v>
      </c>
      <c r="Y69" s="1"/>
      <c r="Z69" s="5">
        <f t="shared" si="43"/>
        <v>-0.99567010309278359</v>
      </c>
    </row>
    <row r="70" spans="1:26" s="24" customFormat="1" hidden="1" outlineLevel="2" x14ac:dyDescent="0.25">
      <c r="A70" s="29"/>
      <c r="B70" s="11" t="str">
        <f>CONCATENATE("          ", "6371", " - ", "COMPUTER SOFTWARE MAINTENANCE")</f>
        <v xml:space="preserve">          6371 - COMPUTER SOFTWARE MAINTENANCE</v>
      </c>
      <c r="C70" s="11"/>
      <c r="D70" s="7"/>
      <c r="E70" s="2"/>
      <c r="F70" s="6">
        <f t="shared" si="36"/>
        <v>0</v>
      </c>
      <c r="G70" s="2"/>
      <c r="H70" s="7">
        <v>1497</v>
      </c>
      <c r="I70" s="2"/>
      <c r="J70" s="6">
        <f t="shared" si="37"/>
        <v>3.0072136969845498E-3</v>
      </c>
      <c r="K70" s="2"/>
      <c r="L70" s="7">
        <f t="shared" si="38"/>
        <v>-1497</v>
      </c>
      <c r="M70" s="2"/>
      <c r="N70" s="6">
        <f t="shared" si="39"/>
        <v>-1</v>
      </c>
      <c r="O70" s="11"/>
      <c r="P70" s="7"/>
      <c r="Q70" s="2"/>
      <c r="R70" s="6">
        <f t="shared" si="40"/>
        <v>0</v>
      </c>
      <c r="S70" s="2"/>
      <c r="T70" s="7">
        <v>1497</v>
      </c>
      <c r="U70" s="2"/>
      <c r="V70" s="6">
        <f t="shared" si="41"/>
        <v>3.0072136969845498E-3</v>
      </c>
      <c r="W70" s="2"/>
      <c r="X70" s="7">
        <f t="shared" si="42"/>
        <v>-1497</v>
      </c>
      <c r="Y70" s="2"/>
      <c r="Z70" s="6">
        <f t="shared" si="43"/>
        <v>-1</v>
      </c>
    </row>
    <row r="71" spans="1:26" s="24" customFormat="1" hidden="1" outlineLevel="2" x14ac:dyDescent="0.25">
      <c r="A71" s="29"/>
      <c r="B71" s="11" t="str">
        <f>CONCATENATE("          ", "6373", " - ", "MAINTENANCE CONTRACTS")</f>
        <v xml:space="preserve">          6373 - MAINTENANCE CONTRACTS</v>
      </c>
      <c r="C71" s="11"/>
      <c r="D71" s="7">
        <v>8.82</v>
      </c>
      <c r="E71" s="2"/>
      <c r="F71" s="6">
        <f t="shared" si="36"/>
        <v>1.7313336808825389E-5</v>
      </c>
      <c r="G71" s="2"/>
      <c r="H71" s="7">
        <v>30</v>
      </c>
      <c r="I71" s="2"/>
      <c r="J71" s="6">
        <f t="shared" si="37"/>
        <v>6.0264803546784563E-5</v>
      </c>
      <c r="K71" s="2"/>
      <c r="L71" s="7">
        <f t="shared" si="38"/>
        <v>-21.18</v>
      </c>
      <c r="M71" s="2"/>
      <c r="N71" s="6">
        <f t="shared" si="39"/>
        <v>-0.70599999999999996</v>
      </c>
      <c r="O71" s="11"/>
      <c r="P71" s="7">
        <v>8.82</v>
      </c>
      <c r="Q71" s="2"/>
      <c r="R71" s="6">
        <f t="shared" si="40"/>
        <v>1.7313336808825389E-5</v>
      </c>
      <c r="S71" s="2"/>
      <c r="T71" s="7">
        <v>30</v>
      </c>
      <c r="U71" s="2"/>
      <c r="V71" s="6">
        <f t="shared" si="41"/>
        <v>6.0264803546784563E-5</v>
      </c>
      <c r="W71" s="2"/>
      <c r="X71" s="7">
        <f t="shared" si="42"/>
        <v>-21.18</v>
      </c>
      <c r="Y71" s="2"/>
      <c r="Z71" s="6">
        <f t="shared" si="43"/>
        <v>-0.70599999999999996</v>
      </c>
    </row>
    <row r="72" spans="1:26" s="24" customFormat="1" hidden="1" outlineLevel="2" x14ac:dyDescent="0.25">
      <c r="A72" s="29"/>
      <c r="B72" s="11" t="str">
        <f>CONCATENATE("          ", "6375", " - ", "OUTSIDE REPAIRS &amp; MAINTENANCE")</f>
        <v xml:space="preserve">          6375 - OUTSIDE REPAIRS &amp; MAINTENANCE</v>
      </c>
      <c r="C72" s="11"/>
      <c r="D72" s="7"/>
      <c r="E72" s="2"/>
      <c r="F72" s="6">
        <f t="shared" si="36"/>
        <v>0</v>
      </c>
      <c r="G72" s="2"/>
      <c r="H72" s="7">
        <v>510</v>
      </c>
      <c r="I72" s="2"/>
      <c r="J72" s="6">
        <f t="shared" si="37"/>
        <v>1.0245016602953376E-3</v>
      </c>
      <c r="K72" s="2"/>
      <c r="L72" s="7">
        <f t="shared" si="38"/>
        <v>-510</v>
      </c>
      <c r="M72" s="2"/>
      <c r="N72" s="6">
        <f t="shared" si="39"/>
        <v>-1</v>
      </c>
      <c r="O72" s="11"/>
      <c r="P72" s="7"/>
      <c r="Q72" s="2"/>
      <c r="R72" s="6">
        <f t="shared" si="40"/>
        <v>0</v>
      </c>
      <c r="S72" s="2"/>
      <c r="T72" s="7">
        <v>510</v>
      </c>
      <c r="U72" s="2"/>
      <c r="V72" s="6">
        <f t="shared" si="41"/>
        <v>1.0245016602953376E-3</v>
      </c>
      <c r="W72" s="2"/>
      <c r="X72" s="7">
        <f t="shared" si="42"/>
        <v>-510</v>
      </c>
      <c r="Y72" s="2"/>
      <c r="Z72" s="6">
        <f t="shared" si="43"/>
        <v>-1</v>
      </c>
    </row>
    <row r="73" spans="1:26" s="27" customFormat="1" outlineLevel="1" collapsed="1" x14ac:dyDescent="0.25">
      <c r="A73" s="28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SUM(OSRRefD22_13x_0)</f>
        <v>19561.64</v>
      </c>
      <c r="E73" s="1"/>
      <c r="F73" s="5">
        <f t="shared" ref="F73:F77" si="44">IF(D$12=0,0,D73/D$12)</f>
        <v>3.839878252301486E-2</v>
      </c>
      <c r="G73" s="1"/>
      <c r="H73" s="1">
        <f>SUM(OSRRefH22_13x_0)</f>
        <v>15587</v>
      </c>
      <c r="I73" s="1"/>
      <c r="J73" s="5">
        <f t="shared" ref="J73:J77" si="45">IF(H$12=0,0,H73/H$12)</f>
        <v>3.1311583096124369E-2</v>
      </c>
      <c r="K73" s="1"/>
      <c r="L73" s="1">
        <f t="shared" ref="L73:L77" si="46">+D73-H73</f>
        <v>3974.6399999999994</v>
      </c>
      <c r="M73" s="1"/>
      <c r="N73" s="5">
        <f t="shared" ref="N73:N77" si="47">IF(H73=0,0,L73/H73)</f>
        <v>0.25499711297876432</v>
      </c>
      <c r="O73" s="14"/>
      <c r="P73" s="1">
        <f>SUM(OSRRefP22_13x_0)</f>
        <v>19561.64</v>
      </c>
      <c r="Q73" s="1"/>
      <c r="R73" s="5">
        <f t="shared" ref="R73:R77" si="48">IF(P$12=0,0,P73/P$12)</f>
        <v>3.839878252301486E-2</v>
      </c>
      <c r="S73" s="1"/>
      <c r="T73" s="1">
        <f>SUM(OSRRefT22_13x_0)</f>
        <v>15587</v>
      </c>
      <c r="U73" s="1"/>
      <c r="V73" s="5">
        <f t="shared" ref="V73:V77" si="49">IF(T$12=0,0,T73/T$12)</f>
        <v>3.1311583096124369E-2</v>
      </c>
      <c r="W73" s="1"/>
      <c r="X73" s="1">
        <f t="shared" ref="X73:X77" si="50">+P73-T73</f>
        <v>3974.6399999999994</v>
      </c>
      <c r="Y73" s="1"/>
      <c r="Z73" s="5">
        <f t="shared" ref="Z73:Z77" si="51">IF(T73=0,0,X73/T73)</f>
        <v>0.25499711297876432</v>
      </c>
    </row>
    <row r="74" spans="1:26" s="24" customFormat="1" hidden="1" outlineLevel="2" x14ac:dyDescent="0.25">
      <c r="A74" s="29"/>
      <c r="B74" s="11" t="str">
        <f>CONCATENATE("          ", "6282", " - ", "JANITORIAL/EXTERMINATOR EXPENS")</f>
        <v xml:space="preserve">          6282 - JANITORIAL/EXTERMINATOR EXPENS</v>
      </c>
      <c r="C74" s="11"/>
      <c r="D74" s="7">
        <v>1508.3</v>
      </c>
      <c r="E74" s="2"/>
      <c r="F74" s="6">
        <f t="shared" si="44"/>
        <v>2.9607376313777025E-3</v>
      </c>
      <c r="G74" s="2"/>
      <c r="H74" s="7">
        <v>1630</v>
      </c>
      <c r="I74" s="2"/>
      <c r="J74" s="6">
        <f t="shared" si="45"/>
        <v>3.2743876593752945E-3</v>
      </c>
      <c r="K74" s="2"/>
      <c r="L74" s="7">
        <f t="shared" si="46"/>
        <v>-121.70000000000005</v>
      </c>
      <c r="M74" s="2"/>
      <c r="N74" s="6">
        <f t="shared" si="47"/>
        <v>-7.4662576687116594E-2</v>
      </c>
      <c r="O74" s="11"/>
      <c r="P74" s="7">
        <v>1508.3</v>
      </c>
      <c r="Q74" s="2"/>
      <c r="R74" s="6">
        <f t="shared" si="48"/>
        <v>2.9607376313777025E-3</v>
      </c>
      <c r="S74" s="2"/>
      <c r="T74" s="7">
        <v>1630</v>
      </c>
      <c r="U74" s="2"/>
      <c r="V74" s="6">
        <f t="shared" si="49"/>
        <v>3.2743876593752945E-3</v>
      </c>
      <c r="W74" s="2"/>
      <c r="X74" s="7">
        <f t="shared" si="50"/>
        <v>-121.70000000000005</v>
      </c>
      <c r="Y74" s="2"/>
      <c r="Z74" s="6">
        <f t="shared" si="51"/>
        <v>-7.4662576687116594E-2</v>
      </c>
    </row>
    <row r="75" spans="1:26" s="24" customFormat="1" hidden="1" outlineLevel="2" x14ac:dyDescent="0.25">
      <c r="A75" s="29"/>
      <c r="B75" s="11" t="str">
        <f>CONCATENATE("          ", "6284", " - ", "TRASH REMOVAL EXPENSE")</f>
        <v xml:space="preserve">          6284 - TRASH REMOVAL EXPENSE</v>
      </c>
      <c r="C75" s="11"/>
      <c r="D75" s="7"/>
      <c r="E75" s="2"/>
      <c r="F75" s="6">
        <f t="shared" si="44"/>
        <v>0</v>
      </c>
      <c r="G75" s="2"/>
      <c r="H75" s="7">
        <v>550</v>
      </c>
      <c r="I75" s="2"/>
      <c r="J75" s="6">
        <f t="shared" si="45"/>
        <v>1.1048547316910504E-3</v>
      </c>
      <c r="K75" s="2"/>
      <c r="L75" s="7">
        <f t="shared" si="46"/>
        <v>-550</v>
      </c>
      <c r="M75" s="2"/>
      <c r="N75" s="6">
        <f t="shared" si="47"/>
        <v>-1</v>
      </c>
      <c r="O75" s="11"/>
      <c r="P75" s="7"/>
      <c r="Q75" s="2"/>
      <c r="R75" s="6">
        <f t="shared" si="48"/>
        <v>0</v>
      </c>
      <c r="S75" s="2"/>
      <c r="T75" s="7">
        <v>550</v>
      </c>
      <c r="U75" s="2"/>
      <c r="V75" s="6">
        <f t="shared" si="49"/>
        <v>1.1048547316910504E-3</v>
      </c>
      <c r="W75" s="2"/>
      <c r="X75" s="7">
        <f t="shared" si="50"/>
        <v>-550</v>
      </c>
      <c r="Y75" s="2"/>
      <c r="Z75" s="6">
        <f t="shared" si="51"/>
        <v>-1</v>
      </c>
    </row>
    <row r="76" spans="1:26" s="24" customFormat="1" hidden="1" outlineLevel="2" x14ac:dyDescent="0.25">
      <c r="A76" s="29"/>
      <c r="B76" s="11" t="str">
        <f>CONCATENATE("          ", "6285", " - ", "JANITORIAL SERVICES")</f>
        <v xml:space="preserve">          6285 - JANITORIAL SERVICES</v>
      </c>
      <c r="C76" s="11"/>
      <c r="D76" s="7">
        <v>13011.01</v>
      </c>
      <c r="E76" s="2"/>
      <c r="F76" s="6">
        <f t="shared" si="44"/>
        <v>2.5540135867686536E-2</v>
      </c>
      <c r="G76" s="2"/>
      <c r="H76" s="7">
        <v>10207</v>
      </c>
      <c r="I76" s="2"/>
      <c r="J76" s="6">
        <f t="shared" si="45"/>
        <v>2.0504094993401001E-2</v>
      </c>
      <c r="K76" s="2"/>
      <c r="L76" s="7">
        <f t="shared" si="46"/>
        <v>2804.01</v>
      </c>
      <c r="M76" s="2"/>
      <c r="N76" s="6">
        <f t="shared" si="47"/>
        <v>0.27471441167826005</v>
      </c>
      <c r="O76" s="11"/>
      <c r="P76" s="7">
        <v>13011.01</v>
      </c>
      <c r="Q76" s="2"/>
      <c r="R76" s="6">
        <f t="shared" si="48"/>
        <v>2.5540135867686536E-2</v>
      </c>
      <c r="S76" s="2"/>
      <c r="T76" s="7">
        <v>10207</v>
      </c>
      <c r="U76" s="2"/>
      <c r="V76" s="6">
        <f t="shared" si="49"/>
        <v>2.0504094993401001E-2</v>
      </c>
      <c r="W76" s="2"/>
      <c r="X76" s="7">
        <f t="shared" si="50"/>
        <v>2804.01</v>
      </c>
      <c r="Y76" s="2"/>
      <c r="Z76" s="6">
        <f t="shared" si="51"/>
        <v>0.27471441167826005</v>
      </c>
    </row>
    <row r="77" spans="1:26" s="24" customFormat="1" hidden="1" outlineLevel="2" x14ac:dyDescent="0.25">
      <c r="A77" s="29"/>
      <c r="B77" s="11" t="str">
        <f>CONCATENATE("          ", "6286", " - ", "LAUNDRY EXPENSE")</f>
        <v xml:space="preserve">          6286 - LAUNDRY EXPENSE</v>
      </c>
      <c r="C77" s="11"/>
      <c r="D77" s="7">
        <v>5042.33</v>
      </c>
      <c r="E77" s="2"/>
      <c r="F77" s="6">
        <f t="shared" si="44"/>
        <v>9.8979090239506261E-3</v>
      </c>
      <c r="G77" s="2"/>
      <c r="H77" s="7">
        <v>3200</v>
      </c>
      <c r="I77" s="2"/>
      <c r="J77" s="6">
        <f t="shared" si="45"/>
        <v>6.4282457116570206E-3</v>
      </c>
      <c r="K77" s="2"/>
      <c r="L77" s="7">
        <f t="shared" si="46"/>
        <v>1842.33</v>
      </c>
      <c r="M77" s="2"/>
      <c r="N77" s="6">
        <f t="shared" si="47"/>
        <v>0.57572812499999992</v>
      </c>
      <c r="O77" s="11"/>
      <c r="P77" s="7">
        <v>5042.33</v>
      </c>
      <c r="Q77" s="2"/>
      <c r="R77" s="6">
        <f t="shared" si="48"/>
        <v>9.8979090239506261E-3</v>
      </c>
      <c r="S77" s="2"/>
      <c r="T77" s="7">
        <v>3200</v>
      </c>
      <c r="U77" s="2"/>
      <c r="V77" s="6">
        <f t="shared" si="49"/>
        <v>6.4282457116570206E-3</v>
      </c>
      <c r="W77" s="2"/>
      <c r="X77" s="7">
        <f t="shared" si="50"/>
        <v>1842.33</v>
      </c>
      <c r="Y77" s="2"/>
      <c r="Z77" s="6">
        <f t="shared" si="51"/>
        <v>0.57572812499999992</v>
      </c>
    </row>
    <row r="78" spans="1:26" s="27" customFormat="1" outlineLevel="1" collapsed="1" x14ac:dyDescent="0.25">
      <c r="A78" s="28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SUM(OSRRefD22_14x_0)</f>
        <v>28118.28</v>
      </c>
      <c r="E78" s="1"/>
      <c r="F78" s="5">
        <f t="shared" ref="F78:F87" si="52">IF(D$12=0,0,D78/D$12)</f>
        <v>5.5195153302138179E-2</v>
      </c>
      <c r="G78" s="1"/>
      <c r="H78" s="1">
        <f>SUM(OSRRefH22_14x_0)</f>
        <v>24955</v>
      </c>
      <c r="I78" s="1"/>
      <c r="J78" s="5">
        <f t="shared" ref="J78:J87" si="53">IF(H$12=0,0,H78/H$12)</f>
        <v>5.0130272417000292E-2</v>
      </c>
      <c r="K78" s="1"/>
      <c r="L78" s="1">
        <f t="shared" ref="L78:L87" si="54">+D78-H78</f>
        <v>3163.2799999999988</v>
      </c>
      <c r="M78" s="1"/>
      <c r="N78" s="5">
        <f t="shared" ref="N78:N87" si="55">IF(H78=0,0,L78/H78)</f>
        <v>0.12675936686034858</v>
      </c>
      <c r="O78" s="14"/>
      <c r="P78" s="1">
        <f>SUM(OSRRefP22_14x_0)</f>
        <v>28118.28</v>
      </c>
      <c r="Q78" s="1"/>
      <c r="R78" s="5">
        <f t="shared" ref="R78:R87" si="56">IF(P$12=0,0,P78/P$12)</f>
        <v>5.5195153302138179E-2</v>
      </c>
      <c r="S78" s="1"/>
      <c r="T78" s="1">
        <f>SUM(OSRRefT22_14x_0)</f>
        <v>24955</v>
      </c>
      <c r="U78" s="1"/>
      <c r="V78" s="5">
        <f t="shared" ref="V78:V87" si="57">IF(T$12=0,0,T78/T$12)</f>
        <v>5.0130272417000292E-2</v>
      </c>
      <c r="W78" s="1"/>
      <c r="X78" s="1">
        <f t="shared" ref="X78:X87" si="58">+P78-T78</f>
        <v>3163.2799999999988</v>
      </c>
      <c r="Y78" s="1"/>
      <c r="Z78" s="5">
        <f t="shared" ref="Z78:Z87" si="59">IF(T78=0,0,X78/T78)</f>
        <v>0.12675936686034858</v>
      </c>
    </row>
    <row r="79" spans="1:26" s="24" customFormat="1" hidden="1" outlineLevel="2" x14ac:dyDescent="0.25">
      <c r="A79" s="29"/>
      <c r="B79" s="11" t="str">
        <f>CONCATENATE("          ", "6234", " - ", "EXPENDABLE SUPPLIES &amp; EQUIPMEN")</f>
        <v xml:space="preserve">          6234 - EXPENDABLE SUPPLIES &amp; EQUIPMEN</v>
      </c>
      <c r="C79" s="11"/>
      <c r="D79" s="7"/>
      <c r="E79" s="2"/>
      <c r="F79" s="6">
        <f t="shared" si="52"/>
        <v>0</v>
      </c>
      <c r="G79" s="2"/>
      <c r="H79" s="7">
        <v>200</v>
      </c>
      <c r="I79" s="2"/>
      <c r="J79" s="6">
        <f t="shared" si="53"/>
        <v>4.0176535697856379E-4</v>
      </c>
      <c r="K79" s="2"/>
      <c r="L79" s="7">
        <f t="shared" si="54"/>
        <v>-200</v>
      </c>
      <c r="M79" s="2"/>
      <c r="N79" s="6">
        <f t="shared" si="55"/>
        <v>-1</v>
      </c>
      <c r="O79" s="11"/>
      <c r="P79" s="7"/>
      <c r="Q79" s="2"/>
      <c r="R79" s="6">
        <f t="shared" si="56"/>
        <v>0</v>
      </c>
      <c r="S79" s="2"/>
      <c r="T79" s="7">
        <v>200</v>
      </c>
      <c r="U79" s="2"/>
      <c r="V79" s="6">
        <f t="shared" si="57"/>
        <v>4.0176535697856379E-4</v>
      </c>
      <c r="W79" s="2"/>
      <c r="X79" s="7">
        <f t="shared" si="58"/>
        <v>-200</v>
      </c>
      <c r="Y79" s="2"/>
      <c r="Z79" s="6">
        <f t="shared" si="59"/>
        <v>-1</v>
      </c>
    </row>
    <row r="80" spans="1:26" s="24" customFormat="1" hidden="1" outlineLevel="2" x14ac:dyDescent="0.25">
      <c r="A80" s="29"/>
      <c r="B80" s="11" t="str">
        <f>CONCATENATE("          ", "6237", " - ", "JANITORIAL SUPPLIES")</f>
        <v xml:space="preserve">          6237 - JANITORIAL SUPPLIES</v>
      </c>
      <c r="C80" s="11"/>
      <c r="D80" s="7">
        <v>7251.45</v>
      </c>
      <c r="E80" s="2"/>
      <c r="F80" s="6">
        <f t="shared" si="52"/>
        <v>1.4234330635187854E-2</v>
      </c>
      <c r="G80" s="2"/>
      <c r="H80" s="7">
        <v>7850</v>
      </c>
      <c r="I80" s="2"/>
      <c r="J80" s="6">
        <f t="shared" si="53"/>
        <v>1.5769290261408629E-2</v>
      </c>
      <c r="K80" s="2"/>
      <c r="L80" s="7">
        <f t="shared" si="54"/>
        <v>-598.55000000000018</v>
      </c>
      <c r="M80" s="2"/>
      <c r="N80" s="6">
        <f t="shared" si="55"/>
        <v>-7.624840764331213E-2</v>
      </c>
      <c r="O80" s="11"/>
      <c r="P80" s="7">
        <v>7251.45</v>
      </c>
      <c r="Q80" s="2"/>
      <c r="R80" s="6">
        <f t="shared" si="56"/>
        <v>1.4234330635187854E-2</v>
      </c>
      <c r="S80" s="2"/>
      <c r="T80" s="7">
        <v>7850</v>
      </c>
      <c r="U80" s="2"/>
      <c r="V80" s="6">
        <f t="shared" si="57"/>
        <v>1.5769290261408629E-2</v>
      </c>
      <c r="W80" s="2"/>
      <c r="X80" s="7">
        <f t="shared" si="58"/>
        <v>-598.55000000000018</v>
      </c>
      <c r="Y80" s="2"/>
      <c r="Z80" s="6">
        <f t="shared" si="59"/>
        <v>-7.624840764331213E-2</v>
      </c>
    </row>
    <row r="81" spans="1:26" s="24" customFormat="1" hidden="1" outlineLevel="2" x14ac:dyDescent="0.25">
      <c r="A81" s="29"/>
      <c r="B81" s="11" t="str">
        <f>CONCATENATE("          ", "6239", " - ", "KITCHEN SUPPLIES")</f>
        <v xml:space="preserve">          6239 - KITCHEN SUPPLIES</v>
      </c>
      <c r="C81" s="11"/>
      <c r="D81" s="7">
        <v>832.97</v>
      </c>
      <c r="E81" s="2"/>
      <c r="F81" s="6">
        <f t="shared" si="52"/>
        <v>1.6350895874883543E-3</v>
      </c>
      <c r="G81" s="2"/>
      <c r="H81" s="7">
        <v>3850</v>
      </c>
      <c r="I81" s="2"/>
      <c r="J81" s="6">
        <f t="shared" si="53"/>
        <v>7.7339831218373525E-3</v>
      </c>
      <c r="K81" s="2"/>
      <c r="L81" s="7">
        <f t="shared" si="54"/>
        <v>-3017.0299999999997</v>
      </c>
      <c r="M81" s="2"/>
      <c r="N81" s="6">
        <f t="shared" si="55"/>
        <v>-0.78364415584415581</v>
      </c>
      <c r="O81" s="11"/>
      <c r="P81" s="7">
        <v>832.97</v>
      </c>
      <c r="Q81" s="2"/>
      <c r="R81" s="6">
        <f t="shared" si="56"/>
        <v>1.6350895874883543E-3</v>
      </c>
      <c r="S81" s="2"/>
      <c r="T81" s="7">
        <v>3850</v>
      </c>
      <c r="U81" s="2"/>
      <c r="V81" s="6">
        <f t="shared" si="57"/>
        <v>7.7339831218373525E-3</v>
      </c>
      <c r="W81" s="2"/>
      <c r="X81" s="7">
        <f t="shared" si="58"/>
        <v>-3017.0299999999997</v>
      </c>
      <c r="Y81" s="2"/>
      <c r="Z81" s="6">
        <f t="shared" si="59"/>
        <v>-0.78364415584415581</v>
      </c>
    </row>
    <row r="82" spans="1:26" s="24" customFormat="1" hidden="1" outlineLevel="2" x14ac:dyDescent="0.25">
      <c r="A82" s="29"/>
      <c r="B82" s="11" t="str">
        <f>CONCATENATE("          ", "6241", " - ", "OFFICE EXPENSE")</f>
        <v xml:space="preserve">          6241 - OFFICE EXPENSE</v>
      </c>
      <c r="C82" s="11"/>
      <c r="D82" s="7">
        <v>20849.98</v>
      </c>
      <c r="E82" s="2"/>
      <c r="F82" s="6">
        <f t="shared" si="52"/>
        <v>4.0927746734384714E-2</v>
      </c>
      <c r="G82" s="2"/>
      <c r="H82" s="7">
        <v>855</v>
      </c>
      <c r="I82" s="2"/>
      <c r="J82" s="6">
        <f t="shared" si="53"/>
        <v>1.7175469010833602E-3</v>
      </c>
      <c r="K82" s="2"/>
      <c r="L82" s="7">
        <f t="shared" si="54"/>
        <v>19994.98</v>
      </c>
      <c r="M82" s="2"/>
      <c r="N82" s="6">
        <f t="shared" si="55"/>
        <v>23.385941520467835</v>
      </c>
      <c r="O82" s="11"/>
      <c r="P82" s="7">
        <v>20849.98</v>
      </c>
      <c r="Q82" s="2"/>
      <c r="R82" s="6">
        <f t="shared" si="56"/>
        <v>4.0927746734384714E-2</v>
      </c>
      <c r="S82" s="2"/>
      <c r="T82" s="7">
        <v>855</v>
      </c>
      <c r="U82" s="2"/>
      <c r="V82" s="6">
        <f t="shared" si="57"/>
        <v>1.7175469010833602E-3</v>
      </c>
      <c r="W82" s="2"/>
      <c r="X82" s="7">
        <f t="shared" si="58"/>
        <v>19994.98</v>
      </c>
      <c r="Y82" s="2"/>
      <c r="Z82" s="6">
        <f t="shared" si="59"/>
        <v>23.385941520467835</v>
      </c>
    </row>
    <row r="83" spans="1:26" s="24" customFormat="1" hidden="1" outlineLevel="2" x14ac:dyDescent="0.25">
      <c r="A83" s="29"/>
      <c r="B83" s="11" t="str">
        <f>CONCATENATE("          ", "6243", " - ", "PAPER SUPPLIES")</f>
        <v xml:space="preserve">          6243 - PAPER SUPPLIES</v>
      </c>
      <c r="C83" s="11"/>
      <c r="D83" s="7">
        <v>4597.13</v>
      </c>
      <c r="E83" s="2"/>
      <c r="F83" s="6">
        <f t="shared" si="52"/>
        <v>9.0239977374099167E-3</v>
      </c>
      <c r="G83" s="2"/>
      <c r="H83" s="7">
        <v>5050</v>
      </c>
      <c r="I83" s="2"/>
      <c r="J83" s="6">
        <f t="shared" si="53"/>
        <v>1.0144575263708735E-2</v>
      </c>
      <c r="K83" s="2"/>
      <c r="L83" s="7">
        <f t="shared" si="54"/>
        <v>-452.86999999999989</v>
      </c>
      <c r="M83" s="2"/>
      <c r="N83" s="6">
        <f t="shared" si="55"/>
        <v>-8.9677227722772257E-2</v>
      </c>
      <c r="O83" s="11"/>
      <c r="P83" s="7">
        <v>4597.13</v>
      </c>
      <c r="Q83" s="2"/>
      <c r="R83" s="6">
        <f t="shared" si="56"/>
        <v>9.0239977374099167E-3</v>
      </c>
      <c r="S83" s="2"/>
      <c r="T83" s="7">
        <v>5050</v>
      </c>
      <c r="U83" s="2"/>
      <c r="V83" s="6">
        <f t="shared" si="57"/>
        <v>1.0144575263708735E-2</v>
      </c>
      <c r="W83" s="2"/>
      <c r="X83" s="7">
        <f t="shared" si="58"/>
        <v>-452.86999999999989</v>
      </c>
      <c r="Y83" s="2"/>
      <c r="Z83" s="6">
        <f t="shared" si="59"/>
        <v>-8.9677227722772257E-2</v>
      </c>
    </row>
    <row r="84" spans="1:26" s="24" customFormat="1" hidden="1" outlineLevel="2" x14ac:dyDescent="0.25">
      <c r="A84" s="29"/>
      <c r="B84" s="11" t="str">
        <f>CONCATENATE("          ", "6244", " - ", "SAFETY SUPPLY EXPENSE")</f>
        <v xml:space="preserve">          6244 - SAFETY SUPPLY EXPENSE</v>
      </c>
      <c r="C84" s="11"/>
      <c r="D84" s="7"/>
      <c r="E84" s="2"/>
      <c r="F84" s="6">
        <f t="shared" si="52"/>
        <v>0</v>
      </c>
      <c r="G84" s="2"/>
      <c r="H84" s="7">
        <v>125</v>
      </c>
      <c r="I84" s="2"/>
      <c r="J84" s="6">
        <f t="shared" si="53"/>
        <v>2.5110334811160234E-4</v>
      </c>
      <c r="K84" s="2"/>
      <c r="L84" s="7">
        <f t="shared" si="54"/>
        <v>-125</v>
      </c>
      <c r="M84" s="2"/>
      <c r="N84" s="6">
        <f t="shared" si="55"/>
        <v>-1</v>
      </c>
      <c r="O84" s="11"/>
      <c r="P84" s="7"/>
      <c r="Q84" s="2"/>
      <c r="R84" s="6">
        <f t="shared" si="56"/>
        <v>0</v>
      </c>
      <c r="S84" s="2"/>
      <c r="T84" s="7">
        <v>125</v>
      </c>
      <c r="U84" s="2"/>
      <c r="V84" s="6">
        <f t="shared" si="57"/>
        <v>2.5110334811160234E-4</v>
      </c>
      <c r="W84" s="2"/>
      <c r="X84" s="7">
        <f t="shared" si="58"/>
        <v>-125</v>
      </c>
      <c r="Y84" s="2"/>
      <c r="Z84" s="6">
        <f t="shared" si="59"/>
        <v>-1</v>
      </c>
    </row>
    <row r="85" spans="1:26" s="24" customFormat="1" hidden="1" outlineLevel="2" x14ac:dyDescent="0.25">
      <c r="A85" s="29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52"/>
        <v>0</v>
      </c>
      <c r="G85" s="2"/>
      <c r="H85" s="7">
        <v>150</v>
      </c>
      <c r="I85" s="2"/>
      <c r="J85" s="6">
        <f t="shared" si="53"/>
        <v>3.0132401773392284E-4</v>
      </c>
      <c r="K85" s="2"/>
      <c r="L85" s="7">
        <f t="shared" si="54"/>
        <v>-150</v>
      </c>
      <c r="M85" s="2"/>
      <c r="N85" s="6">
        <f t="shared" si="55"/>
        <v>-1</v>
      </c>
      <c r="O85" s="11"/>
      <c r="P85" s="7"/>
      <c r="Q85" s="2"/>
      <c r="R85" s="6">
        <f t="shared" si="56"/>
        <v>0</v>
      </c>
      <c r="S85" s="2"/>
      <c r="T85" s="7">
        <v>150</v>
      </c>
      <c r="U85" s="2"/>
      <c r="V85" s="6">
        <f t="shared" si="57"/>
        <v>3.0132401773392284E-4</v>
      </c>
      <c r="W85" s="2"/>
      <c r="X85" s="7">
        <f t="shared" si="58"/>
        <v>-150</v>
      </c>
      <c r="Y85" s="2"/>
      <c r="Z85" s="6">
        <f t="shared" si="59"/>
        <v>-1</v>
      </c>
    </row>
    <row r="86" spans="1:26" s="24" customFormat="1" hidden="1" outlineLevel="2" x14ac:dyDescent="0.25">
      <c r="A86" s="29"/>
      <c r="B86" s="11" t="str">
        <f>CONCATENATE("          ", "6247", " - ", "STORE SUPPLIES")</f>
        <v xml:space="preserve">          6247 - STORE SUPPLIES</v>
      </c>
      <c r="C86" s="11"/>
      <c r="D86" s="7">
        <v>156.1</v>
      </c>
      <c r="E86" s="2"/>
      <c r="F86" s="6">
        <f t="shared" si="52"/>
        <v>3.0641858002921127E-4</v>
      </c>
      <c r="G86" s="2"/>
      <c r="H86" s="7">
        <v>0</v>
      </c>
      <c r="I86" s="2"/>
      <c r="J86" s="6">
        <f t="shared" si="53"/>
        <v>0</v>
      </c>
      <c r="K86" s="2"/>
      <c r="L86" s="7">
        <f t="shared" si="54"/>
        <v>156.1</v>
      </c>
      <c r="M86" s="2"/>
      <c r="N86" s="6">
        <f t="shared" si="55"/>
        <v>0</v>
      </c>
      <c r="O86" s="11"/>
      <c r="P86" s="7">
        <v>156.1</v>
      </c>
      <c r="Q86" s="2"/>
      <c r="R86" s="6">
        <f t="shared" si="56"/>
        <v>3.0641858002921127E-4</v>
      </c>
      <c r="S86" s="2"/>
      <c r="T86" s="7">
        <v>0</v>
      </c>
      <c r="U86" s="2"/>
      <c r="V86" s="6">
        <f t="shared" si="57"/>
        <v>0</v>
      </c>
      <c r="W86" s="2"/>
      <c r="X86" s="7">
        <f t="shared" si="58"/>
        <v>156.1</v>
      </c>
      <c r="Y86" s="2"/>
      <c r="Z86" s="6">
        <f t="shared" si="59"/>
        <v>0</v>
      </c>
    </row>
    <row r="87" spans="1:26" s="24" customFormat="1" hidden="1" outlineLevel="2" x14ac:dyDescent="0.25">
      <c r="A87" s="29"/>
      <c r="B87" s="11" t="str">
        <f>CONCATENATE("          ", "6248", " - ", "UNIFORMS")</f>
        <v xml:space="preserve">          6248 - UNIFORMS</v>
      </c>
      <c r="C87" s="11"/>
      <c r="D87" s="7">
        <v>-5569.35</v>
      </c>
      <c r="E87" s="2"/>
      <c r="F87" s="6">
        <f t="shared" si="52"/>
        <v>-1.093242997236187E-2</v>
      </c>
      <c r="G87" s="2"/>
      <c r="H87" s="7">
        <v>6875</v>
      </c>
      <c r="I87" s="2"/>
      <c r="J87" s="6">
        <f t="shared" si="53"/>
        <v>1.381068414613813E-2</v>
      </c>
      <c r="K87" s="2"/>
      <c r="L87" s="7">
        <f t="shared" si="54"/>
        <v>-12444.35</v>
      </c>
      <c r="M87" s="2"/>
      <c r="N87" s="6">
        <f t="shared" si="55"/>
        <v>-1.8100872727272728</v>
      </c>
      <c r="O87" s="11"/>
      <c r="P87" s="7">
        <v>-5569.35</v>
      </c>
      <c r="Q87" s="2"/>
      <c r="R87" s="6">
        <f t="shared" si="56"/>
        <v>-1.093242997236187E-2</v>
      </c>
      <c r="S87" s="2"/>
      <c r="T87" s="7">
        <v>6875</v>
      </c>
      <c r="U87" s="2"/>
      <c r="V87" s="6">
        <f t="shared" si="57"/>
        <v>1.381068414613813E-2</v>
      </c>
      <c r="W87" s="2"/>
      <c r="X87" s="7">
        <f t="shared" si="58"/>
        <v>-12444.35</v>
      </c>
      <c r="Y87" s="2"/>
      <c r="Z87" s="6">
        <f t="shared" si="59"/>
        <v>-1.8100872727272728</v>
      </c>
    </row>
    <row r="88" spans="1:26" s="27" customFormat="1" outlineLevel="1" collapsed="1" x14ac:dyDescent="0.25">
      <c r="A88" s="28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SUM(OSRRefD22_15x_0)</f>
        <v>-434.35</v>
      </c>
      <c r="E88" s="1"/>
      <c r="F88" s="5">
        <f t="shared" ref="F88:F94" si="60">IF(D$12=0,0,D88/D$12)</f>
        <v>-8.526131341171551E-4</v>
      </c>
      <c r="G88" s="1"/>
      <c r="H88" s="1">
        <f>SUM(OSRRefH22_15x_0)</f>
        <v>793</v>
      </c>
      <c r="I88" s="1"/>
      <c r="J88" s="5">
        <f t="shared" ref="J88:J94" si="61">IF(H$12=0,0,H88/H$12)</f>
        <v>1.5929996404200053E-3</v>
      </c>
      <c r="K88" s="1"/>
      <c r="L88" s="1">
        <f t="shared" ref="L88:L94" si="62">+D88-H88</f>
        <v>-1227.3499999999999</v>
      </c>
      <c r="M88" s="1"/>
      <c r="N88" s="5">
        <f t="shared" ref="N88:N94" si="63">IF(H88=0,0,L88/H88)</f>
        <v>-1.5477301387137452</v>
      </c>
      <c r="O88" s="14"/>
      <c r="P88" s="1">
        <f>SUM(OSRRefP22_15x_0)</f>
        <v>-434.35</v>
      </c>
      <c r="Q88" s="1"/>
      <c r="R88" s="5">
        <f t="shared" ref="R88:R94" si="64">IF(P$12=0,0,P88/P$12)</f>
        <v>-8.526131341171551E-4</v>
      </c>
      <c r="S88" s="1"/>
      <c r="T88" s="1">
        <f>SUM(OSRRefT22_15x_0)</f>
        <v>793</v>
      </c>
      <c r="U88" s="1"/>
      <c r="V88" s="5">
        <f t="shared" ref="V88:V94" si="65">IF(T$12=0,0,T88/T$12)</f>
        <v>1.5929996404200053E-3</v>
      </c>
      <c r="W88" s="1"/>
      <c r="X88" s="1">
        <f t="shared" ref="X88:X94" si="66">+P88-T88</f>
        <v>-1227.3499999999999</v>
      </c>
      <c r="Y88" s="1"/>
      <c r="Z88" s="5">
        <f t="shared" ref="Z88:Z94" si="67">IF(T88=0,0,X88/T88)</f>
        <v>-1.5477301387137452</v>
      </c>
    </row>
    <row r="89" spans="1:26" s="24" customFormat="1" hidden="1" outlineLevel="2" x14ac:dyDescent="0.25">
      <c r="A89" s="29"/>
      <c r="B89" s="11" t="str">
        <f>CONCATENATE("          ", "6309", " - ", "TELEPHONE")</f>
        <v xml:space="preserve">          6309 - TELEPHONE</v>
      </c>
      <c r="C89" s="11"/>
      <c r="D89" s="7">
        <v>-434.35</v>
      </c>
      <c r="E89" s="2"/>
      <c r="F89" s="6">
        <f t="shared" si="60"/>
        <v>-8.526131341171551E-4</v>
      </c>
      <c r="G89" s="2"/>
      <c r="H89" s="7">
        <v>793</v>
      </c>
      <c r="I89" s="2"/>
      <c r="J89" s="6">
        <f t="shared" si="61"/>
        <v>1.5929996404200053E-3</v>
      </c>
      <c r="K89" s="2"/>
      <c r="L89" s="7">
        <f t="shared" si="62"/>
        <v>-1227.3499999999999</v>
      </c>
      <c r="M89" s="2"/>
      <c r="N89" s="6">
        <f t="shared" si="63"/>
        <v>-1.5477301387137452</v>
      </c>
      <c r="O89" s="11"/>
      <c r="P89" s="7">
        <v>-434.35</v>
      </c>
      <c r="Q89" s="2"/>
      <c r="R89" s="6">
        <f t="shared" si="64"/>
        <v>-8.526131341171551E-4</v>
      </c>
      <c r="S89" s="2"/>
      <c r="T89" s="7">
        <v>793</v>
      </c>
      <c r="U89" s="2"/>
      <c r="V89" s="6">
        <f t="shared" si="65"/>
        <v>1.5929996404200053E-3</v>
      </c>
      <c r="W89" s="2"/>
      <c r="X89" s="7">
        <f t="shared" si="66"/>
        <v>-1227.3499999999999</v>
      </c>
      <c r="Y89" s="2"/>
      <c r="Z89" s="6">
        <f t="shared" si="67"/>
        <v>-1.5477301387137452</v>
      </c>
    </row>
    <row r="90" spans="1:26" s="27" customFormat="1" outlineLevel="1" collapsed="1" x14ac:dyDescent="0.25">
      <c r="A90" s="28"/>
      <c r="B90" s="14" t="str">
        <f>CONCATENATE("     ","Training                                          ")</f>
        <v xml:space="preserve">     Training                                          </v>
      </c>
      <c r="C90" s="14"/>
      <c r="D90" s="1">
        <f>SUM(OSRRefD22_16x_0)</f>
        <v>3206.37</v>
      </c>
      <c r="E90" s="1"/>
      <c r="F90" s="5">
        <f t="shared" si="60"/>
        <v>6.2939868190151314E-3</v>
      </c>
      <c r="G90" s="1"/>
      <c r="H90" s="1">
        <f>SUM(OSRRefH22_16x_0)</f>
        <v>2379</v>
      </c>
      <c r="I90" s="1"/>
      <c r="J90" s="5">
        <f t="shared" si="61"/>
        <v>4.7789989212600158E-3</v>
      </c>
      <c r="K90" s="1"/>
      <c r="L90" s="1">
        <f t="shared" si="62"/>
        <v>827.36999999999989</v>
      </c>
      <c r="M90" s="1"/>
      <c r="N90" s="5">
        <f t="shared" si="63"/>
        <v>0.34778058007566198</v>
      </c>
      <c r="O90" s="14"/>
      <c r="P90" s="1">
        <f>SUM(OSRRefP22_16x_0)</f>
        <v>3206.37</v>
      </c>
      <c r="Q90" s="1"/>
      <c r="R90" s="5">
        <f t="shared" si="64"/>
        <v>6.2939868190151314E-3</v>
      </c>
      <c r="S90" s="1"/>
      <c r="T90" s="1">
        <f>SUM(OSRRefT22_16x_0)</f>
        <v>2379</v>
      </c>
      <c r="U90" s="1"/>
      <c r="V90" s="5">
        <f t="shared" si="65"/>
        <v>4.7789989212600158E-3</v>
      </c>
      <c r="W90" s="1"/>
      <c r="X90" s="1">
        <f t="shared" si="66"/>
        <v>827.36999999999989</v>
      </c>
      <c r="Y90" s="1"/>
      <c r="Z90" s="5">
        <f t="shared" si="67"/>
        <v>0.34778058007566198</v>
      </c>
    </row>
    <row r="91" spans="1:26" s="24" customFormat="1" hidden="1" outlineLevel="2" x14ac:dyDescent="0.25">
      <c r="A91" s="29"/>
      <c r="B91" s="11" t="str">
        <f>CONCATENATE("          ", "6376", " - ", "TRAINING")</f>
        <v xml:space="preserve">          6376 - TRAINING</v>
      </c>
      <c r="C91" s="11"/>
      <c r="D91" s="7">
        <v>3206.37</v>
      </c>
      <c r="E91" s="2"/>
      <c r="F91" s="6">
        <f t="shared" si="60"/>
        <v>6.2939868190151314E-3</v>
      </c>
      <c r="G91" s="2"/>
      <c r="H91" s="7">
        <v>2379</v>
      </c>
      <c r="I91" s="2"/>
      <c r="J91" s="6">
        <f t="shared" si="61"/>
        <v>4.7789989212600158E-3</v>
      </c>
      <c r="K91" s="2"/>
      <c r="L91" s="7">
        <f t="shared" si="62"/>
        <v>827.36999999999989</v>
      </c>
      <c r="M91" s="2"/>
      <c r="N91" s="6">
        <f t="shared" si="63"/>
        <v>0.34778058007566198</v>
      </c>
      <c r="O91" s="11"/>
      <c r="P91" s="7">
        <v>3206.37</v>
      </c>
      <c r="Q91" s="2"/>
      <c r="R91" s="6">
        <f t="shared" si="64"/>
        <v>6.2939868190151314E-3</v>
      </c>
      <c r="S91" s="2"/>
      <c r="T91" s="7">
        <v>2379</v>
      </c>
      <c r="U91" s="2"/>
      <c r="V91" s="6">
        <f t="shared" si="65"/>
        <v>4.7789989212600158E-3</v>
      </c>
      <c r="W91" s="2"/>
      <c r="X91" s="7">
        <f t="shared" si="66"/>
        <v>827.36999999999989</v>
      </c>
      <c r="Y91" s="2"/>
      <c r="Z91" s="6">
        <f t="shared" si="67"/>
        <v>0.34778058007566198</v>
      </c>
    </row>
    <row r="92" spans="1:26" s="27" customFormat="1" outlineLevel="1" collapsed="1" x14ac:dyDescent="0.25">
      <c r="A92" s="28"/>
      <c r="B92" s="14" t="str">
        <f>CONCATENATE("     ","Travel                                            ")</f>
        <v xml:space="preserve">     Travel                                            </v>
      </c>
      <c r="C92" s="14"/>
      <c r="D92" s="1">
        <f>SUM(OSRRefD22_17x_0)</f>
        <v>1568.51</v>
      </c>
      <c r="E92" s="1"/>
      <c r="F92" s="5">
        <f t="shared" si="60"/>
        <v>3.0789276551032555E-3</v>
      </c>
      <c r="G92" s="1"/>
      <c r="H92" s="1">
        <f>SUM(OSRRefH22_17x_0)</f>
        <v>410</v>
      </c>
      <c r="I92" s="1"/>
      <c r="J92" s="5">
        <f t="shared" si="61"/>
        <v>8.2361898180605575E-4</v>
      </c>
      <c r="K92" s="1"/>
      <c r="L92" s="1">
        <f t="shared" si="62"/>
        <v>1158.51</v>
      </c>
      <c r="M92" s="1"/>
      <c r="N92" s="5">
        <f t="shared" si="63"/>
        <v>2.8256341463414634</v>
      </c>
      <c r="O92" s="14"/>
      <c r="P92" s="1">
        <f>SUM(OSRRefP22_17x_0)</f>
        <v>1568.51</v>
      </c>
      <c r="Q92" s="1"/>
      <c r="R92" s="5">
        <f t="shared" si="64"/>
        <v>3.0789276551032555E-3</v>
      </c>
      <c r="S92" s="1"/>
      <c r="T92" s="1">
        <f>SUM(OSRRefT22_17x_0)</f>
        <v>410</v>
      </c>
      <c r="U92" s="1"/>
      <c r="V92" s="5">
        <f t="shared" si="65"/>
        <v>8.2361898180605575E-4</v>
      </c>
      <c r="W92" s="1"/>
      <c r="X92" s="1">
        <f t="shared" si="66"/>
        <v>1158.51</v>
      </c>
      <c r="Y92" s="1"/>
      <c r="Z92" s="5">
        <f t="shared" si="67"/>
        <v>2.8256341463414634</v>
      </c>
    </row>
    <row r="93" spans="1:26" s="24" customFormat="1" hidden="1" outlineLevel="2" x14ac:dyDescent="0.25">
      <c r="A93" s="29"/>
      <c r="B93" s="11" t="str">
        <f>CONCATENATE("          ", "6292", " - ", "TRAVEL/CONFERENCE")</f>
        <v xml:space="preserve">          6292 - TRAVEL/CONFERENCE</v>
      </c>
      <c r="C93" s="11"/>
      <c r="D93" s="7">
        <v>1568.51</v>
      </c>
      <c r="E93" s="2"/>
      <c r="F93" s="6">
        <f t="shared" si="60"/>
        <v>3.0789276551032555E-3</v>
      </c>
      <c r="G93" s="2"/>
      <c r="H93" s="7">
        <v>300</v>
      </c>
      <c r="I93" s="2"/>
      <c r="J93" s="6">
        <f t="shared" si="61"/>
        <v>6.0264803546784568E-4</v>
      </c>
      <c r="K93" s="2"/>
      <c r="L93" s="7">
        <f t="shared" si="62"/>
        <v>1268.51</v>
      </c>
      <c r="M93" s="2"/>
      <c r="N93" s="6">
        <f t="shared" si="63"/>
        <v>4.2283666666666671</v>
      </c>
      <c r="O93" s="11"/>
      <c r="P93" s="7">
        <v>1568.51</v>
      </c>
      <c r="Q93" s="2"/>
      <c r="R93" s="6">
        <f t="shared" si="64"/>
        <v>3.0789276551032555E-3</v>
      </c>
      <c r="S93" s="2"/>
      <c r="T93" s="7">
        <v>300</v>
      </c>
      <c r="U93" s="2"/>
      <c r="V93" s="6">
        <f t="shared" si="65"/>
        <v>6.0264803546784568E-4</v>
      </c>
      <c r="W93" s="2"/>
      <c r="X93" s="7">
        <f t="shared" si="66"/>
        <v>1268.51</v>
      </c>
      <c r="Y93" s="2"/>
      <c r="Z93" s="6">
        <f t="shared" si="67"/>
        <v>4.2283666666666671</v>
      </c>
    </row>
    <row r="94" spans="1:26" s="24" customFormat="1" hidden="1" outlineLevel="2" x14ac:dyDescent="0.25">
      <c r="A94" s="29"/>
      <c r="B94" s="11" t="str">
        <f>CONCATENATE("          ", "6298", " - ", "VEHICLE MILEAGE")</f>
        <v xml:space="preserve">          6298 - VEHICLE MILEAGE</v>
      </c>
      <c r="C94" s="11"/>
      <c r="D94" s="7"/>
      <c r="E94" s="2"/>
      <c r="F94" s="6">
        <f t="shared" si="60"/>
        <v>0</v>
      </c>
      <c r="G94" s="2"/>
      <c r="H94" s="7">
        <v>110</v>
      </c>
      <c r="I94" s="2"/>
      <c r="J94" s="6">
        <f t="shared" si="61"/>
        <v>2.2097094633821007E-4</v>
      </c>
      <c r="K94" s="2"/>
      <c r="L94" s="7">
        <f t="shared" si="62"/>
        <v>-110</v>
      </c>
      <c r="M94" s="2"/>
      <c r="N94" s="6">
        <f t="shared" si="63"/>
        <v>-1</v>
      </c>
      <c r="O94" s="11"/>
      <c r="P94" s="7"/>
      <c r="Q94" s="2"/>
      <c r="R94" s="6">
        <f t="shared" si="64"/>
        <v>0</v>
      </c>
      <c r="S94" s="2"/>
      <c r="T94" s="7">
        <v>110</v>
      </c>
      <c r="U94" s="2"/>
      <c r="V94" s="6">
        <f t="shared" si="65"/>
        <v>2.2097094633821007E-4</v>
      </c>
      <c r="W94" s="2"/>
      <c r="X94" s="7">
        <f t="shared" si="66"/>
        <v>-110</v>
      </c>
      <c r="Y94" s="2"/>
      <c r="Z94" s="6">
        <f t="shared" si="67"/>
        <v>-1</v>
      </c>
    </row>
    <row r="95" spans="1:26" s="57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5" t="s">
        <v>0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6" t="s">
        <v>3</v>
      </c>
      <c r="C98" s="26"/>
      <c r="D98" s="21">
        <f>+D23-D25+D96</f>
        <v>-54593.310000000056</v>
      </c>
      <c r="E98" s="13"/>
      <c r="F98" s="19">
        <f>IF(D$12=0,0,D98/D$12)</f>
        <v>-0.10716466706787031</v>
      </c>
      <c r="G98" s="13"/>
      <c r="H98" s="21">
        <f>+H23-H25+H96</f>
        <v>-58940.700234782184</v>
      </c>
      <c r="I98" s="13"/>
      <c r="J98" s="19">
        <f>IF(H$12=0,0,H98/H$12)</f>
        <v>-0.11840165735196891</v>
      </c>
      <c r="K98" s="15"/>
      <c r="L98" s="21">
        <f>+D98-H98</f>
        <v>4347.3902347821277</v>
      </c>
      <c r="M98" s="15"/>
      <c r="N98" s="19">
        <f>IF(H98=0,0,L98/H98)</f>
        <v>-7.3758713715054214E-2</v>
      </c>
      <c r="O98" s="25"/>
      <c r="P98" s="21">
        <f>+P23-P25+P96</f>
        <v>-54593.310000000056</v>
      </c>
      <c r="Q98" s="13"/>
      <c r="R98" s="19">
        <f>IF(P$12=0,0,P98/P$12)</f>
        <v>-0.10716466706787031</v>
      </c>
      <c r="S98" s="13"/>
      <c r="T98" s="21">
        <f>+T23-T25+T96</f>
        <v>-58940.700234782184</v>
      </c>
      <c r="U98" s="13"/>
      <c r="V98" s="19">
        <f>IF(T$12=0,0,T98/T$12)</f>
        <v>-0.11840165735196891</v>
      </c>
      <c r="W98" s="15"/>
      <c r="X98" s="21">
        <f>+P98-T98</f>
        <v>4347.3902347821277</v>
      </c>
      <c r="Y98" s="15"/>
      <c r="Z98" s="19">
        <f>IF(T98=0,0,X98/T98)</f>
        <v>-7.3758713715054214E-2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105926.31</v>
      </c>
      <c r="E100" s="4"/>
      <c r="F100" s="12">
        <f>IF(D$12=0,0,D100/D$12)</f>
        <v>0.20792946507324817</v>
      </c>
      <c r="G100" s="4"/>
      <c r="H100" s="4">
        <v>121318.00000000001</v>
      </c>
      <c r="I100" s="4"/>
      <c r="J100" s="12">
        <f>IF(H$12=0,0,H100/H$12)</f>
        <v>0.24370684788962702</v>
      </c>
      <c r="K100" s="4"/>
      <c r="L100" s="4">
        <f>+D100-H100</f>
        <v>-15391.690000000017</v>
      </c>
      <c r="M100" s="4"/>
      <c r="N100" s="12">
        <f>IF(H100=0,0,L100/H100)</f>
        <v>-0.12687062101254568</v>
      </c>
      <c r="O100" s="10"/>
      <c r="P100" s="4">
        <v>105926.31</v>
      </c>
      <c r="Q100" s="4"/>
      <c r="R100" s="12">
        <f>IF(P$12=0,0,P100/P$12)</f>
        <v>0.20792946507324817</v>
      </c>
      <c r="S100" s="4"/>
      <c r="T100" s="4">
        <v>121318.00000000001</v>
      </c>
      <c r="U100" s="4"/>
      <c r="V100" s="12">
        <f>IF(T$12=0,0,T100/T$12)</f>
        <v>0.24370684788962702</v>
      </c>
      <c r="W100" s="4"/>
      <c r="X100" s="4">
        <f>+P100-T100</f>
        <v>-15391.690000000017</v>
      </c>
      <c r="Y100" s="4"/>
      <c r="Z100" s="12">
        <f>IF(T100=0,0,X100/T100)</f>
        <v>-0.12687062101254568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4</v>
      </c>
      <c r="C102" s="26"/>
      <c r="D102" s="32">
        <f>+D98-D100</f>
        <v>-160519.62000000005</v>
      </c>
      <c r="E102" s="13"/>
      <c r="F102" s="31">
        <f>IF(D$12=0,0,D102/D$12)</f>
        <v>-0.31509413214111848</v>
      </c>
      <c r="G102" s="13"/>
      <c r="H102" s="32">
        <f>+H98-H100</f>
        <v>-180258.70023478218</v>
      </c>
      <c r="I102" s="13"/>
      <c r="J102" s="31">
        <f>IF(H$12=0,0,H102/H$12)</f>
        <v>-0.36210850524159588</v>
      </c>
      <c r="K102" s="15"/>
      <c r="L102" s="32">
        <f>D102-H102</f>
        <v>19739.08023478213</v>
      </c>
      <c r="M102" s="15"/>
      <c r="N102" s="31">
        <f>IF(H102=0,0,L102/H102)</f>
        <v>-0.10950417488350077</v>
      </c>
      <c r="O102" s="25"/>
      <c r="P102" s="32">
        <f>+P98-P100</f>
        <v>-160519.62000000005</v>
      </c>
      <c r="Q102" s="13"/>
      <c r="R102" s="31">
        <f>IF(P$12=0,0,P102/P$12)</f>
        <v>-0.31509413214111848</v>
      </c>
      <c r="S102" s="13"/>
      <c r="T102" s="32">
        <f>+T98-T100</f>
        <v>-180258.70023478218</v>
      </c>
      <c r="U102" s="13"/>
      <c r="V102" s="31">
        <f>IF(T$12=0,0,T102/T$12)</f>
        <v>-0.36210850524159588</v>
      </c>
      <c r="W102" s="15"/>
      <c r="X102" s="32">
        <f>P102-T102</f>
        <v>19739.08023478213</v>
      </c>
      <c r="Y102" s="15"/>
      <c r="Z102" s="31">
        <f>IF(T102=0,0,X102/T102)</f>
        <v>-0.10950417488350077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6" t="s">
        <v>5</v>
      </c>
      <c r="C105" s="26"/>
      <c r="D105" s="33">
        <f>SUM(D102:D104)</f>
        <v>-160519.62000000005</v>
      </c>
      <c r="E105" s="13"/>
      <c r="F105" s="34">
        <f>IF(D$12=0,0,D105/D$12)</f>
        <v>-0.31509413214111848</v>
      </c>
      <c r="G105" s="13"/>
      <c r="H105" s="33">
        <f>SUM(H102:H104)</f>
        <v>-180258.70023478218</v>
      </c>
      <c r="I105" s="13"/>
      <c r="J105" s="34">
        <f>IF(H$12=0,0,H105/H$12)</f>
        <v>-0.36210850524159588</v>
      </c>
      <c r="K105" s="15"/>
      <c r="L105" s="33">
        <f>+D105-H105</f>
        <v>19739.08023478213</v>
      </c>
      <c r="M105" s="15"/>
      <c r="N105" s="34">
        <f>IF(H105=0,0,L105/H105)</f>
        <v>-0.10950417488350077</v>
      </c>
      <c r="O105" s="25"/>
      <c r="P105" s="33">
        <f>SUM(P102:P104)</f>
        <v>-160519.62000000005</v>
      </c>
      <c r="Q105" s="13"/>
      <c r="R105" s="34">
        <f>IF(P$12=0,0,P105/P$12)</f>
        <v>-0.31509413214111848</v>
      </c>
      <c r="S105" s="13"/>
      <c r="T105" s="33">
        <f>SUM(T102:T104)</f>
        <v>-180258.70023478218</v>
      </c>
      <c r="U105" s="13"/>
      <c r="V105" s="34">
        <f>IF(T$12=0,0,T105/T$12)</f>
        <v>-0.36210850524159588</v>
      </c>
      <c r="W105" s="15"/>
      <c r="X105" s="33">
        <f>+P105-T105</f>
        <v>19739.08023478213</v>
      </c>
      <c r="Y105" s="15"/>
      <c r="Z105" s="34">
        <f>IF(T105=0,0,X105/T105)</f>
        <v>-0.10950417488350077</v>
      </c>
    </row>
    <row r="106" spans="1:26" ht="15.75" thickTop="1" x14ac:dyDescent="0.25">
      <c r="A106" s="9"/>
      <c r="C106" s="9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61">
        <v>43726.67834189815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56" t="s">
        <v>314</v>
      </c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53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","430", " - ", "Res Hall Management")</f>
        <v>Department 430 - Res Hall Management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14917.259999999998</v>
      </c>
      <c r="E18" s="20"/>
      <c r="F18" s="30">
        <f t="shared" ref="F18:F28" si="0">IF(D$12=0,0,D18/D$12)</f>
        <v>0</v>
      </c>
      <c r="G18" s="20"/>
      <c r="H18" s="20">
        <f>SUM(OSRRefH22x_0)</f>
        <v>16059.563479525001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-1142.3034795250023</v>
      </c>
      <c r="M18" s="4"/>
      <c r="N18" s="30">
        <f t="shared" ref="N18:N28" si="3">IF(H18=0,0,L18/H18)</f>
        <v>-7.112917365290608E-2</v>
      </c>
      <c r="O18" s="10"/>
      <c r="P18" s="20">
        <f>SUM(OSRRefP22x_0)</f>
        <v>14917.259999999998</v>
      </c>
      <c r="Q18" s="20"/>
      <c r="R18" s="30">
        <f t="shared" ref="R18:R28" si="4">IF(P$12=0,0,P18/P$12)</f>
        <v>0</v>
      </c>
      <c r="S18" s="20"/>
      <c r="T18" s="20">
        <f>SUM(OSRRefT22x_0)</f>
        <v>16059.563479525001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-1142.3034795250023</v>
      </c>
      <c r="Y18" s="4"/>
      <c r="Z18" s="30">
        <f t="shared" ref="Z18:Z28" si="7">IF(T18=0,0,X18/T18)</f>
        <v>-7.112917365290608E-2</v>
      </c>
    </row>
    <row r="19" spans="1:26" s="27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6062.2200000000012</v>
      </c>
      <c r="E19" s="1"/>
      <c r="F19" s="5">
        <f t="shared" si="0"/>
        <v>0</v>
      </c>
      <c r="G19" s="1"/>
      <c r="H19" s="1">
        <f>SUM(OSRRefH22_0x_0)</f>
        <v>5071.4002295250002</v>
      </c>
      <c r="I19" s="1"/>
      <c r="J19" s="5">
        <f t="shared" si="1"/>
        <v>0</v>
      </c>
      <c r="K19" s="1"/>
      <c r="L19" s="1">
        <f t="shared" si="2"/>
        <v>990.81977047500095</v>
      </c>
      <c r="M19" s="1"/>
      <c r="N19" s="5">
        <f t="shared" si="3"/>
        <v>0.19537400434431962</v>
      </c>
      <c r="O19" s="14"/>
      <c r="P19" s="1">
        <f>SUM(OSRRefP22_0x_0)</f>
        <v>6062.2200000000012</v>
      </c>
      <c r="Q19" s="1"/>
      <c r="R19" s="5">
        <f t="shared" si="4"/>
        <v>0</v>
      </c>
      <c r="S19" s="1"/>
      <c r="T19" s="1">
        <f>SUM(OSRRefT22_0x_0)</f>
        <v>5071.4002295250002</v>
      </c>
      <c r="U19" s="1"/>
      <c r="V19" s="5">
        <f t="shared" si="5"/>
        <v>0</v>
      </c>
      <c r="W19" s="1"/>
      <c r="X19" s="1">
        <f t="shared" si="6"/>
        <v>990.81977047500095</v>
      </c>
      <c r="Y19" s="1"/>
      <c r="Z19" s="5">
        <f t="shared" si="7"/>
        <v>0.19537400434431962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623.1</v>
      </c>
      <c r="E20" s="2"/>
      <c r="F20" s="6">
        <f t="shared" si="0"/>
        <v>0</v>
      </c>
      <c r="G20" s="2"/>
      <c r="H20" s="7">
        <v>779.17431502500006</v>
      </c>
      <c r="I20" s="2"/>
      <c r="J20" s="6">
        <f t="shared" si="1"/>
        <v>0</v>
      </c>
      <c r="K20" s="2"/>
      <c r="L20" s="7">
        <f t="shared" si="2"/>
        <v>-156.07431502500003</v>
      </c>
      <c r="M20" s="2"/>
      <c r="N20" s="6">
        <f t="shared" si="3"/>
        <v>-0.20030731508390692</v>
      </c>
      <c r="O20" s="11"/>
      <c r="P20" s="7">
        <v>623.1</v>
      </c>
      <c r="Q20" s="2"/>
      <c r="R20" s="6">
        <f t="shared" si="4"/>
        <v>0</v>
      </c>
      <c r="S20" s="2"/>
      <c r="T20" s="7">
        <v>779.17431502500006</v>
      </c>
      <c r="U20" s="2"/>
      <c r="V20" s="6">
        <f t="shared" si="5"/>
        <v>0</v>
      </c>
      <c r="W20" s="2"/>
      <c r="X20" s="7">
        <f t="shared" si="6"/>
        <v>-156.07431502500003</v>
      </c>
      <c r="Y20" s="2"/>
      <c r="Z20" s="6">
        <f t="shared" si="7"/>
        <v>-0.20030731508390692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316.02999999999997</v>
      </c>
      <c r="E21" s="2"/>
      <c r="F21" s="6">
        <f t="shared" si="0"/>
        <v>0</v>
      </c>
      <c r="G21" s="2"/>
      <c r="H21" s="7">
        <v>395.03414900000001</v>
      </c>
      <c r="I21" s="2"/>
      <c r="J21" s="6">
        <f t="shared" si="1"/>
        <v>0</v>
      </c>
      <c r="K21" s="2"/>
      <c r="L21" s="7">
        <f t="shared" si="2"/>
        <v>-79.004149000000041</v>
      </c>
      <c r="M21" s="2"/>
      <c r="N21" s="6">
        <f t="shared" si="3"/>
        <v>-0.19999321375124973</v>
      </c>
      <c r="O21" s="11"/>
      <c r="P21" s="7">
        <v>316.02999999999997</v>
      </c>
      <c r="Q21" s="2"/>
      <c r="R21" s="6">
        <f t="shared" si="4"/>
        <v>0</v>
      </c>
      <c r="S21" s="2"/>
      <c r="T21" s="7">
        <v>395.03414900000001</v>
      </c>
      <c r="U21" s="2"/>
      <c r="V21" s="6">
        <f t="shared" si="5"/>
        <v>0</v>
      </c>
      <c r="W21" s="2"/>
      <c r="X21" s="7">
        <f t="shared" si="6"/>
        <v>-79.004149000000041</v>
      </c>
      <c r="Y21" s="2"/>
      <c r="Z21" s="6">
        <f t="shared" si="7"/>
        <v>-0.19999321375124973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2730.6</v>
      </c>
      <c r="E22" s="2"/>
      <c r="F22" s="6">
        <f t="shared" si="0"/>
        <v>0</v>
      </c>
      <c r="G22" s="2"/>
      <c r="H22" s="7">
        <v>1977</v>
      </c>
      <c r="I22" s="2"/>
      <c r="J22" s="6">
        <f t="shared" si="1"/>
        <v>0</v>
      </c>
      <c r="K22" s="2"/>
      <c r="L22" s="7">
        <f t="shared" si="2"/>
        <v>753.59999999999991</v>
      </c>
      <c r="M22" s="2"/>
      <c r="N22" s="6">
        <f t="shared" si="3"/>
        <v>0.38118361153262514</v>
      </c>
      <c r="O22" s="11"/>
      <c r="P22" s="7">
        <v>2730.6</v>
      </c>
      <c r="Q22" s="2"/>
      <c r="R22" s="6">
        <f t="shared" si="4"/>
        <v>0</v>
      </c>
      <c r="S22" s="2"/>
      <c r="T22" s="7">
        <v>1977</v>
      </c>
      <c r="U22" s="2"/>
      <c r="V22" s="6">
        <f t="shared" si="5"/>
        <v>0</v>
      </c>
      <c r="W22" s="2"/>
      <c r="X22" s="7">
        <f t="shared" si="6"/>
        <v>753.59999999999991</v>
      </c>
      <c r="Y22" s="2"/>
      <c r="Z22" s="6">
        <f t="shared" si="7"/>
        <v>0.38118361153262514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21.18</v>
      </c>
      <c r="E23" s="2"/>
      <c r="F23" s="6">
        <f t="shared" si="0"/>
        <v>0</v>
      </c>
      <c r="G23" s="2"/>
      <c r="H23" s="7">
        <v>26.471360499999999</v>
      </c>
      <c r="I23" s="2"/>
      <c r="J23" s="6">
        <f t="shared" si="1"/>
        <v>0</v>
      </c>
      <c r="K23" s="2"/>
      <c r="L23" s="7">
        <f t="shared" si="2"/>
        <v>-5.2913604999999997</v>
      </c>
      <c r="M23" s="2"/>
      <c r="N23" s="6">
        <f t="shared" si="3"/>
        <v>-0.19989000943113597</v>
      </c>
      <c r="O23" s="11"/>
      <c r="P23" s="7">
        <v>21.18</v>
      </c>
      <c r="Q23" s="2"/>
      <c r="R23" s="6">
        <f t="shared" si="4"/>
        <v>0</v>
      </c>
      <c r="S23" s="2"/>
      <c r="T23" s="7">
        <v>26.471360499999999</v>
      </c>
      <c r="U23" s="2"/>
      <c r="V23" s="6">
        <f t="shared" si="5"/>
        <v>0</v>
      </c>
      <c r="W23" s="2"/>
      <c r="X23" s="7">
        <f t="shared" si="6"/>
        <v>-5.2913604999999997</v>
      </c>
      <c r="Y23" s="2"/>
      <c r="Z23" s="6">
        <f t="shared" si="7"/>
        <v>-0.19989000943113597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568.92999999999995</v>
      </c>
      <c r="E24" s="2"/>
      <c r="F24" s="6">
        <f t="shared" si="0"/>
        <v>0</v>
      </c>
      <c r="G24" s="2"/>
      <c r="H24" s="7">
        <v>875.59115499999996</v>
      </c>
      <c r="I24" s="2"/>
      <c r="J24" s="6">
        <f t="shared" si="1"/>
        <v>0</v>
      </c>
      <c r="K24" s="2"/>
      <c r="L24" s="7">
        <f t="shared" si="2"/>
        <v>-306.66115500000001</v>
      </c>
      <c r="M24" s="2"/>
      <c r="N24" s="6">
        <f t="shared" si="3"/>
        <v>-0.35023327182879094</v>
      </c>
      <c r="O24" s="11"/>
      <c r="P24" s="7">
        <v>568.92999999999995</v>
      </c>
      <c r="Q24" s="2"/>
      <c r="R24" s="6">
        <f t="shared" si="4"/>
        <v>0</v>
      </c>
      <c r="S24" s="2"/>
      <c r="T24" s="7">
        <v>875.59115499999996</v>
      </c>
      <c r="U24" s="2"/>
      <c r="V24" s="6">
        <f t="shared" si="5"/>
        <v>0</v>
      </c>
      <c r="W24" s="2"/>
      <c r="X24" s="7">
        <f t="shared" si="6"/>
        <v>-306.66115500000001</v>
      </c>
      <c r="Y24" s="2"/>
      <c r="Z24" s="6">
        <f t="shared" si="7"/>
        <v>-0.35023327182879094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1092.8499999999999</v>
      </c>
      <c r="E26" s="2"/>
      <c r="F26" s="6">
        <f t="shared" si="0"/>
        <v>0</v>
      </c>
      <c r="G26" s="2"/>
      <c r="H26" s="7">
        <v>712.69047499999999</v>
      </c>
      <c r="I26" s="2"/>
      <c r="J26" s="6">
        <f t="shared" si="1"/>
        <v>0</v>
      </c>
      <c r="K26" s="2"/>
      <c r="L26" s="7">
        <f t="shared" si="2"/>
        <v>380.15952499999992</v>
      </c>
      <c r="M26" s="2"/>
      <c r="N26" s="6">
        <f t="shared" si="3"/>
        <v>0.53341462855947375</v>
      </c>
      <c r="O26" s="11"/>
      <c r="P26" s="7">
        <v>1092.8499999999999</v>
      </c>
      <c r="Q26" s="2"/>
      <c r="R26" s="6">
        <f t="shared" si="4"/>
        <v>0</v>
      </c>
      <c r="S26" s="2"/>
      <c r="T26" s="7">
        <v>712.69047499999999</v>
      </c>
      <c r="U26" s="2"/>
      <c r="V26" s="6">
        <f t="shared" si="5"/>
        <v>0</v>
      </c>
      <c r="W26" s="2"/>
      <c r="X26" s="7">
        <f t="shared" si="6"/>
        <v>380.15952499999992</v>
      </c>
      <c r="Y26" s="2"/>
      <c r="Z26" s="6">
        <f t="shared" si="7"/>
        <v>0.53341462855947375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606.17999999999995</v>
      </c>
      <c r="E27" s="2"/>
      <c r="F27" s="6">
        <f t="shared" si="0"/>
        <v>0</v>
      </c>
      <c r="G27" s="2"/>
      <c r="H27" s="7">
        <v>305.43877500000002</v>
      </c>
      <c r="I27" s="2"/>
      <c r="J27" s="6">
        <f t="shared" si="1"/>
        <v>0</v>
      </c>
      <c r="K27" s="2"/>
      <c r="L27" s="7">
        <f t="shared" si="2"/>
        <v>300.74122499999993</v>
      </c>
      <c r="M27" s="2"/>
      <c r="N27" s="6">
        <f t="shared" si="3"/>
        <v>0.98462032202689365</v>
      </c>
      <c r="O27" s="11"/>
      <c r="P27" s="7">
        <v>606.17999999999995</v>
      </c>
      <c r="Q27" s="2"/>
      <c r="R27" s="6">
        <f t="shared" si="4"/>
        <v>0</v>
      </c>
      <c r="S27" s="2"/>
      <c r="T27" s="7">
        <v>305.43877500000002</v>
      </c>
      <c r="U27" s="2"/>
      <c r="V27" s="6">
        <f t="shared" si="5"/>
        <v>0</v>
      </c>
      <c r="W27" s="2"/>
      <c r="X27" s="7">
        <f t="shared" si="6"/>
        <v>300.74122499999993</v>
      </c>
      <c r="Y27" s="2"/>
      <c r="Z27" s="6">
        <f t="shared" si="7"/>
        <v>0.98462032202689365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103.35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103.35</v>
      </c>
      <c r="M28" s="2"/>
      <c r="N28" s="6">
        <f t="shared" si="3"/>
        <v>0</v>
      </c>
      <c r="O28" s="11"/>
      <c r="P28" s="7">
        <v>103.35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103.35</v>
      </c>
      <c r="Y28" s="2"/>
      <c r="Z28" s="6">
        <f t="shared" si="7"/>
        <v>0</v>
      </c>
    </row>
    <row r="29" spans="1:26" s="27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7737.53</v>
      </c>
      <c r="E29" s="1"/>
      <c r="F29" s="5">
        <f t="shared" ref="F29:F39" si="8">IF(D$12=0,0,D29/D$12)</f>
        <v>0</v>
      </c>
      <c r="G29" s="1"/>
      <c r="H29" s="1">
        <f>SUM(OSRRefH22_1x_0)</f>
        <v>9163.1632499999996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-1425.6332499999999</v>
      </c>
      <c r="M29" s="1"/>
      <c r="N29" s="5">
        <f t="shared" ref="N29:N39" si="11">IF(H29=0,0,L29/H29)</f>
        <v>-0.15558308971522469</v>
      </c>
      <c r="O29" s="14"/>
      <c r="P29" s="1">
        <f>SUM(OSRRefP22_1x_0)</f>
        <v>7737.53</v>
      </c>
      <c r="Q29" s="1"/>
      <c r="R29" s="5">
        <f t="shared" ref="R29:R39" si="12">IF(P$12=0,0,P29/P$12)</f>
        <v>0</v>
      </c>
      <c r="S29" s="1"/>
      <c r="T29" s="1">
        <f>SUM(OSRRefT22_1x_0)</f>
        <v>9163.1632499999996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-1425.6332499999999</v>
      </c>
      <c r="Y29" s="1"/>
      <c r="Z29" s="5">
        <f t="shared" ref="Z29:Z39" si="15">IF(T29=0,0,X29/T29)</f>
        <v>-0.15558308971522469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7737.53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7737.53</v>
      </c>
      <c r="M30" s="2"/>
      <c r="N30" s="6">
        <f t="shared" si="11"/>
        <v>0</v>
      </c>
      <c r="O30" s="11"/>
      <c r="P30" s="7">
        <v>7737.53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7737.53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9163.1632499999996</v>
      </c>
      <c r="I31" s="2"/>
      <c r="J31" s="6">
        <f t="shared" si="9"/>
        <v>0</v>
      </c>
      <c r="K31" s="2"/>
      <c r="L31" s="7">
        <f t="shared" si="10"/>
        <v>-9163.1632499999996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9163.1632499999996</v>
      </c>
      <c r="U31" s="2"/>
      <c r="V31" s="6">
        <f t="shared" si="13"/>
        <v>0</v>
      </c>
      <c r="W31" s="2"/>
      <c r="X31" s="7">
        <f t="shared" si="14"/>
        <v>-9163.1632499999996</v>
      </c>
      <c r="Y31" s="2"/>
      <c r="Z31" s="6">
        <f t="shared" si="15"/>
        <v>-1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1" si="16">IF(D$12=0,0,D40/D$12)</f>
        <v>0</v>
      </c>
      <c r="G40" s="1"/>
      <c r="H40" s="1">
        <f>SUM(OSRRefH22_2x_0)</f>
        <v>125</v>
      </c>
      <c r="I40" s="1"/>
      <c r="J40" s="5">
        <f t="shared" ref="J40:J51" si="17">IF(H$12=0,0,H40/H$12)</f>
        <v>0</v>
      </c>
      <c r="K40" s="1"/>
      <c r="L40" s="1">
        <f t="shared" ref="L40:L51" si="18">+D40-H40</f>
        <v>-125</v>
      </c>
      <c r="M40" s="1"/>
      <c r="N40" s="5">
        <f t="shared" ref="N40:N51" si="19">IF(H40=0,0,L40/H40)</f>
        <v>-1</v>
      </c>
      <c r="O40" s="14"/>
      <c r="P40" s="1">
        <f>SUM(OSRRefP22_2x_0)</f>
        <v>0</v>
      </c>
      <c r="Q40" s="1"/>
      <c r="R40" s="5">
        <f t="shared" ref="R40:R51" si="20">IF(P$12=0,0,P40/P$12)</f>
        <v>0</v>
      </c>
      <c r="S40" s="1"/>
      <c r="T40" s="1">
        <f>SUM(OSRRefT22_2x_0)</f>
        <v>125</v>
      </c>
      <c r="U40" s="1"/>
      <c r="V40" s="5">
        <f t="shared" ref="V40:V51" si="21">IF(T$12=0,0,T40/T$12)</f>
        <v>0</v>
      </c>
      <c r="W40" s="1"/>
      <c r="X40" s="1">
        <f t="shared" ref="X40:X51" si="22">+P40-T40</f>
        <v>-125</v>
      </c>
      <c r="Y40" s="1"/>
      <c r="Z40" s="5">
        <f t="shared" ref="Z40:Z51" si="23">IF(T40=0,0,X40/T40)</f>
        <v>-1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125</v>
      </c>
      <c r="I41" s="2"/>
      <c r="J41" s="6">
        <f t="shared" si="17"/>
        <v>0</v>
      </c>
      <c r="K41" s="2"/>
      <c r="L41" s="7">
        <f t="shared" si="18"/>
        <v>-125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125</v>
      </c>
      <c r="U41" s="2"/>
      <c r="V41" s="6">
        <f t="shared" si="21"/>
        <v>0</v>
      </c>
      <c r="W41" s="2"/>
      <c r="X41" s="7">
        <f t="shared" si="22"/>
        <v>-125</v>
      </c>
      <c r="Y41" s="2"/>
      <c r="Z41" s="6">
        <f t="shared" si="23"/>
        <v>-1</v>
      </c>
    </row>
    <row r="42" spans="1:26" s="27" customFormat="1" outlineLevel="1" collapsed="1" x14ac:dyDescent="0.25">
      <c r="A42" s="28"/>
      <c r="B42" s="14" t="str">
        <f>CONCATENATE("     ","Donations                                         ")</f>
        <v xml:space="preserve">     Donations              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4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100</v>
      </c>
      <c r="U42" s="1"/>
      <c r="V42" s="5">
        <f t="shared" si="21"/>
        <v>0</v>
      </c>
      <c r="W42" s="1"/>
      <c r="X42" s="1">
        <f t="shared" si="22"/>
        <v>-100</v>
      </c>
      <c r="Y42" s="1"/>
      <c r="Z42" s="5">
        <f t="shared" si="23"/>
        <v>-1</v>
      </c>
    </row>
    <row r="43" spans="1:26" s="24" customFormat="1" hidden="1" outlineLevel="2" x14ac:dyDescent="0.25">
      <c r="A43" s="29"/>
      <c r="B43" s="11" t="str">
        <f>CONCATENATE("          ", "6396", " - ", "COUPONS-CHARTROOM")</f>
        <v xml:space="preserve">          6396 - COUPONS-CHARTROOM</v>
      </c>
      <c r="C43" s="11"/>
      <c r="D43" s="7"/>
      <c r="E43" s="2"/>
      <c r="F43" s="6">
        <f t="shared" si="16"/>
        <v>0</v>
      </c>
      <c r="G43" s="2"/>
      <c r="H43" s="7">
        <v>100</v>
      </c>
      <c r="I43" s="2"/>
      <c r="J43" s="6">
        <f t="shared" si="17"/>
        <v>0</v>
      </c>
      <c r="K43" s="2"/>
      <c r="L43" s="7">
        <f t="shared" si="18"/>
        <v>-100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100</v>
      </c>
      <c r="U43" s="2"/>
      <c r="V43" s="6">
        <f t="shared" si="21"/>
        <v>0</v>
      </c>
      <c r="W43" s="2"/>
      <c r="X43" s="7">
        <f t="shared" si="22"/>
        <v>-100</v>
      </c>
      <c r="Y43" s="2"/>
      <c r="Z43" s="6">
        <f t="shared" si="23"/>
        <v>-1</v>
      </c>
    </row>
    <row r="44" spans="1:26" s="27" customFormat="1" outlineLevel="1" collapsed="1" x14ac:dyDescent="0.25">
      <c r="A44" s="28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300</v>
      </c>
      <c r="U44" s="1"/>
      <c r="V44" s="5">
        <f t="shared" si="21"/>
        <v>0</v>
      </c>
      <c r="W44" s="1"/>
      <c r="X44" s="1">
        <f t="shared" si="22"/>
        <v>-300</v>
      </c>
      <c r="Y44" s="1"/>
      <c r="Z44" s="5">
        <f t="shared" si="23"/>
        <v>-1</v>
      </c>
    </row>
    <row r="45" spans="1:26" s="24" customFormat="1" hidden="1" outlineLevel="2" x14ac:dyDescent="0.25">
      <c r="A45" s="29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>
        <v>300</v>
      </c>
      <c r="I45" s="2"/>
      <c r="J45" s="6">
        <f t="shared" si="17"/>
        <v>0</v>
      </c>
      <c r="K45" s="2"/>
      <c r="L45" s="7">
        <f t="shared" si="18"/>
        <v>-300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300</v>
      </c>
      <c r="U45" s="2"/>
      <c r="V45" s="6">
        <f t="shared" si="21"/>
        <v>0</v>
      </c>
      <c r="W45" s="2"/>
      <c r="X45" s="7">
        <f t="shared" si="22"/>
        <v>-300</v>
      </c>
      <c r="Y45" s="2"/>
      <c r="Z45" s="6">
        <f t="shared" si="23"/>
        <v>-1</v>
      </c>
    </row>
    <row r="46" spans="1:26" s="27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SUM(OSRRefD22_5x_0)</f>
        <v>127.55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-72.45</v>
      </c>
      <c r="M46" s="1"/>
      <c r="N46" s="5">
        <f t="shared" si="19"/>
        <v>-0.36225000000000002</v>
      </c>
      <c r="O46" s="14"/>
      <c r="P46" s="1">
        <f>SUM(OSRRefP22_5x_0)</f>
        <v>127.55</v>
      </c>
      <c r="Q46" s="1"/>
      <c r="R46" s="5">
        <f t="shared" si="20"/>
        <v>0</v>
      </c>
      <c r="S46" s="1"/>
      <c r="T46" s="1">
        <f>SUM(OSRRefT22_5x_0)</f>
        <v>200</v>
      </c>
      <c r="U46" s="1"/>
      <c r="V46" s="5">
        <f t="shared" si="21"/>
        <v>0</v>
      </c>
      <c r="W46" s="1"/>
      <c r="X46" s="1">
        <f t="shared" si="22"/>
        <v>-72.45</v>
      </c>
      <c r="Y46" s="1"/>
      <c r="Z46" s="5">
        <f t="shared" si="23"/>
        <v>-0.36225000000000002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7">
        <v>127.55</v>
      </c>
      <c r="E47" s="2"/>
      <c r="F47" s="6">
        <f t="shared" si="16"/>
        <v>0</v>
      </c>
      <c r="G47" s="2"/>
      <c r="H47" s="7">
        <v>200</v>
      </c>
      <c r="I47" s="2"/>
      <c r="J47" s="6">
        <f t="shared" si="17"/>
        <v>0</v>
      </c>
      <c r="K47" s="2"/>
      <c r="L47" s="7">
        <f t="shared" si="18"/>
        <v>-72.45</v>
      </c>
      <c r="M47" s="2"/>
      <c r="N47" s="6">
        <f t="shared" si="19"/>
        <v>-0.36225000000000002</v>
      </c>
      <c r="O47" s="11"/>
      <c r="P47" s="7">
        <v>127.55</v>
      </c>
      <c r="Q47" s="2"/>
      <c r="R47" s="6">
        <f t="shared" si="20"/>
        <v>0</v>
      </c>
      <c r="S47" s="2"/>
      <c r="T47" s="7">
        <v>200</v>
      </c>
      <c r="U47" s="2"/>
      <c r="V47" s="6">
        <f t="shared" si="21"/>
        <v>0</v>
      </c>
      <c r="W47" s="2"/>
      <c r="X47" s="7">
        <f t="shared" si="22"/>
        <v>-72.45</v>
      </c>
      <c r="Y47" s="2"/>
      <c r="Z47" s="6">
        <f t="shared" si="23"/>
        <v>-0.36225000000000002</v>
      </c>
    </row>
    <row r="48" spans="1:26" s="27" customFormat="1" outlineLevel="1" collapsed="1" x14ac:dyDescent="0.25">
      <c r="A48" s="28"/>
      <c r="B48" s="14" t="str">
        <f>CONCATENATE("     ","Supplies                                          ")</f>
        <v xml:space="preserve">     Supplies                                          </v>
      </c>
      <c r="C48" s="14"/>
      <c r="D48" s="1">
        <f>SUM(OSRRefD22_6x_0)</f>
        <v>618.84</v>
      </c>
      <c r="E48" s="1"/>
      <c r="F48" s="5">
        <f t="shared" si="16"/>
        <v>0</v>
      </c>
      <c r="G48" s="1"/>
      <c r="H48" s="1">
        <f>SUM(OSRRefH22_6x_0)</f>
        <v>400</v>
      </c>
      <c r="I48" s="1"/>
      <c r="J48" s="5">
        <f t="shared" si="17"/>
        <v>0</v>
      </c>
      <c r="K48" s="1"/>
      <c r="L48" s="1">
        <f t="shared" si="18"/>
        <v>218.84000000000003</v>
      </c>
      <c r="M48" s="1"/>
      <c r="N48" s="5">
        <f t="shared" si="19"/>
        <v>0.54710000000000003</v>
      </c>
      <c r="O48" s="14"/>
      <c r="P48" s="1">
        <f>SUM(OSRRefP22_6x_0)</f>
        <v>618.84</v>
      </c>
      <c r="Q48" s="1"/>
      <c r="R48" s="5">
        <f t="shared" si="20"/>
        <v>0</v>
      </c>
      <c r="S48" s="1"/>
      <c r="T48" s="1">
        <f>SUM(OSRRefT22_6x_0)</f>
        <v>400</v>
      </c>
      <c r="U48" s="1"/>
      <c r="V48" s="5">
        <f t="shared" si="21"/>
        <v>0</v>
      </c>
      <c r="W48" s="1"/>
      <c r="X48" s="1">
        <f t="shared" si="22"/>
        <v>218.84000000000003</v>
      </c>
      <c r="Y48" s="1"/>
      <c r="Z48" s="5">
        <f t="shared" si="23"/>
        <v>0.54710000000000003</v>
      </c>
    </row>
    <row r="49" spans="1:26" s="24" customFormat="1" hidden="1" outlineLevel="2" x14ac:dyDescent="0.25">
      <c r="A49" s="29"/>
      <c r="B49" s="11" t="str">
        <f>CONCATENATE("          ", "6234", " - ", "EXPENDABLE SUPPLIES &amp; EQUIPMEN")</f>
        <v xml:space="preserve">          6234 - EXPENDABLE SUPPLIES &amp; EQUIPMEN</v>
      </c>
      <c r="C49" s="11"/>
      <c r="D49" s="7"/>
      <c r="E49" s="2"/>
      <c r="F49" s="6">
        <f t="shared" si="16"/>
        <v>0</v>
      </c>
      <c r="G49" s="2"/>
      <c r="H49" s="7">
        <v>200</v>
      </c>
      <c r="I49" s="2"/>
      <c r="J49" s="6">
        <f t="shared" si="17"/>
        <v>0</v>
      </c>
      <c r="K49" s="2"/>
      <c r="L49" s="7">
        <f t="shared" si="18"/>
        <v>-200</v>
      </c>
      <c r="M49" s="2"/>
      <c r="N49" s="6">
        <f t="shared" si="19"/>
        <v>-1</v>
      </c>
      <c r="O49" s="11"/>
      <c r="P49" s="7"/>
      <c r="Q49" s="2"/>
      <c r="R49" s="6">
        <f t="shared" si="20"/>
        <v>0</v>
      </c>
      <c r="S49" s="2"/>
      <c r="T49" s="7">
        <v>200</v>
      </c>
      <c r="U49" s="2"/>
      <c r="V49" s="6">
        <f t="shared" si="21"/>
        <v>0</v>
      </c>
      <c r="W49" s="2"/>
      <c r="X49" s="7">
        <f t="shared" si="22"/>
        <v>-200</v>
      </c>
      <c r="Y49" s="2"/>
      <c r="Z49" s="6">
        <f t="shared" si="23"/>
        <v>-1</v>
      </c>
    </row>
    <row r="50" spans="1:26" s="24" customFormat="1" hidden="1" outlineLevel="2" x14ac:dyDescent="0.25">
      <c r="A50" s="29"/>
      <c r="B50" s="11" t="str">
        <f>CONCATENATE("          ", "6239", " - ", "KITCHEN SUPPLIES")</f>
        <v xml:space="preserve">          6239 - KITCHEN SUPPLIES</v>
      </c>
      <c r="C50" s="11"/>
      <c r="D50" s="7"/>
      <c r="E50" s="2"/>
      <c r="F50" s="6">
        <f t="shared" si="16"/>
        <v>0</v>
      </c>
      <c r="G50" s="2"/>
      <c r="H50" s="7">
        <v>100</v>
      </c>
      <c r="I50" s="2"/>
      <c r="J50" s="6">
        <f t="shared" si="17"/>
        <v>0</v>
      </c>
      <c r="K50" s="2"/>
      <c r="L50" s="7">
        <f t="shared" si="18"/>
        <v>-100</v>
      </c>
      <c r="M50" s="2"/>
      <c r="N50" s="6">
        <f t="shared" si="19"/>
        <v>-1</v>
      </c>
      <c r="O50" s="11"/>
      <c r="P50" s="7"/>
      <c r="Q50" s="2"/>
      <c r="R50" s="6">
        <f t="shared" si="20"/>
        <v>0</v>
      </c>
      <c r="S50" s="2"/>
      <c r="T50" s="7">
        <v>100</v>
      </c>
      <c r="U50" s="2"/>
      <c r="V50" s="6">
        <f t="shared" si="21"/>
        <v>0</v>
      </c>
      <c r="W50" s="2"/>
      <c r="X50" s="7">
        <f t="shared" si="22"/>
        <v>-100</v>
      </c>
      <c r="Y50" s="2"/>
      <c r="Z50" s="6">
        <f t="shared" si="23"/>
        <v>-1</v>
      </c>
    </row>
    <row r="51" spans="1:26" s="24" customFormat="1" hidden="1" outlineLevel="2" x14ac:dyDescent="0.25">
      <c r="A51" s="29"/>
      <c r="B51" s="11" t="str">
        <f>CONCATENATE("          ", "6241", " - ", "OFFICE EXPENSE")</f>
        <v xml:space="preserve">          6241 - OFFICE EXPENSE</v>
      </c>
      <c r="C51" s="11"/>
      <c r="D51" s="7">
        <v>618.84</v>
      </c>
      <c r="E51" s="2"/>
      <c r="F51" s="6">
        <f t="shared" si="16"/>
        <v>0</v>
      </c>
      <c r="G51" s="2"/>
      <c r="H51" s="7">
        <v>100</v>
      </c>
      <c r="I51" s="2"/>
      <c r="J51" s="6">
        <f t="shared" si="17"/>
        <v>0</v>
      </c>
      <c r="K51" s="2"/>
      <c r="L51" s="7">
        <f t="shared" si="18"/>
        <v>518.84</v>
      </c>
      <c r="M51" s="2"/>
      <c r="N51" s="6">
        <f t="shared" si="19"/>
        <v>5.1884000000000006</v>
      </c>
      <c r="O51" s="11"/>
      <c r="P51" s="7">
        <v>618.84</v>
      </c>
      <c r="Q51" s="2"/>
      <c r="R51" s="6">
        <f t="shared" si="20"/>
        <v>0</v>
      </c>
      <c r="S51" s="2"/>
      <c r="T51" s="7">
        <v>100</v>
      </c>
      <c r="U51" s="2"/>
      <c r="V51" s="6">
        <f t="shared" si="21"/>
        <v>0</v>
      </c>
      <c r="W51" s="2"/>
      <c r="X51" s="7">
        <f t="shared" si="22"/>
        <v>518.84</v>
      </c>
      <c r="Y51" s="2"/>
      <c r="Z51" s="6">
        <f t="shared" si="23"/>
        <v>5.1884000000000006</v>
      </c>
    </row>
    <row r="52" spans="1:26" s="27" customFormat="1" outlineLevel="1" collapsed="1" x14ac:dyDescent="0.25">
      <c r="A52" s="28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SUM(OSRRefD22_7x_0)</f>
        <v>-950</v>
      </c>
      <c r="E52" s="1"/>
      <c r="F52" s="5">
        <f t="shared" ref="F52:F57" si="24">IF(D$12=0,0,D52/D$12)</f>
        <v>0</v>
      </c>
      <c r="G52" s="1"/>
      <c r="H52" s="1">
        <f>SUM(OSRRefH22_7x_0)</f>
        <v>100</v>
      </c>
      <c r="I52" s="1"/>
      <c r="J52" s="5">
        <f t="shared" ref="J52:J57" si="25">IF(H$12=0,0,H52/H$12)</f>
        <v>0</v>
      </c>
      <c r="K52" s="1"/>
      <c r="L52" s="1">
        <f t="shared" ref="L52:L57" si="26">+D52-H52</f>
        <v>-1050</v>
      </c>
      <c r="M52" s="1"/>
      <c r="N52" s="5">
        <f t="shared" ref="N52:N57" si="27">IF(H52=0,0,L52/H52)</f>
        <v>-10.5</v>
      </c>
      <c r="O52" s="14"/>
      <c r="P52" s="1">
        <f>SUM(OSRRefP22_7x_0)</f>
        <v>-950</v>
      </c>
      <c r="Q52" s="1"/>
      <c r="R52" s="5">
        <f t="shared" ref="R52:R57" si="28">IF(P$12=0,0,P52/P$12)</f>
        <v>0</v>
      </c>
      <c r="S52" s="1"/>
      <c r="T52" s="1">
        <f>SUM(OSRRefT22_7x_0)</f>
        <v>100</v>
      </c>
      <c r="U52" s="1"/>
      <c r="V52" s="5">
        <f t="shared" ref="V52:V57" si="29">IF(T$12=0,0,T52/T$12)</f>
        <v>0</v>
      </c>
      <c r="W52" s="1"/>
      <c r="X52" s="1">
        <f t="shared" ref="X52:X57" si="30">+P52-T52</f>
        <v>-1050</v>
      </c>
      <c r="Y52" s="1"/>
      <c r="Z52" s="5">
        <f t="shared" ref="Z52:Z57" si="31">IF(T52=0,0,X52/T52)</f>
        <v>-10.5</v>
      </c>
    </row>
    <row r="53" spans="1:26" s="24" customFormat="1" hidden="1" outlineLevel="2" x14ac:dyDescent="0.25">
      <c r="A53" s="29"/>
      <c r="B53" s="11" t="str">
        <f>CONCATENATE("          ", "6309", " - ", "TELEPHONE")</f>
        <v xml:space="preserve">          6309 - TELEPHONE</v>
      </c>
      <c r="C53" s="11"/>
      <c r="D53" s="7">
        <v>-950</v>
      </c>
      <c r="E53" s="2"/>
      <c r="F53" s="6">
        <f t="shared" si="24"/>
        <v>0</v>
      </c>
      <c r="G53" s="2"/>
      <c r="H53" s="7">
        <v>100</v>
      </c>
      <c r="I53" s="2"/>
      <c r="J53" s="6">
        <f t="shared" si="25"/>
        <v>0</v>
      </c>
      <c r="K53" s="2"/>
      <c r="L53" s="7">
        <f t="shared" si="26"/>
        <v>-1050</v>
      </c>
      <c r="M53" s="2"/>
      <c r="N53" s="6">
        <f t="shared" si="27"/>
        <v>-10.5</v>
      </c>
      <c r="O53" s="11"/>
      <c r="P53" s="7">
        <v>-950</v>
      </c>
      <c r="Q53" s="2"/>
      <c r="R53" s="6">
        <f t="shared" si="28"/>
        <v>0</v>
      </c>
      <c r="S53" s="2"/>
      <c r="T53" s="7">
        <v>100</v>
      </c>
      <c r="U53" s="2"/>
      <c r="V53" s="6">
        <f t="shared" si="29"/>
        <v>0</v>
      </c>
      <c r="W53" s="2"/>
      <c r="X53" s="7">
        <f t="shared" si="30"/>
        <v>-1050</v>
      </c>
      <c r="Y53" s="2"/>
      <c r="Z53" s="6">
        <f t="shared" si="31"/>
        <v>-10.5</v>
      </c>
    </row>
    <row r="54" spans="1:26" s="27" customFormat="1" outlineLevel="1" collapsed="1" x14ac:dyDescent="0.25">
      <c r="A54" s="28"/>
      <c r="B54" s="14" t="str">
        <f>CONCATENATE("     ","Training                                          ")</f>
        <v xml:space="preserve">     Training                                          </v>
      </c>
      <c r="C54" s="14"/>
      <c r="D54" s="1">
        <f>SUM(OSRRefD22_8x_0)</f>
        <v>1321.12</v>
      </c>
      <c r="E54" s="1"/>
      <c r="F54" s="5">
        <f t="shared" si="24"/>
        <v>0</v>
      </c>
      <c r="G54" s="1"/>
      <c r="H54" s="1">
        <f>SUM(OSRRefH22_8x_0)</f>
        <v>300</v>
      </c>
      <c r="I54" s="1"/>
      <c r="J54" s="5">
        <f t="shared" si="25"/>
        <v>0</v>
      </c>
      <c r="K54" s="1"/>
      <c r="L54" s="1">
        <f t="shared" si="26"/>
        <v>1021.1199999999999</v>
      </c>
      <c r="M54" s="1"/>
      <c r="N54" s="5">
        <f t="shared" si="27"/>
        <v>3.4037333333333328</v>
      </c>
      <c r="O54" s="14"/>
      <c r="P54" s="1">
        <f>SUM(OSRRefP22_8x_0)</f>
        <v>1321.12</v>
      </c>
      <c r="Q54" s="1"/>
      <c r="R54" s="5">
        <f t="shared" si="28"/>
        <v>0</v>
      </c>
      <c r="S54" s="1"/>
      <c r="T54" s="1">
        <f>SUM(OSRRefT22_8x_0)</f>
        <v>300</v>
      </c>
      <c r="U54" s="1"/>
      <c r="V54" s="5">
        <f t="shared" si="29"/>
        <v>0</v>
      </c>
      <c r="W54" s="1"/>
      <c r="X54" s="1">
        <f t="shared" si="30"/>
        <v>1021.1199999999999</v>
      </c>
      <c r="Y54" s="1"/>
      <c r="Z54" s="5">
        <f t="shared" si="31"/>
        <v>3.4037333333333328</v>
      </c>
    </row>
    <row r="55" spans="1:26" s="24" customFormat="1" hidden="1" outlineLevel="2" x14ac:dyDescent="0.25">
      <c r="A55" s="29"/>
      <c r="B55" s="11" t="str">
        <f>CONCATENATE("          ", "6376", " - ", "TRAINING")</f>
        <v xml:space="preserve">          6376 - TRAINING</v>
      </c>
      <c r="C55" s="11"/>
      <c r="D55" s="7">
        <v>1321.12</v>
      </c>
      <c r="E55" s="2"/>
      <c r="F55" s="6">
        <f t="shared" si="24"/>
        <v>0</v>
      </c>
      <c r="G55" s="2"/>
      <c r="H55" s="7">
        <v>300</v>
      </c>
      <c r="I55" s="2"/>
      <c r="J55" s="6">
        <f t="shared" si="25"/>
        <v>0</v>
      </c>
      <c r="K55" s="2"/>
      <c r="L55" s="7">
        <f t="shared" si="26"/>
        <v>1021.1199999999999</v>
      </c>
      <c r="M55" s="2"/>
      <c r="N55" s="6">
        <f t="shared" si="27"/>
        <v>3.4037333333333328</v>
      </c>
      <c r="O55" s="11"/>
      <c r="P55" s="7">
        <v>1321.12</v>
      </c>
      <c r="Q55" s="2"/>
      <c r="R55" s="6">
        <f t="shared" si="28"/>
        <v>0</v>
      </c>
      <c r="S55" s="2"/>
      <c r="T55" s="7">
        <v>300</v>
      </c>
      <c r="U55" s="2"/>
      <c r="V55" s="6">
        <f t="shared" si="29"/>
        <v>0</v>
      </c>
      <c r="W55" s="2"/>
      <c r="X55" s="7">
        <f t="shared" si="30"/>
        <v>1021.1199999999999</v>
      </c>
      <c r="Y55" s="2"/>
      <c r="Z55" s="6">
        <f t="shared" si="31"/>
        <v>3.4037333333333328</v>
      </c>
    </row>
    <row r="56" spans="1:26" s="27" customFormat="1" outlineLevel="1" collapsed="1" x14ac:dyDescent="0.25">
      <c r="A56" s="28"/>
      <c r="B56" s="14" t="str">
        <f>CONCATENATE("     ","Travel                                            ")</f>
        <v xml:space="preserve">     Travel                                            </v>
      </c>
      <c r="C56" s="14"/>
      <c r="D56" s="1">
        <f>SUM(OSRRefD22_9x_0)</f>
        <v>0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-300</v>
      </c>
      <c r="M56" s="1"/>
      <c r="N56" s="5">
        <f t="shared" si="27"/>
        <v>-1</v>
      </c>
      <c r="O56" s="14"/>
      <c r="P56" s="1">
        <f>SUM(OSRRefP22_9x_0)</f>
        <v>0</v>
      </c>
      <c r="Q56" s="1"/>
      <c r="R56" s="5">
        <f t="shared" si="28"/>
        <v>0</v>
      </c>
      <c r="S56" s="1"/>
      <c r="T56" s="1">
        <f>SUM(OSRRefT22_9x_0)</f>
        <v>300</v>
      </c>
      <c r="U56" s="1"/>
      <c r="V56" s="5">
        <f t="shared" si="29"/>
        <v>0</v>
      </c>
      <c r="W56" s="1"/>
      <c r="X56" s="1">
        <f t="shared" si="30"/>
        <v>-300</v>
      </c>
      <c r="Y56" s="1"/>
      <c r="Z56" s="5">
        <f t="shared" si="31"/>
        <v>-1</v>
      </c>
    </row>
    <row r="57" spans="1:26" s="24" customFormat="1" hidden="1" outlineLevel="2" x14ac:dyDescent="0.25">
      <c r="A57" s="29"/>
      <c r="B57" s="11" t="str">
        <f>CONCATENATE("          ", "6292", " - ", "TRAVEL/CONFERENCE")</f>
        <v xml:space="preserve">          6292 - TRAVEL/CONFERENCE</v>
      </c>
      <c r="C57" s="11"/>
      <c r="D57" s="7"/>
      <c r="E57" s="2"/>
      <c r="F57" s="6">
        <f t="shared" si="24"/>
        <v>0</v>
      </c>
      <c r="G57" s="2"/>
      <c r="H57" s="7">
        <v>300</v>
      </c>
      <c r="I57" s="2"/>
      <c r="J57" s="6">
        <f t="shared" si="25"/>
        <v>0</v>
      </c>
      <c r="K57" s="2"/>
      <c r="L57" s="7">
        <f t="shared" si="26"/>
        <v>-300</v>
      </c>
      <c r="M57" s="2"/>
      <c r="N57" s="6">
        <f t="shared" si="27"/>
        <v>-1</v>
      </c>
      <c r="O57" s="11"/>
      <c r="P57" s="7"/>
      <c r="Q57" s="2"/>
      <c r="R57" s="6">
        <f t="shared" si="28"/>
        <v>0</v>
      </c>
      <c r="S57" s="2"/>
      <c r="T57" s="7">
        <v>300</v>
      </c>
      <c r="U57" s="2"/>
      <c r="V57" s="6">
        <f t="shared" si="29"/>
        <v>0</v>
      </c>
      <c r="W57" s="2"/>
      <c r="X57" s="7">
        <f t="shared" si="30"/>
        <v>-300</v>
      </c>
      <c r="Y57" s="2"/>
      <c r="Z57" s="6">
        <f t="shared" si="31"/>
        <v>-1</v>
      </c>
    </row>
    <row r="58" spans="1:26" s="57" customFormat="1" x14ac:dyDescent="0.25">
      <c r="A58" s="36"/>
      <c r="B58" s="36"/>
      <c r="C58" s="36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5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6" t="s">
        <v>3</v>
      </c>
      <c r="C61" s="26"/>
      <c r="D61" s="21">
        <f>+D16-D18+D59</f>
        <v>-14917.259999999998</v>
      </c>
      <c r="E61" s="13"/>
      <c r="F61" s="19">
        <f>IF(D$12=0,0,D61/D$12)</f>
        <v>0</v>
      </c>
      <c r="G61" s="13"/>
      <c r="H61" s="21">
        <f>+H16-H18+H59</f>
        <v>-16059.563479525001</v>
      </c>
      <c r="I61" s="13"/>
      <c r="J61" s="19">
        <f>IF(H$12=0,0,H61/H$12)</f>
        <v>0</v>
      </c>
      <c r="K61" s="15"/>
      <c r="L61" s="21">
        <f>+D61-H61</f>
        <v>1142.3034795250023</v>
      </c>
      <c r="M61" s="15"/>
      <c r="N61" s="19">
        <f>IF(H61=0,0,L61/H61)</f>
        <v>-7.112917365290608E-2</v>
      </c>
      <c r="O61" s="25"/>
      <c r="P61" s="21">
        <f>+P16-P18+P59</f>
        <v>-14917.259999999998</v>
      </c>
      <c r="Q61" s="13"/>
      <c r="R61" s="19">
        <f>IF(P$12=0,0,P61/P$12)</f>
        <v>0</v>
      </c>
      <c r="S61" s="13"/>
      <c r="T61" s="21">
        <f>+T16-T18+T59</f>
        <v>-16059.563479525001</v>
      </c>
      <c r="U61" s="13"/>
      <c r="V61" s="19">
        <f>IF(T$12=0,0,T61/T$12)</f>
        <v>0</v>
      </c>
      <c r="W61" s="15"/>
      <c r="X61" s="21">
        <f>+P61-T61</f>
        <v>1142.3034795250023</v>
      </c>
      <c r="Y61" s="15"/>
      <c r="Z61" s="19">
        <f>IF(T61=0,0,X61/T61)</f>
        <v>-7.112917365290608E-2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2"/>
      <c r="B63" s="10" t="s">
        <v>14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6" t="s">
        <v>4</v>
      </c>
      <c r="C65" s="26"/>
      <c r="D65" s="32">
        <f>+D61-D63</f>
        <v>-14917.259999999998</v>
      </c>
      <c r="E65" s="13"/>
      <c r="F65" s="31">
        <f>IF(D$12=0,0,D65/D$12)</f>
        <v>0</v>
      </c>
      <c r="G65" s="13"/>
      <c r="H65" s="32">
        <f>+H61-H63</f>
        <v>-16059.563479525001</v>
      </c>
      <c r="I65" s="13"/>
      <c r="J65" s="31">
        <f>IF(H$12=0,0,H65/H$12)</f>
        <v>0</v>
      </c>
      <c r="K65" s="15"/>
      <c r="L65" s="32">
        <f>D65-H65</f>
        <v>1142.3034795250023</v>
      </c>
      <c r="M65" s="15"/>
      <c r="N65" s="31">
        <f>IF(H65=0,0,L65/H65)</f>
        <v>-7.112917365290608E-2</v>
      </c>
      <c r="O65" s="25"/>
      <c r="P65" s="32">
        <f>+P61-P63</f>
        <v>-14917.259999999998</v>
      </c>
      <c r="Q65" s="13"/>
      <c r="R65" s="31">
        <f>IF(P$12=0,0,P65/P$12)</f>
        <v>0</v>
      </c>
      <c r="S65" s="13"/>
      <c r="T65" s="32">
        <f>+T61-T63</f>
        <v>-16059.563479525001</v>
      </c>
      <c r="U65" s="13"/>
      <c r="V65" s="31">
        <f>IF(T$12=0,0,T65/T$12)</f>
        <v>0</v>
      </c>
      <c r="W65" s="15"/>
      <c r="X65" s="32">
        <f>P65-T65</f>
        <v>1142.3034795250023</v>
      </c>
      <c r="Y65" s="15"/>
      <c r="Z65" s="31">
        <f>IF(T65=0,0,X65/T65)</f>
        <v>-7.112917365290608E-2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6" t="s">
        <v>5</v>
      </c>
      <c r="C68" s="26"/>
      <c r="D68" s="33">
        <f>SUM(D65:D67)</f>
        <v>-14917.259999999998</v>
      </c>
      <c r="E68" s="13"/>
      <c r="F68" s="34">
        <f>IF(D$12=0,0,D68/D$12)</f>
        <v>0</v>
      </c>
      <c r="G68" s="13"/>
      <c r="H68" s="33">
        <f>SUM(H65:H67)</f>
        <v>-16059.563479525001</v>
      </c>
      <c r="I68" s="13"/>
      <c r="J68" s="34">
        <f>IF(H$12=0,0,H68/H$12)</f>
        <v>0</v>
      </c>
      <c r="K68" s="15"/>
      <c r="L68" s="33">
        <f>+D68-H68</f>
        <v>1142.3034795250023</v>
      </c>
      <c r="M68" s="15"/>
      <c r="N68" s="34">
        <f>IF(H68=0,0,L68/H68)</f>
        <v>-7.112917365290608E-2</v>
      </c>
      <c r="O68" s="25"/>
      <c r="P68" s="33">
        <f>SUM(P65:P67)</f>
        <v>-14917.259999999998</v>
      </c>
      <c r="Q68" s="13"/>
      <c r="R68" s="34">
        <f>IF(P$12=0,0,P68/P$12)</f>
        <v>0</v>
      </c>
      <c r="S68" s="13"/>
      <c r="T68" s="33">
        <f>SUM(T65:T67)</f>
        <v>-16059.563479525001</v>
      </c>
      <c r="U68" s="13"/>
      <c r="V68" s="34">
        <f>IF(T$12=0,0,T68/T$12)</f>
        <v>0</v>
      </c>
      <c r="W68" s="15"/>
      <c r="X68" s="33">
        <f>+P68-T68</f>
        <v>1142.3034795250023</v>
      </c>
      <c r="Y68" s="15"/>
      <c r="Z68" s="34">
        <f>IF(T68=0,0,X68/T68)</f>
        <v>-7.112917365290608E-2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61">
        <v>43726.679151122684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6" t="s">
        <v>314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3"/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","433", " - ", "Hillside Dining Hall")</f>
        <v>Department 433 - Hillside Dining Hall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246499.62</v>
      </c>
      <c r="E12" s="4"/>
      <c r="F12" s="12"/>
      <c r="G12" s="4"/>
      <c r="H12" s="4">
        <f>SUM(OSRRefH13x_0)</f>
        <v>276000</v>
      </c>
      <c r="I12" s="4"/>
      <c r="J12" s="12"/>
      <c r="K12" s="4"/>
      <c r="L12" s="4">
        <f t="shared" ref="L12:L16" si="0">+D12-H12</f>
        <v>-29500.380000000005</v>
      </c>
      <c r="M12" s="4"/>
      <c r="N12" s="12">
        <f t="shared" ref="N12:N16" si="1">IF(H12=0,0,L12/H12)</f>
        <v>-0.10688543478260872</v>
      </c>
      <c r="O12" s="10"/>
      <c r="P12" s="4">
        <f>SUM(OSRRefP13x_0)</f>
        <v>246499.62</v>
      </c>
      <c r="Q12" s="4"/>
      <c r="R12" s="12"/>
      <c r="S12" s="4"/>
      <c r="T12" s="4">
        <f>SUM(OSRRefT13x_0)</f>
        <v>276000</v>
      </c>
      <c r="U12" s="4"/>
      <c r="V12" s="12"/>
      <c r="W12" s="4"/>
      <c r="X12" s="4">
        <f t="shared" ref="X12:X16" si="2">+P12-T12</f>
        <v>-29500.380000000005</v>
      </c>
      <c r="Y12" s="4"/>
      <c r="Z12" s="12">
        <f t="shared" ref="Z12:Z16" si="3">IF(T12=0,0,X12/T12)</f>
        <v>-0.10688543478260872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--658.65</f>
        <v>658.65</v>
      </c>
      <c r="E13" s="2"/>
      <c r="F13" s="22"/>
      <c r="G13" s="2"/>
      <c r="H13" s="2"/>
      <c r="I13" s="2"/>
      <c r="J13" s="22"/>
      <c r="K13" s="2"/>
      <c r="L13" s="2">
        <f t="shared" si="0"/>
        <v>658.65</v>
      </c>
      <c r="M13" s="2"/>
      <c r="N13" s="22">
        <f t="shared" si="1"/>
        <v>0</v>
      </c>
      <c r="O13" s="11"/>
      <c r="P13" s="2">
        <f>--658.65</f>
        <v>658.65</v>
      </c>
      <c r="Q13" s="2"/>
      <c r="R13" s="22"/>
      <c r="S13" s="2"/>
      <c r="T13" s="2"/>
      <c r="U13" s="2"/>
      <c r="V13" s="22"/>
      <c r="W13" s="2"/>
      <c r="X13" s="2">
        <f t="shared" si="2"/>
        <v>658.65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276000</v>
      </c>
      <c r="I14" s="2"/>
      <c r="J14" s="22"/>
      <c r="K14" s="2"/>
      <c r="L14" s="2">
        <f t="shared" si="0"/>
        <v>-276000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276000</v>
      </c>
      <c r="U14" s="2"/>
      <c r="V14" s="22"/>
      <c r="W14" s="2"/>
      <c r="X14" s="2">
        <f t="shared" si="2"/>
        <v>-276000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--242604.95</f>
        <v>242604.95</v>
      </c>
      <c r="E15" s="2"/>
      <c r="F15" s="22"/>
      <c r="G15" s="2"/>
      <c r="H15" s="2"/>
      <c r="I15" s="2"/>
      <c r="J15" s="22"/>
      <c r="K15" s="2"/>
      <c r="L15" s="2">
        <f t="shared" si="0"/>
        <v>242604.95</v>
      </c>
      <c r="M15" s="2"/>
      <c r="N15" s="22">
        <f t="shared" si="1"/>
        <v>0</v>
      </c>
      <c r="O15" s="11"/>
      <c r="P15" s="2">
        <f>--242604.95</f>
        <v>242604.95</v>
      </c>
      <c r="Q15" s="2"/>
      <c r="R15" s="22"/>
      <c r="S15" s="2"/>
      <c r="T15" s="2"/>
      <c r="U15" s="2"/>
      <c r="V15" s="22"/>
      <c r="W15" s="2"/>
      <c r="X15" s="2">
        <f t="shared" si="2"/>
        <v>242604.95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--3236.02</f>
        <v>3236.02</v>
      </c>
      <c r="E16" s="2"/>
      <c r="F16" s="22"/>
      <c r="G16" s="2"/>
      <c r="H16" s="2"/>
      <c r="I16" s="2"/>
      <c r="J16" s="22"/>
      <c r="K16" s="2"/>
      <c r="L16" s="2">
        <f t="shared" si="0"/>
        <v>3236.02</v>
      </c>
      <c r="M16" s="2"/>
      <c r="N16" s="22">
        <f t="shared" si="1"/>
        <v>0</v>
      </c>
      <c r="O16" s="11"/>
      <c r="P16" s="2">
        <f>--3236.02</f>
        <v>3236.02</v>
      </c>
      <c r="Q16" s="2"/>
      <c r="R16" s="22"/>
      <c r="S16" s="2"/>
      <c r="T16" s="2"/>
      <c r="U16" s="2"/>
      <c r="V16" s="22"/>
      <c r="W16" s="2"/>
      <c r="X16" s="2">
        <f t="shared" si="2"/>
        <v>3236.02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73268.08</v>
      </c>
      <c r="E18" s="4"/>
      <c r="F18" s="12">
        <f t="shared" ref="F18:F21" si="4">IF(D$12=0,0,D18/D$12)</f>
        <v>0.29723404847439522</v>
      </c>
      <c r="G18" s="4"/>
      <c r="H18" s="4">
        <f>SUM(OSRRefH16x_0)</f>
        <v>77280</v>
      </c>
      <c r="I18" s="4"/>
      <c r="J18" s="12">
        <f t="shared" ref="J18:J21" si="5">IF(H$12=0,0,H18/H$12)</f>
        <v>0.28000000000000003</v>
      </c>
      <c r="K18" s="4"/>
      <c r="L18" s="4">
        <f t="shared" ref="L18:L21" si="6">+D18-H18</f>
        <v>-4011.9199999999983</v>
      </c>
      <c r="M18" s="4"/>
      <c r="N18" s="12">
        <f t="shared" ref="N18:N21" si="7">IF(H18=0,0,L18/H18)</f>
        <v>-5.1914078674948218E-2</v>
      </c>
      <c r="O18" s="10"/>
      <c r="P18" s="4">
        <f>SUM(OSRRefP16x_0)</f>
        <v>73268.08</v>
      </c>
      <c r="Q18" s="4"/>
      <c r="R18" s="12">
        <f t="shared" ref="R18:R21" si="8">IF(P$12=0,0,P18/P$12)</f>
        <v>0.29723404847439522</v>
      </c>
      <c r="S18" s="4"/>
      <c r="T18" s="4">
        <f>SUM(OSRRefT16x_0)</f>
        <v>77280</v>
      </c>
      <c r="U18" s="4"/>
      <c r="V18" s="12">
        <f t="shared" ref="V18:V21" si="9">IF(T$12=0,0,T18/T$12)</f>
        <v>0.28000000000000003</v>
      </c>
      <c r="W18" s="4"/>
      <c r="X18" s="4">
        <f t="shared" ref="X18:X21" si="10">+P18-T18</f>
        <v>-4011.9199999999983</v>
      </c>
      <c r="Y18" s="4"/>
      <c r="Z18" s="12">
        <f t="shared" ref="Z18:Z21" si="11">IF(T18=0,0,X18/T18)</f>
        <v>-5.1914078674948218E-2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77280</v>
      </c>
      <c r="I19" s="2"/>
      <c r="J19" s="22">
        <f t="shared" si="5"/>
        <v>0.28000000000000003</v>
      </c>
      <c r="K19" s="2"/>
      <c r="L19" s="2">
        <f t="shared" si="6"/>
        <v>-77280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77280</v>
      </c>
      <c r="U19" s="2"/>
      <c r="V19" s="22">
        <f t="shared" si="9"/>
        <v>0.28000000000000003</v>
      </c>
      <c r="W19" s="2"/>
      <c r="X19" s="2">
        <f t="shared" si="10"/>
        <v>-77280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73436.08</v>
      </c>
      <c r="E20" s="2"/>
      <c r="F20" s="22">
        <f t="shared" si="4"/>
        <v>0.29791559110719928</v>
      </c>
      <c r="G20" s="2"/>
      <c r="H20" s="2"/>
      <c r="I20" s="2"/>
      <c r="J20" s="22">
        <f t="shared" si="5"/>
        <v>0</v>
      </c>
      <c r="K20" s="2"/>
      <c r="L20" s="2">
        <f t="shared" si="6"/>
        <v>73436.08</v>
      </c>
      <c r="M20" s="2"/>
      <c r="N20" s="22">
        <f t="shared" si="7"/>
        <v>0</v>
      </c>
      <c r="O20" s="11"/>
      <c r="P20" s="2">
        <v>73436.08</v>
      </c>
      <c r="Q20" s="2"/>
      <c r="R20" s="22">
        <f t="shared" si="8"/>
        <v>0.29791559110719928</v>
      </c>
      <c r="S20" s="2"/>
      <c r="T20" s="2"/>
      <c r="U20" s="2"/>
      <c r="V20" s="22">
        <f t="shared" si="9"/>
        <v>0</v>
      </c>
      <c r="W20" s="2"/>
      <c r="X20" s="2">
        <f t="shared" si="10"/>
        <v>73436.08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-168</v>
      </c>
      <c r="E21" s="2"/>
      <c r="F21" s="22">
        <f t="shared" si="4"/>
        <v>-6.8154263280405865E-4</v>
      </c>
      <c r="G21" s="2"/>
      <c r="H21" s="2"/>
      <c r="I21" s="2"/>
      <c r="J21" s="22">
        <f t="shared" si="5"/>
        <v>0</v>
      </c>
      <c r="K21" s="2"/>
      <c r="L21" s="2">
        <f t="shared" si="6"/>
        <v>-168</v>
      </c>
      <c r="M21" s="2"/>
      <c r="N21" s="22">
        <f t="shared" si="7"/>
        <v>0</v>
      </c>
      <c r="O21" s="11"/>
      <c r="P21" s="2">
        <v>-168</v>
      </c>
      <c r="Q21" s="2"/>
      <c r="R21" s="22">
        <f t="shared" si="8"/>
        <v>-6.8154263280405865E-4</v>
      </c>
      <c r="S21" s="2"/>
      <c r="T21" s="2"/>
      <c r="U21" s="2"/>
      <c r="V21" s="22">
        <f t="shared" si="9"/>
        <v>0</v>
      </c>
      <c r="W21" s="2"/>
      <c r="X21" s="2">
        <f t="shared" si="10"/>
        <v>-168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1">
        <f>D12-D18</f>
        <v>173231.53999999998</v>
      </c>
      <c r="E23" s="13"/>
      <c r="F23" s="19">
        <f>IF(D$12=0,0,D23/D$12)</f>
        <v>0.70276595152560473</v>
      </c>
      <c r="G23" s="13"/>
      <c r="H23" s="21">
        <f>H12-H18</f>
        <v>198720</v>
      </c>
      <c r="I23" s="13"/>
      <c r="J23" s="19">
        <f>IF(H$12=0,0,H23/H$12)</f>
        <v>0.72</v>
      </c>
      <c r="K23" s="15"/>
      <c r="L23" s="21">
        <f>+D23-H23</f>
        <v>-25488.460000000021</v>
      </c>
      <c r="M23" s="15"/>
      <c r="N23" s="19">
        <f>IF(H23=0,0,L23/H23)</f>
        <v>-0.12826318438003231</v>
      </c>
      <c r="O23" s="25"/>
      <c r="P23" s="21">
        <f>P12-P18</f>
        <v>173231.53999999998</v>
      </c>
      <c r="Q23" s="13"/>
      <c r="R23" s="19">
        <f>IF(P$12=0,0,P23/P$12)</f>
        <v>0.70276595152560473</v>
      </c>
      <c r="S23" s="13"/>
      <c r="T23" s="21">
        <f>T12-T18</f>
        <v>198720</v>
      </c>
      <c r="U23" s="13"/>
      <c r="V23" s="19">
        <f>IF(T$12=0,0,T23/T$12)</f>
        <v>0.72</v>
      </c>
      <c r="W23" s="15"/>
      <c r="X23" s="21">
        <f>+P23-T23</f>
        <v>-25488.460000000021</v>
      </c>
      <c r="Y23" s="15"/>
      <c r="Z23" s="19">
        <f>IF(T23=0,0,X23/T23)</f>
        <v>-0.12826318438003231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0">
        <f>SUM(OSRRefD22x_0)</f>
        <v>147559.66000000003</v>
      </c>
      <c r="E25" s="20"/>
      <c r="F25" s="30">
        <f t="shared" ref="F25:F36" si="12">IF(D$12=0,0,D25/D$12)</f>
        <v>0.5986202331670939</v>
      </c>
      <c r="G25" s="20"/>
      <c r="H25" s="20">
        <f>SUM(OSRRefH22x_0)</f>
        <v>173119.14601935417</v>
      </c>
      <c r="I25" s="20"/>
      <c r="J25" s="30">
        <f t="shared" ref="J25:J36" si="13">IF(H$12=0,0,H25/H$12)</f>
        <v>0.62724328267881946</v>
      </c>
      <c r="K25" s="4"/>
      <c r="L25" s="20">
        <f t="shared" ref="L25:L36" si="14">+D25-H25</f>
        <v>-25559.486019354139</v>
      </c>
      <c r="M25" s="4"/>
      <c r="N25" s="30">
        <f t="shared" ref="N25:N36" si="15">IF(H25=0,0,L25/H25)</f>
        <v>-0.14764101260352031</v>
      </c>
      <c r="O25" s="10"/>
      <c r="P25" s="20">
        <f>SUM(OSRRefP22x_0)</f>
        <v>147559.66000000003</v>
      </c>
      <c r="Q25" s="20"/>
      <c r="R25" s="30">
        <f t="shared" ref="R25:R36" si="16">IF(P$12=0,0,P25/P$12)</f>
        <v>0.5986202331670939</v>
      </c>
      <c r="S25" s="20"/>
      <c r="T25" s="20">
        <f>SUM(OSRRefT22x_0)</f>
        <v>173119.14601935417</v>
      </c>
      <c r="U25" s="20"/>
      <c r="V25" s="30">
        <f t="shared" ref="V25:V36" si="17">IF(T$12=0,0,T25/T$12)</f>
        <v>0.62724328267881946</v>
      </c>
      <c r="W25" s="4"/>
      <c r="X25" s="20">
        <f t="shared" ref="X25:X36" si="18">+P25-T25</f>
        <v>-25559.486019354139</v>
      </c>
      <c r="Y25" s="4"/>
      <c r="Z25" s="30">
        <f t="shared" ref="Z25:Z36" si="19">IF(T25=0,0,X25/T25)</f>
        <v>-0.14764101260352031</v>
      </c>
    </row>
    <row r="26" spans="1:26" s="27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33496.06</v>
      </c>
      <c r="E26" s="1"/>
      <c r="F26" s="5">
        <f t="shared" si="12"/>
        <v>0.13588686262477809</v>
      </c>
      <c r="G26" s="1"/>
      <c r="H26" s="1">
        <f>SUM(OSRRefH22_0x_0)</f>
        <v>34828.998050892667</v>
      </c>
      <c r="I26" s="1"/>
      <c r="J26" s="5">
        <f t="shared" si="13"/>
        <v>0.12619202192352416</v>
      </c>
      <c r="K26" s="1"/>
      <c r="L26" s="1">
        <f t="shared" si="14"/>
        <v>-1332.9380508926697</v>
      </c>
      <c r="M26" s="1"/>
      <c r="N26" s="5">
        <f t="shared" si="15"/>
        <v>-3.8270927258514879E-2</v>
      </c>
      <c r="O26" s="14"/>
      <c r="P26" s="1">
        <f>SUM(OSRRefP22_0x_0)</f>
        <v>33496.06</v>
      </c>
      <c r="Q26" s="1"/>
      <c r="R26" s="5">
        <f t="shared" si="16"/>
        <v>0.13588686262477809</v>
      </c>
      <c r="S26" s="1"/>
      <c r="T26" s="1">
        <f>SUM(OSRRefT22_0x_0)</f>
        <v>34828.998050892667</v>
      </c>
      <c r="U26" s="1"/>
      <c r="V26" s="5">
        <f t="shared" si="17"/>
        <v>0.12619202192352416</v>
      </c>
      <c r="W26" s="1"/>
      <c r="X26" s="1">
        <f t="shared" si="18"/>
        <v>-1332.9380508926697</v>
      </c>
      <c r="Y26" s="1"/>
      <c r="Z26" s="5">
        <f t="shared" si="19"/>
        <v>-3.8270927258514879E-2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4936.18</v>
      </c>
      <c r="E27" s="2"/>
      <c r="F27" s="6">
        <f t="shared" si="12"/>
        <v>2.0025101864254397E-2</v>
      </c>
      <c r="G27" s="2"/>
      <c r="H27" s="7">
        <v>7417.0977379003907</v>
      </c>
      <c r="I27" s="2"/>
      <c r="J27" s="6">
        <f t="shared" si="13"/>
        <v>2.6873542528624603E-2</v>
      </c>
      <c r="K27" s="2"/>
      <c r="L27" s="7">
        <f t="shared" si="14"/>
        <v>-2480.9177379003904</v>
      </c>
      <c r="M27" s="2"/>
      <c r="N27" s="6">
        <f t="shared" si="15"/>
        <v>-0.33448632141157153</v>
      </c>
      <c r="O27" s="11"/>
      <c r="P27" s="7">
        <v>4936.18</v>
      </c>
      <c r="Q27" s="2"/>
      <c r="R27" s="6">
        <f t="shared" si="16"/>
        <v>2.0025101864254397E-2</v>
      </c>
      <c r="S27" s="2"/>
      <c r="T27" s="7">
        <v>7417.0977379003907</v>
      </c>
      <c r="U27" s="2"/>
      <c r="V27" s="6">
        <f t="shared" si="17"/>
        <v>2.6873542528624603E-2</v>
      </c>
      <c r="W27" s="2"/>
      <c r="X27" s="7">
        <f t="shared" si="18"/>
        <v>-2480.9177379003904</v>
      </c>
      <c r="Y27" s="2"/>
      <c r="Z27" s="6">
        <f t="shared" si="19"/>
        <v>-0.33448632141157153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2514.48</v>
      </c>
      <c r="E28" s="2"/>
      <c r="F28" s="6">
        <f t="shared" si="12"/>
        <v>1.0200745948411605E-2</v>
      </c>
      <c r="G28" s="2"/>
      <c r="H28" s="7">
        <v>3760.3997416769198</v>
      </c>
      <c r="I28" s="2"/>
      <c r="J28" s="6">
        <f t="shared" si="13"/>
        <v>1.3624636745206231E-2</v>
      </c>
      <c r="K28" s="2"/>
      <c r="L28" s="7">
        <f t="shared" si="14"/>
        <v>-1245.9197416769198</v>
      </c>
      <c r="M28" s="2"/>
      <c r="N28" s="6">
        <f t="shared" si="15"/>
        <v>-0.33132640869752639</v>
      </c>
      <c r="O28" s="11"/>
      <c r="P28" s="7">
        <v>2514.48</v>
      </c>
      <c r="Q28" s="2"/>
      <c r="R28" s="6">
        <f t="shared" si="16"/>
        <v>1.0200745948411605E-2</v>
      </c>
      <c r="S28" s="2"/>
      <c r="T28" s="7">
        <v>3760.3997416769198</v>
      </c>
      <c r="U28" s="2"/>
      <c r="V28" s="6">
        <f t="shared" si="17"/>
        <v>1.3624636745206231E-2</v>
      </c>
      <c r="W28" s="2"/>
      <c r="X28" s="7">
        <f t="shared" si="18"/>
        <v>-1245.9197416769198</v>
      </c>
      <c r="Y28" s="2"/>
      <c r="Z28" s="6">
        <f t="shared" si="19"/>
        <v>-0.33132640869752639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13940.76</v>
      </c>
      <c r="E29" s="2"/>
      <c r="F29" s="6">
        <f t="shared" si="12"/>
        <v>5.6554894486247079E-2</v>
      </c>
      <c r="G29" s="2"/>
      <c r="H29" s="7">
        <v>17552.769230769198</v>
      </c>
      <c r="I29" s="2"/>
      <c r="J29" s="6">
        <f t="shared" si="13"/>
        <v>6.3596989966555065E-2</v>
      </c>
      <c r="K29" s="2"/>
      <c r="L29" s="7">
        <f t="shared" si="14"/>
        <v>-3612.0092307691975</v>
      </c>
      <c r="M29" s="2"/>
      <c r="N29" s="6">
        <f t="shared" si="15"/>
        <v>-0.20578002156135633</v>
      </c>
      <c r="O29" s="11"/>
      <c r="P29" s="7">
        <v>13940.76</v>
      </c>
      <c r="Q29" s="2"/>
      <c r="R29" s="6">
        <f t="shared" si="16"/>
        <v>5.6554894486247079E-2</v>
      </c>
      <c r="S29" s="2"/>
      <c r="T29" s="7">
        <v>17552.769230769198</v>
      </c>
      <c r="U29" s="2"/>
      <c r="V29" s="6">
        <f t="shared" si="17"/>
        <v>6.3596989966555065E-2</v>
      </c>
      <c r="W29" s="2"/>
      <c r="X29" s="7">
        <f t="shared" si="18"/>
        <v>-3612.0092307691975</v>
      </c>
      <c r="Y29" s="2"/>
      <c r="Z29" s="6">
        <f t="shared" si="19"/>
        <v>-0.20578002156135633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168.49</v>
      </c>
      <c r="E30" s="2"/>
      <c r="F30" s="6">
        <f t="shared" si="12"/>
        <v>6.8353046548307061E-4</v>
      </c>
      <c r="G30" s="2"/>
      <c r="H30" s="7">
        <v>251.98554970000001</v>
      </c>
      <c r="I30" s="2"/>
      <c r="J30" s="6">
        <f t="shared" si="13"/>
        <v>9.1299112210144933E-4</v>
      </c>
      <c r="K30" s="2"/>
      <c r="L30" s="7">
        <f t="shared" si="14"/>
        <v>-83.495549699999998</v>
      </c>
      <c r="M30" s="2"/>
      <c r="N30" s="6">
        <f t="shared" si="15"/>
        <v>-0.33135054688415727</v>
      </c>
      <c r="O30" s="11"/>
      <c r="P30" s="7">
        <v>168.49</v>
      </c>
      <c r="Q30" s="2"/>
      <c r="R30" s="6">
        <f t="shared" si="16"/>
        <v>6.8353046548307061E-4</v>
      </c>
      <c r="S30" s="2"/>
      <c r="T30" s="7">
        <v>251.98554970000001</v>
      </c>
      <c r="U30" s="2"/>
      <c r="V30" s="6">
        <f t="shared" si="17"/>
        <v>9.1299112210144933E-4</v>
      </c>
      <c r="W30" s="2"/>
      <c r="X30" s="7">
        <f t="shared" si="18"/>
        <v>-83.495549699999998</v>
      </c>
      <c r="Y30" s="2"/>
      <c r="Z30" s="6">
        <f t="shared" si="19"/>
        <v>-0.33135054688415727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1217.31</v>
      </c>
      <c r="E31" s="2"/>
      <c r="F31" s="6">
        <f t="shared" si="12"/>
        <v>4.9383848948732654E-3</v>
      </c>
      <c r="G31" s="2"/>
      <c r="H31" s="7">
        <v>1588.03464392308</v>
      </c>
      <c r="I31" s="2"/>
      <c r="J31" s="6">
        <f t="shared" si="13"/>
        <v>5.7537487098662321E-3</v>
      </c>
      <c r="K31" s="2"/>
      <c r="L31" s="7">
        <f t="shared" si="14"/>
        <v>-370.72464392308007</v>
      </c>
      <c r="M31" s="2"/>
      <c r="N31" s="6">
        <f t="shared" si="15"/>
        <v>-0.23344871306285994</v>
      </c>
      <c r="O31" s="11"/>
      <c r="P31" s="7">
        <v>1217.31</v>
      </c>
      <c r="Q31" s="2"/>
      <c r="R31" s="6">
        <f t="shared" si="16"/>
        <v>4.9383848948732654E-3</v>
      </c>
      <c r="S31" s="2"/>
      <c r="T31" s="7">
        <v>1588.03464392308</v>
      </c>
      <c r="U31" s="2"/>
      <c r="V31" s="6">
        <f t="shared" si="17"/>
        <v>5.7537487098662321E-3</v>
      </c>
      <c r="W31" s="2"/>
      <c r="X31" s="7">
        <f t="shared" si="18"/>
        <v>-370.72464392308007</v>
      </c>
      <c r="Y31" s="2"/>
      <c r="Z31" s="6">
        <f t="shared" si="19"/>
        <v>-0.23344871306285994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446.83</v>
      </c>
      <c r="E33" s="2"/>
      <c r="F33" s="6">
        <f t="shared" si="12"/>
        <v>1.8127005631895091E-3</v>
      </c>
      <c r="G33" s="2"/>
      <c r="H33" s="7"/>
      <c r="I33" s="2"/>
      <c r="J33" s="6">
        <f t="shared" si="13"/>
        <v>0</v>
      </c>
      <c r="K33" s="2"/>
      <c r="L33" s="7">
        <f t="shared" si="14"/>
        <v>446.83</v>
      </c>
      <c r="M33" s="2"/>
      <c r="N33" s="6">
        <f t="shared" si="15"/>
        <v>0</v>
      </c>
      <c r="O33" s="11"/>
      <c r="P33" s="7">
        <v>446.83</v>
      </c>
      <c r="Q33" s="2"/>
      <c r="R33" s="6">
        <f t="shared" si="16"/>
        <v>1.8127005631895091E-3</v>
      </c>
      <c r="S33" s="2"/>
      <c r="T33" s="7"/>
      <c r="U33" s="2"/>
      <c r="V33" s="6">
        <f t="shared" si="17"/>
        <v>0</v>
      </c>
      <c r="W33" s="2"/>
      <c r="X33" s="7">
        <f t="shared" si="18"/>
        <v>446.83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3583.82</v>
      </c>
      <c r="E34" s="2"/>
      <c r="F34" s="6">
        <f t="shared" si="12"/>
        <v>1.4538845942237153E-2</v>
      </c>
      <c r="G34" s="2"/>
      <c r="H34" s="7">
        <v>1616.9255734615401</v>
      </c>
      <c r="I34" s="2"/>
      <c r="J34" s="6">
        <f t="shared" si="13"/>
        <v>5.8584259908026817E-3</v>
      </c>
      <c r="K34" s="2"/>
      <c r="L34" s="7">
        <f t="shared" si="14"/>
        <v>1966.89442653846</v>
      </c>
      <c r="M34" s="2"/>
      <c r="N34" s="6">
        <f t="shared" si="15"/>
        <v>1.2164409165275931</v>
      </c>
      <c r="O34" s="11"/>
      <c r="P34" s="7">
        <v>3583.82</v>
      </c>
      <c r="Q34" s="2"/>
      <c r="R34" s="6">
        <f t="shared" si="16"/>
        <v>1.4538845942237153E-2</v>
      </c>
      <c r="S34" s="2"/>
      <c r="T34" s="7">
        <v>1616.9255734615401</v>
      </c>
      <c r="U34" s="2"/>
      <c r="V34" s="6">
        <f t="shared" si="17"/>
        <v>5.8584259908026817E-3</v>
      </c>
      <c r="W34" s="2"/>
      <c r="X34" s="7">
        <f t="shared" si="18"/>
        <v>1966.89442653846</v>
      </c>
      <c r="Y34" s="2"/>
      <c r="Z34" s="6">
        <f t="shared" si="19"/>
        <v>1.2164409165275931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6123.7</v>
      </c>
      <c r="E35" s="2"/>
      <c r="F35" s="6">
        <f t="shared" si="12"/>
        <v>2.4842634645846514E-2</v>
      </c>
      <c r="G35" s="2"/>
      <c r="H35" s="7">
        <v>2641.78557346154</v>
      </c>
      <c r="I35" s="2"/>
      <c r="J35" s="6">
        <f t="shared" si="13"/>
        <v>9.5716868603678978E-3</v>
      </c>
      <c r="K35" s="2"/>
      <c r="L35" s="7">
        <f t="shared" si="14"/>
        <v>3481.9144265384598</v>
      </c>
      <c r="M35" s="2"/>
      <c r="N35" s="6">
        <f t="shared" si="15"/>
        <v>1.3180155352185137</v>
      </c>
      <c r="O35" s="11"/>
      <c r="P35" s="7">
        <v>6123.7</v>
      </c>
      <c r="Q35" s="2"/>
      <c r="R35" s="6">
        <f t="shared" si="16"/>
        <v>2.4842634645846514E-2</v>
      </c>
      <c r="S35" s="2"/>
      <c r="T35" s="7">
        <v>2641.78557346154</v>
      </c>
      <c r="U35" s="2"/>
      <c r="V35" s="6">
        <f t="shared" si="17"/>
        <v>9.5716868603678978E-3</v>
      </c>
      <c r="W35" s="2"/>
      <c r="X35" s="7">
        <f t="shared" si="18"/>
        <v>3481.9144265384598</v>
      </c>
      <c r="Y35" s="2"/>
      <c r="Z35" s="6">
        <f t="shared" si="19"/>
        <v>1.3180155352185137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>
        <v>564.49</v>
      </c>
      <c r="E36" s="2"/>
      <c r="F36" s="6">
        <f t="shared" si="12"/>
        <v>2.2900238142354945E-3</v>
      </c>
      <c r="G36" s="2"/>
      <c r="H36" s="7"/>
      <c r="I36" s="2"/>
      <c r="J36" s="6">
        <f t="shared" si="13"/>
        <v>0</v>
      </c>
      <c r="K36" s="2"/>
      <c r="L36" s="7">
        <f t="shared" si="14"/>
        <v>564.49</v>
      </c>
      <c r="M36" s="2"/>
      <c r="N36" s="6">
        <f t="shared" si="15"/>
        <v>0</v>
      </c>
      <c r="O36" s="11"/>
      <c r="P36" s="7">
        <v>564.49</v>
      </c>
      <c r="Q36" s="2"/>
      <c r="R36" s="6">
        <f t="shared" si="16"/>
        <v>2.2900238142354945E-3</v>
      </c>
      <c r="S36" s="2"/>
      <c r="T36" s="7"/>
      <c r="U36" s="2"/>
      <c r="V36" s="6">
        <f t="shared" si="17"/>
        <v>0</v>
      </c>
      <c r="W36" s="2"/>
      <c r="X36" s="7">
        <f t="shared" si="18"/>
        <v>564.49</v>
      </c>
      <c r="Y36" s="2"/>
      <c r="Z36" s="6">
        <f t="shared" si="19"/>
        <v>0</v>
      </c>
    </row>
    <row r="37" spans="1:26" s="27" customFormat="1" outlineLevel="1" collapsed="1" x14ac:dyDescent="0.25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76888.47</v>
      </c>
      <c r="E37" s="1"/>
      <c r="F37" s="5">
        <f t="shared" ref="F37:F47" si="20">IF(D$12=0,0,D37/D$12)</f>
        <v>0.31192125164330881</v>
      </c>
      <c r="G37" s="1"/>
      <c r="H37" s="1">
        <f>SUM(OSRRefH22_1x_0)</f>
        <v>94215.147968461504</v>
      </c>
      <c r="I37" s="1"/>
      <c r="J37" s="5">
        <f t="shared" ref="J37:J47" si="21">IF(H$12=0,0,H37/H$12)</f>
        <v>0.34135923176978805</v>
      </c>
      <c r="K37" s="1"/>
      <c r="L37" s="1">
        <f t="shared" ref="L37:L47" si="22">+D37-H37</f>
        <v>-17326.677968461503</v>
      </c>
      <c r="M37" s="1"/>
      <c r="N37" s="5">
        <f t="shared" ref="N37:N47" si="23">IF(H37=0,0,L37/H37)</f>
        <v>-0.1839054370987307</v>
      </c>
      <c r="O37" s="14"/>
      <c r="P37" s="1">
        <f>SUM(OSRRefP22_1x_0)</f>
        <v>76888.47</v>
      </c>
      <c r="Q37" s="1"/>
      <c r="R37" s="5">
        <f t="shared" ref="R37:R47" si="24">IF(P$12=0,0,P37/P$12)</f>
        <v>0.31192125164330881</v>
      </c>
      <c r="S37" s="1"/>
      <c r="T37" s="1">
        <f>SUM(OSRRefT22_1x_0)</f>
        <v>94215.147968461504</v>
      </c>
      <c r="U37" s="1"/>
      <c r="V37" s="5">
        <f t="shared" ref="V37:V47" si="25">IF(T$12=0,0,T37/T$12)</f>
        <v>0.34135923176978805</v>
      </c>
      <c r="W37" s="1"/>
      <c r="X37" s="1">
        <f t="shared" ref="X37:X47" si="26">+P37-T37</f>
        <v>-17326.677968461503</v>
      </c>
      <c r="Y37" s="1"/>
      <c r="Z37" s="5">
        <f t="shared" ref="Z37:Z47" si="27">IF(T37=0,0,X37/T37)</f>
        <v>-0.1839054370987307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15867.28</v>
      </c>
      <c r="E39" s="2"/>
      <c r="F39" s="6">
        <f t="shared" si="20"/>
        <v>6.4370403491899916E-2</v>
      </c>
      <c r="G39" s="2"/>
      <c r="H39" s="7">
        <v>17357.587968461503</v>
      </c>
      <c r="I39" s="2"/>
      <c r="J39" s="6">
        <f t="shared" si="21"/>
        <v>6.2889811479932986E-2</v>
      </c>
      <c r="K39" s="2"/>
      <c r="L39" s="7">
        <f t="shared" si="22"/>
        <v>-1490.3079684615022</v>
      </c>
      <c r="M39" s="2"/>
      <c r="N39" s="6">
        <f t="shared" si="23"/>
        <v>-8.5859162642261774E-2</v>
      </c>
      <c r="O39" s="11"/>
      <c r="P39" s="7">
        <v>15867.28</v>
      </c>
      <c r="Q39" s="2"/>
      <c r="R39" s="6">
        <f t="shared" si="24"/>
        <v>6.4370403491899916E-2</v>
      </c>
      <c r="S39" s="2"/>
      <c r="T39" s="7">
        <v>17357.587968461503</v>
      </c>
      <c r="U39" s="2"/>
      <c r="V39" s="6">
        <f t="shared" si="25"/>
        <v>6.2889811479932986E-2</v>
      </c>
      <c r="W39" s="2"/>
      <c r="X39" s="7">
        <f t="shared" si="26"/>
        <v>-1490.3079684615022</v>
      </c>
      <c r="Y39" s="2"/>
      <c r="Z39" s="6">
        <f t="shared" si="27"/>
        <v>-8.5859162642261774E-2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>
        <v>13467.22</v>
      </c>
      <c r="E41" s="2"/>
      <c r="F41" s="6">
        <f t="shared" si="20"/>
        <v>5.4633836758044493E-2</v>
      </c>
      <c r="G41" s="2"/>
      <c r="H41" s="7">
        <v>43107.56</v>
      </c>
      <c r="I41" s="2"/>
      <c r="J41" s="6">
        <f t="shared" si="21"/>
        <v>0.15618681159420289</v>
      </c>
      <c r="K41" s="2"/>
      <c r="L41" s="7">
        <f t="shared" si="22"/>
        <v>-29640.339999999997</v>
      </c>
      <c r="M41" s="2"/>
      <c r="N41" s="6">
        <f t="shared" si="23"/>
        <v>-0.68759029738635169</v>
      </c>
      <c r="O41" s="11"/>
      <c r="P41" s="7">
        <v>13467.22</v>
      </c>
      <c r="Q41" s="2"/>
      <c r="R41" s="6">
        <f t="shared" si="24"/>
        <v>5.4633836758044493E-2</v>
      </c>
      <c r="S41" s="2"/>
      <c r="T41" s="7">
        <v>43107.56</v>
      </c>
      <c r="U41" s="2"/>
      <c r="V41" s="6">
        <f t="shared" si="25"/>
        <v>0.15618681159420289</v>
      </c>
      <c r="W41" s="2"/>
      <c r="X41" s="7">
        <f t="shared" si="26"/>
        <v>-29640.339999999997</v>
      </c>
      <c r="Y41" s="2"/>
      <c r="Z41" s="6">
        <f t="shared" si="27"/>
        <v>-0.68759029738635169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13651.33</v>
      </c>
      <c r="E42" s="2"/>
      <c r="F42" s="6">
        <f t="shared" si="20"/>
        <v>5.5380734461172802E-2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13651.33</v>
      </c>
      <c r="M42" s="2"/>
      <c r="N42" s="6">
        <f t="shared" si="23"/>
        <v>0</v>
      </c>
      <c r="O42" s="11"/>
      <c r="P42" s="7">
        <v>13651.33</v>
      </c>
      <c r="Q42" s="2"/>
      <c r="R42" s="6">
        <f t="shared" si="24"/>
        <v>5.5380734461172802E-2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13651.33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>
        <v>3261.57</v>
      </c>
      <c r="E43" s="2"/>
      <c r="F43" s="6">
        <f t="shared" si="20"/>
        <v>1.323154169568294E-2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3261.57</v>
      </c>
      <c r="M43" s="2"/>
      <c r="N43" s="6">
        <f t="shared" si="23"/>
        <v>0</v>
      </c>
      <c r="O43" s="11"/>
      <c r="P43" s="7">
        <v>3261.57</v>
      </c>
      <c r="Q43" s="2"/>
      <c r="R43" s="6">
        <f t="shared" si="24"/>
        <v>1.323154169568294E-2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3261.57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>
        <v>28550.070000000003</v>
      </c>
      <c r="E44" s="2"/>
      <c r="F44" s="6">
        <f t="shared" si="20"/>
        <v>0.11582196353892961</v>
      </c>
      <c r="G44" s="2"/>
      <c r="H44" s="7">
        <v>33750</v>
      </c>
      <c r="I44" s="2"/>
      <c r="J44" s="6">
        <f t="shared" si="21"/>
        <v>0.12228260869565218</v>
      </c>
      <c r="K44" s="2"/>
      <c r="L44" s="7">
        <f t="shared" si="22"/>
        <v>-5199.9299999999967</v>
      </c>
      <c r="M44" s="2"/>
      <c r="N44" s="6">
        <f t="shared" si="23"/>
        <v>-0.1540719999999999</v>
      </c>
      <c r="O44" s="11"/>
      <c r="P44" s="7">
        <v>28550.070000000003</v>
      </c>
      <c r="Q44" s="2"/>
      <c r="R44" s="6">
        <f t="shared" si="24"/>
        <v>0.11582196353892961</v>
      </c>
      <c r="S44" s="2"/>
      <c r="T44" s="7">
        <v>33750</v>
      </c>
      <c r="U44" s="2"/>
      <c r="V44" s="6">
        <f t="shared" si="25"/>
        <v>0.12228260869565218</v>
      </c>
      <c r="W44" s="2"/>
      <c r="X44" s="7">
        <f t="shared" si="26"/>
        <v>-5199.9299999999967</v>
      </c>
      <c r="Y44" s="2"/>
      <c r="Z44" s="6">
        <f t="shared" si="27"/>
        <v>-0.1540719999999999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>
        <v>2091</v>
      </c>
      <c r="E45" s="2"/>
      <c r="F45" s="6">
        <f t="shared" si="20"/>
        <v>8.4827716975790883E-3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2091</v>
      </c>
      <c r="M45" s="2"/>
      <c r="N45" s="6">
        <f t="shared" si="23"/>
        <v>0</v>
      </c>
      <c r="O45" s="11"/>
      <c r="P45" s="7">
        <v>2091</v>
      </c>
      <c r="Q45" s="2"/>
      <c r="R45" s="6">
        <f t="shared" si="24"/>
        <v>8.4827716975790883E-3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2091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7" customFormat="1" outlineLevel="1" collapsed="1" x14ac:dyDescent="0.25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422.69</v>
      </c>
      <c r="E48" s="1"/>
      <c r="F48" s="5">
        <f t="shared" ref="F48:F68" si="28">IF(D$12=0,0,D48/D$12)</f>
        <v>1.7147693777377832E-3</v>
      </c>
      <c r="G48" s="1"/>
      <c r="H48" s="1">
        <f>SUM(OSRRefH22_2x_0)</f>
        <v>1500</v>
      </c>
      <c r="I48" s="1"/>
      <c r="J48" s="5">
        <f t="shared" ref="J48:J68" si="29">IF(H$12=0,0,H48/H$12)</f>
        <v>5.434782608695652E-3</v>
      </c>
      <c r="K48" s="1"/>
      <c r="L48" s="1">
        <f t="shared" ref="L48:L68" si="30">+D48-H48</f>
        <v>-1077.31</v>
      </c>
      <c r="M48" s="1"/>
      <c r="N48" s="5">
        <f t="shared" ref="N48:N68" si="31">IF(H48=0,0,L48/H48)</f>
        <v>-0.71820666666666666</v>
      </c>
      <c r="O48" s="14"/>
      <c r="P48" s="1">
        <f>SUM(OSRRefP22_2x_0)</f>
        <v>422.69</v>
      </c>
      <c r="Q48" s="1"/>
      <c r="R48" s="5">
        <f t="shared" ref="R48:R68" si="32">IF(P$12=0,0,P48/P$12)</f>
        <v>1.7147693777377832E-3</v>
      </c>
      <c r="S48" s="1"/>
      <c r="T48" s="1">
        <f>SUM(OSRRefT22_2x_0)</f>
        <v>1500</v>
      </c>
      <c r="U48" s="1"/>
      <c r="V48" s="5">
        <f t="shared" ref="V48:V68" si="33">IF(T$12=0,0,T48/T$12)</f>
        <v>5.434782608695652E-3</v>
      </c>
      <c r="W48" s="1"/>
      <c r="X48" s="1">
        <f t="shared" ref="X48:X68" si="34">+P48-T48</f>
        <v>-1077.31</v>
      </c>
      <c r="Y48" s="1"/>
      <c r="Z48" s="5">
        <f t="shared" ref="Z48:Z68" si="35">IF(T48=0,0,X48/T48)</f>
        <v>-0.71820666666666666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>
        <v>422.69</v>
      </c>
      <c r="E49" s="2"/>
      <c r="F49" s="6">
        <f t="shared" si="28"/>
        <v>1.7147693777377832E-3</v>
      </c>
      <c r="G49" s="2"/>
      <c r="H49" s="7">
        <v>1500</v>
      </c>
      <c r="I49" s="2"/>
      <c r="J49" s="6">
        <f t="shared" si="29"/>
        <v>5.434782608695652E-3</v>
      </c>
      <c r="K49" s="2"/>
      <c r="L49" s="7">
        <f t="shared" si="30"/>
        <v>-1077.31</v>
      </c>
      <c r="M49" s="2"/>
      <c r="N49" s="6">
        <f t="shared" si="31"/>
        <v>-0.71820666666666666</v>
      </c>
      <c r="O49" s="11"/>
      <c r="P49" s="7">
        <v>422.69</v>
      </c>
      <c r="Q49" s="2"/>
      <c r="R49" s="6">
        <f t="shared" si="32"/>
        <v>1.7147693777377832E-3</v>
      </c>
      <c r="S49" s="2"/>
      <c r="T49" s="7">
        <v>1500</v>
      </c>
      <c r="U49" s="2"/>
      <c r="V49" s="6">
        <f t="shared" si="33"/>
        <v>5.434782608695652E-3</v>
      </c>
      <c r="W49" s="2"/>
      <c r="X49" s="7">
        <f t="shared" si="34"/>
        <v>-1077.31</v>
      </c>
      <c r="Y49" s="2"/>
      <c r="Z49" s="6">
        <f t="shared" si="35"/>
        <v>-0.71820666666666666</v>
      </c>
    </row>
    <row r="50" spans="1:26" s="27" customFormat="1" outlineLevel="1" collapsed="1" x14ac:dyDescent="0.25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-0.1</v>
      </c>
      <c r="E50" s="1"/>
      <c r="F50" s="5">
        <f t="shared" si="28"/>
        <v>-4.0568013857384448E-7</v>
      </c>
      <c r="G50" s="1"/>
      <c r="H50" s="1">
        <f>SUM(OSRRefH22_3x_0)</f>
        <v>10</v>
      </c>
      <c r="I50" s="1"/>
      <c r="J50" s="5">
        <f t="shared" si="29"/>
        <v>3.6231884057971014E-5</v>
      </c>
      <c r="K50" s="1"/>
      <c r="L50" s="1">
        <f t="shared" si="30"/>
        <v>-10.1</v>
      </c>
      <c r="M50" s="1"/>
      <c r="N50" s="5">
        <f t="shared" si="31"/>
        <v>-1.01</v>
      </c>
      <c r="O50" s="14"/>
      <c r="P50" s="1">
        <f>SUM(OSRRefP22_3x_0)</f>
        <v>-0.1</v>
      </c>
      <c r="Q50" s="1"/>
      <c r="R50" s="5">
        <f t="shared" si="32"/>
        <v>-4.0568013857384448E-7</v>
      </c>
      <c r="S50" s="1"/>
      <c r="T50" s="1">
        <f>SUM(OSRRefT22_3x_0)</f>
        <v>10</v>
      </c>
      <c r="U50" s="1"/>
      <c r="V50" s="5">
        <f t="shared" si="33"/>
        <v>3.6231884057971014E-5</v>
      </c>
      <c r="W50" s="1"/>
      <c r="X50" s="1">
        <f t="shared" si="34"/>
        <v>-10.1</v>
      </c>
      <c r="Y50" s="1"/>
      <c r="Z50" s="5">
        <f t="shared" si="35"/>
        <v>-1.01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>
        <v>-0.1</v>
      </c>
      <c r="E51" s="2"/>
      <c r="F51" s="6">
        <f t="shared" si="28"/>
        <v>-4.0568013857384448E-7</v>
      </c>
      <c r="G51" s="2"/>
      <c r="H51" s="7">
        <v>10</v>
      </c>
      <c r="I51" s="2"/>
      <c r="J51" s="6">
        <f t="shared" si="29"/>
        <v>3.6231884057971014E-5</v>
      </c>
      <c r="K51" s="2"/>
      <c r="L51" s="7">
        <f t="shared" si="30"/>
        <v>-10.1</v>
      </c>
      <c r="M51" s="2"/>
      <c r="N51" s="6">
        <f t="shared" si="31"/>
        <v>-1.01</v>
      </c>
      <c r="O51" s="11"/>
      <c r="P51" s="7">
        <v>-0.1</v>
      </c>
      <c r="Q51" s="2"/>
      <c r="R51" s="6">
        <f t="shared" si="32"/>
        <v>-4.0568013857384448E-7</v>
      </c>
      <c r="S51" s="2"/>
      <c r="T51" s="7">
        <v>10</v>
      </c>
      <c r="U51" s="2"/>
      <c r="V51" s="6">
        <f t="shared" si="33"/>
        <v>3.6231884057971014E-5</v>
      </c>
      <c r="W51" s="2"/>
      <c r="X51" s="7">
        <f t="shared" si="34"/>
        <v>-10.1</v>
      </c>
      <c r="Y51" s="2"/>
      <c r="Z51" s="6">
        <f t="shared" si="35"/>
        <v>-1.01</v>
      </c>
    </row>
    <row r="52" spans="1:26" s="27" customFormat="1" outlineLevel="1" collapsed="1" x14ac:dyDescent="0.25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78.63</v>
      </c>
      <c r="E52" s="1"/>
      <c r="F52" s="5">
        <f t="shared" si="28"/>
        <v>3.1898629296061388E-4</v>
      </c>
      <c r="G52" s="1"/>
      <c r="H52" s="1">
        <f>SUM(OSRRefH22_4x_0)</f>
        <v>225</v>
      </c>
      <c r="I52" s="1"/>
      <c r="J52" s="5">
        <f t="shared" si="29"/>
        <v>8.1521739130434778E-4</v>
      </c>
      <c r="K52" s="1"/>
      <c r="L52" s="1">
        <f t="shared" si="30"/>
        <v>-146.37</v>
      </c>
      <c r="M52" s="1"/>
      <c r="N52" s="5">
        <f t="shared" si="31"/>
        <v>-0.65053333333333341</v>
      </c>
      <c r="O52" s="14"/>
      <c r="P52" s="1">
        <f>SUM(OSRRefP22_4x_0)</f>
        <v>78.63</v>
      </c>
      <c r="Q52" s="1"/>
      <c r="R52" s="5">
        <f t="shared" si="32"/>
        <v>3.1898629296061388E-4</v>
      </c>
      <c r="S52" s="1"/>
      <c r="T52" s="1">
        <f>SUM(OSRRefT22_4x_0)</f>
        <v>225</v>
      </c>
      <c r="U52" s="1"/>
      <c r="V52" s="5">
        <f t="shared" si="33"/>
        <v>8.1521739130434778E-4</v>
      </c>
      <c r="W52" s="1"/>
      <c r="X52" s="1">
        <f t="shared" si="34"/>
        <v>-146.37</v>
      </c>
      <c r="Y52" s="1"/>
      <c r="Z52" s="5">
        <f t="shared" si="35"/>
        <v>-0.65053333333333341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78.63</v>
      </c>
      <c r="E53" s="2"/>
      <c r="F53" s="6">
        <f t="shared" si="28"/>
        <v>3.1898629296061388E-4</v>
      </c>
      <c r="G53" s="2"/>
      <c r="H53" s="7">
        <v>225</v>
      </c>
      <c r="I53" s="2"/>
      <c r="J53" s="6">
        <f t="shared" si="29"/>
        <v>8.1521739130434778E-4</v>
      </c>
      <c r="K53" s="2"/>
      <c r="L53" s="7">
        <f t="shared" si="30"/>
        <v>-146.37</v>
      </c>
      <c r="M53" s="2"/>
      <c r="N53" s="6">
        <f t="shared" si="31"/>
        <v>-0.65053333333333341</v>
      </c>
      <c r="O53" s="11"/>
      <c r="P53" s="7">
        <v>78.63</v>
      </c>
      <c r="Q53" s="2"/>
      <c r="R53" s="6">
        <f t="shared" si="32"/>
        <v>3.1898629296061388E-4</v>
      </c>
      <c r="S53" s="2"/>
      <c r="T53" s="7">
        <v>225</v>
      </c>
      <c r="U53" s="2"/>
      <c r="V53" s="6">
        <f t="shared" si="33"/>
        <v>8.1521739130434778E-4</v>
      </c>
      <c r="W53" s="2"/>
      <c r="X53" s="7">
        <f t="shared" si="34"/>
        <v>-146.37</v>
      </c>
      <c r="Y53" s="2"/>
      <c r="Z53" s="6">
        <f t="shared" si="35"/>
        <v>-0.65053333333333341</v>
      </c>
    </row>
    <row r="54" spans="1:26" s="27" customFormat="1" outlineLevel="1" collapsed="1" x14ac:dyDescent="0.25">
      <c r="A54" s="28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SUM(OSRRefD22_5x_0)</f>
        <v>0</v>
      </c>
      <c r="E54" s="1"/>
      <c r="F54" s="5">
        <f t="shared" si="28"/>
        <v>0</v>
      </c>
      <c r="G54" s="1"/>
      <c r="H54" s="1">
        <f>SUM(OSRRefH22_5x_0)</f>
        <v>150</v>
      </c>
      <c r="I54" s="1"/>
      <c r="J54" s="5">
        <f t="shared" si="29"/>
        <v>5.4347826086956522E-4</v>
      </c>
      <c r="K54" s="1"/>
      <c r="L54" s="1">
        <f t="shared" si="30"/>
        <v>-150</v>
      </c>
      <c r="M54" s="1"/>
      <c r="N54" s="5">
        <f t="shared" si="31"/>
        <v>-1</v>
      </c>
      <c r="O54" s="14"/>
      <c r="P54" s="1">
        <f>SUM(OSRRefP22_5x_0)</f>
        <v>0</v>
      </c>
      <c r="Q54" s="1"/>
      <c r="R54" s="5">
        <f t="shared" si="32"/>
        <v>0</v>
      </c>
      <c r="S54" s="1"/>
      <c r="T54" s="1">
        <f>SUM(OSRRefT22_5x_0)</f>
        <v>150</v>
      </c>
      <c r="U54" s="1"/>
      <c r="V54" s="5">
        <f t="shared" si="33"/>
        <v>5.4347826086956522E-4</v>
      </c>
      <c r="W54" s="1"/>
      <c r="X54" s="1">
        <f t="shared" si="34"/>
        <v>-150</v>
      </c>
      <c r="Y54" s="1"/>
      <c r="Z54" s="5">
        <f t="shared" si="35"/>
        <v>-1</v>
      </c>
    </row>
    <row r="55" spans="1:26" s="24" customFormat="1" hidden="1" outlineLevel="2" x14ac:dyDescent="0.25">
      <c r="A55" s="29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150</v>
      </c>
      <c r="I55" s="2"/>
      <c r="J55" s="6">
        <f t="shared" si="29"/>
        <v>5.4347826086956522E-4</v>
      </c>
      <c r="K55" s="2"/>
      <c r="L55" s="7">
        <f t="shared" si="30"/>
        <v>-150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150</v>
      </c>
      <c r="U55" s="2"/>
      <c r="V55" s="6">
        <f t="shared" si="33"/>
        <v>5.4347826086956522E-4</v>
      </c>
      <c r="W55" s="2"/>
      <c r="X55" s="7">
        <f t="shared" si="34"/>
        <v>-150</v>
      </c>
      <c r="Y55" s="2"/>
      <c r="Z55" s="6">
        <f t="shared" si="35"/>
        <v>-1</v>
      </c>
    </row>
    <row r="56" spans="1:26" s="27" customFormat="1" outlineLevel="1" collapsed="1" x14ac:dyDescent="0.25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83.78</v>
      </c>
      <c r="E56" s="1"/>
      <c r="F56" s="5">
        <f t="shared" si="28"/>
        <v>3.3987882009716688E-4</v>
      </c>
      <c r="G56" s="1"/>
      <c r="H56" s="1">
        <f>SUM(OSRRefH22_6x_0)</f>
        <v>400</v>
      </c>
      <c r="I56" s="1"/>
      <c r="J56" s="5">
        <f t="shared" si="29"/>
        <v>1.4492753623188406E-3</v>
      </c>
      <c r="K56" s="1"/>
      <c r="L56" s="1">
        <f t="shared" si="30"/>
        <v>-316.22000000000003</v>
      </c>
      <c r="M56" s="1"/>
      <c r="N56" s="5">
        <f t="shared" si="31"/>
        <v>-0.79055000000000009</v>
      </c>
      <c r="O56" s="14"/>
      <c r="P56" s="1">
        <f>SUM(OSRRefP22_6x_0)</f>
        <v>83.78</v>
      </c>
      <c r="Q56" s="1"/>
      <c r="R56" s="5">
        <f t="shared" si="32"/>
        <v>3.3987882009716688E-4</v>
      </c>
      <c r="S56" s="1"/>
      <c r="T56" s="1">
        <f>SUM(OSRRefT22_6x_0)</f>
        <v>400</v>
      </c>
      <c r="U56" s="1"/>
      <c r="V56" s="5">
        <f t="shared" si="33"/>
        <v>1.4492753623188406E-3</v>
      </c>
      <c r="W56" s="1"/>
      <c r="X56" s="1">
        <f t="shared" si="34"/>
        <v>-316.22000000000003</v>
      </c>
      <c r="Y56" s="1"/>
      <c r="Z56" s="5">
        <f t="shared" si="35"/>
        <v>-0.79055000000000009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7">
        <v>83.78</v>
      </c>
      <c r="E57" s="2"/>
      <c r="F57" s="6">
        <f t="shared" si="28"/>
        <v>3.3987882009716688E-4</v>
      </c>
      <c r="G57" s="2"/>
      <c r="H57" s="7">
        <v>400</v>
      </c>
      <c r="I57" s="2"/>
      <c r="J57" s="6">
        <f t="shared" si="29"/>
        <v>1.4492753623188406E-3</v>
      </c>
      <c r="K57" s="2"/>
      <c r="L57" s="7">
        <f t="shared" si="30"/>
        <v>-316.22000000000003</v>
      </c>
      <c r="M57" s="2"/>
      <c r="N57" s="6">
        <f t="shared" si="31"/>
        <v>-0.79055000000000009</v>
      </c>
      <c r="O57" s="11"/>
      <c r="P57" s="7">
        <v>83.78</v>
      </c>
      <c r="Q57" s="2"/>
      <c r="R57" s="6">
        <f t="shared" si="32"/>
        <v>3.3987882009716688E-4</v>
      </c>
      <c r="S57" s="2"/>
      <c r="T57" s="7">
        <v>400</v>
      </c>
      <c r="U57" s="2"/>
      <c r="V57" s="6">
        <f t="shared" si="33"/>
        <v>1.4492753623188406E-3</v>
      </c>
      <c r="W57" s="2"/>
      <c r="X57" s="7">
        <f t="shared" si="34"/>
        <v>-316.22000000000003</v>
      </c>
      <c r="Y57" s="2"/>
      <c r="Z57" s="6">
        <f t="shared" si="35"/>
        <v>-0.79055000000000009</v>
      </c>
    </row>
    <row r="58" spans="1:26" s="27" customFormat="1" outlineLevel="1" collapsed="1" x14ac:dyDescent="0.25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1389.55</v>
      </c>
      <c r="E58" s="1"/>
      <c r="F58" s="5">
        <f t="shared" si="28"/>
        <v>5.6371283655528553E-3</v>
      </c>
      <c r="G58" s="1"/>
      <c r="H58" s="1">
        <f>SUM(OSRRefH22_7x_0)</f>
        <v>1550</v>
      </c>
      <c r="I58" s="1"/>
      <c r="J58" s="5">
        <f t="shared" si="29"/>
        <v>5.6159420289855072E-3</v>
      </c>
      <c r="K58" s="1"/>
      <c r="L58" s="1">
        <f t="shared" si="30"/>
        <v>-160.45000000000005</v>
      </c>
      <c r="M58" s="1"/>
      <c r="N58" s="5">
        <f t="shared" si="31"/>
        <v>-0.1035161290322581</v>
      </c>
      <c r="O58" s="14"/>
      <c r="P58" s="1">
        <f>SUM(OSRRefP22_7x_0)</f>
        <v>1389.55</v>
      </c>
      <c r="Q58" s="1"/>
      <c r="R58" s="5">
        <f t="shared" si="32"/>
        <v>5.6371283655528553E-3</v>
      </c>
      <c r="S58" s="1"/>
      <c r="T58" s="1">
        <f>SUM(OSRRefT22_7x_0)</f>
        <v>1550</v>
      </c>
      <c r="U58" s="1"/>
      <c r="V58" s="5">
        <f t="shared" si="33"/>
        <v>5.6159420289855072E-3</v>
      </c>
      <c r="W58" s="1"/>
      <c r="X58" s="1">
        <f t="shared" si="34"/>
        <v>-160.45000000000005</v>
      </c>
      <c r="Y58" s="1"/>
      <c r="Z58" s="5">
        <f t="shared" si="35"/>
        <v>-0.1035161290322581</v>
      </c>
    </row>
    <row r="59" spans="1:26" s="24" customFormat="1" hidden="1" outlineLevel="2" x14ac:dyDescent="0.25">
      <c r="A59" s="29"/>
      <c r="B59" s="11" t="str">
        <f>CONCATENATE("          ", "6279", " - ", "GENERAL EXPENSE")</f>
        <v xml:space="preserve">          6279 - GENERAL EXPENSE</v>
      </c>
      <c r="C59" s="11"/>
      <c r="D59" s="7">
        <v>1389.55</v>
      </c>
      <c r="E59" s="2"/>
      <c r="F59" s="6">
        <f t="shared" si="28"/>
        <v>5.6371283655528553E-3</v>
      </c>
      <c r="G59" s="2"/>
      <c r="H59" s="7">
        <v>1550</v>
      </c>
      <c r="I59" s="2"/>
      <c r="J59" s="6">
        <f t="shared" si="29"/>
        <v>5.6159420289855072E-3</v>
      </c>
      <c r="K59" s="2"/>
      <c r="L59" s="7">
        <f t="shared" si="30"/>
        <v>-160.45000000000005</v>
      </c>
      <c r="M59" s="2"/>
      <c r="N59" s="6">
        <f t="shared" si="31"/>
        <v>-0.1035161290322581</v>
      </c>
      <c r="O59" s="11"/>
      <c r="P59" s="7">
        <v>1389.55</v>
      </c>
      <c r="Q59" s="2"/>
      <c r="R59" s="6">
        <f t="shared" si="32"/>
        <v>5.6371283655528553E-3</v>
      </c>
      <c r="S59" s="2"/>
      <c r="T59" s="7">
        <v>1550</v>
      </c>
      <c r="U59" s="2"/>
      <c r="V59" s="6">
        <f t="shared" si="33"/>
        <v>5.6159420289855072E-3</v>
      </c>
      <c r="W59" s="2"/>
      <c r="X59" s="7">
        <f t="shared" si="34"/>
        <v>-160.45000000000005</v>
      </c>
      <c r="Y59" s="2"/>
      <c r="Z59" s="6">
        <f t="shared" si="35"/>
        <v>-0.1035161290322581</v>
      </c>
    </row>
    <row r="60" spans="1:26" s="27" customFormat="1" outlineLevel="1" collapsed="1" x14ac:dyDescent="0.25">
      <c r="A60" s="28"/>
      <c r="B60" s="14" t="str">
        <f>CONCATENATE("     ","R/H Commissions                                   ")</f>
        <v xml:space="preserve">     R/H Commissions                                   </v>
      </c>
      <c r="C60" s="14"/>
      <c r="D60" s="1">
        <f>SUM(OSRRefD22_8x_0)</f>
        <v>19408.400000000001</v>
      </c>
      <c r="E60" s="1"/>
      <c r="F60" s="5">
        <f t="shared" si="28"/>
        <v>7.873602401496603E-2</v>
      </c>
      <c r="G60" s="1"/>
      <c r="H60" s="1">
        <f>SUM(OSRRefH22_8x_0)</f>
        <v>22080</v>
      </c>
      <c r="I60" s="1"/>
      <c r="J60" s="5">
        <f t="shared" si="29"/>
        <v>0.08</v>
      </c>
      <c r="K60" s="1"/>
      <c r="L60" s="1">
        <f t="shared" si="30"/>
        <v>-2671.5999999999985</v>
      </c>
      <c r="M60" s="1"/>
      <c r="N60" s="5">
        <f t="shared" si="31"/>
        <v>-0.12099637681159414</v>
      </c>
      <c r="O60" s="14"/>
      <c r="P60" s="1">
        <f>SUM(OSRRefP22_8x_0)</f>
        <v>19408.400000000001</v>
      </c>
      <c r="Q60" s="1"/>
      <c r="R60" s="5">
        <f t="shared" si="32"/>
        <v>7.873602401496603E-2</v>
      </c>
      <c r="S60" s="1"/>
      <c r="T60" s="1">
        <f>SUM(OSRRefT22_8x_0)</f>
        <v>22080</v>
      </c>
      <c r="U60" s="1"/>
      <c r="V60" s="5">
        <f t="shared" si="33"/>
        <v>0.08</v>
      </c>
      <c r="W60" s="1"/>
      <c r="X60" s="1">
        <f t="shared" si="34"/>
        <v>-2671.5999999999985</v>
      </c>
      <c r="Y60" s="1"/>
      <c r="Z60" s="5">
        <f t="shared" si="35"/>
        <v>-0.12099637681159414</v>
      </c>
    </row>
    <row r="61" spans="1:26" s="24" customFormat="1" hidden="1" outlineLevel="2" x14ac:dyDescent="0.25">
      <c r="A61" s="29"/>
      <c r="B61" s="11" t="str">
        <f>CONCATENATE("          ", "6387", " - ", "COMMISSION DUE HOUSING")</f>
        <v xml:space="preserve">          6387 - COMMISSION DUE HOUSING</v>
      </c>
      <c r="C61" s="11"/>
      <c r="D61" s="7">
        <v>19408.400000000001</v>
      </c>
      <c r="E61" s="2"/>
      <c r="F61" s="6">
        <f t="shared" si="28"/>
        <v>7.873602401496603E-2</v>
      </c>
      <c r="G61" s="2"/>
      <c r="H61" s="7">
        <v>22080</v>
      </c>
      <c r="I61" s="2"/>
      <c r="J61" s="6">
        <f t="shared" si="29"/>
        <v>0.08</v>
      </c>
      <c r="K61" s="2"/>
      <c r="L61" s="7">
        <f t="shared" si="30"/>
        <v>-2671.5999999999985</v>
      </c>
      <c r="M61" s="2"/>
      <c r="N61" s="6">
        <f t="shared" si="31"/>
        <v>-0.12099637681159414</v>
      </c>
      <c r="O61" s="11"/>
      <c r="P61" s="7">
        <v>19408.400000000001</v>
      </c>
      <c r="Q61" s="2"/>
      <c r="R61" s="6">
        <f t="shared" si="32"/>
        <v>7.873602401496603E-2</v>
      </c>
      <c r="S61" s="2"/>
      <c r="T61" s="7">
        <v>22080</v>
      </c>
      <c r="U61" s="2"/>
      <c r="V61" s="6">
        <f t="shared" si="33"/>
        <v>0.08</v>
      </c>
      <c r="W61" s="2"/>
      <c r="X61" s="7">
        <f t="shared" si="34"/>
        <v>-2671.5999999999985</v>
      </c>
      <c r="Y61" s="2"/>
      <c r="Z61" s="6">
        <f t="shared" si="35"/>
        <v>-0.12099637681159414</v>
      </c>
    </row>
    <row r="62" spans="1:26" s="27" customFormat="1" outlineLevel="1" collapsed="1" x14ac:dyDescent="0.25">
      <c r="A62" s="28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250</v>
      </c>
      <c r="I62" s="1"/>
      <c r="J62" s="5">
        <f t="shared" si="29"/>
        <v>9.0579710144927537E-4</v>
      </c>
      <c r="K62" s="1"/>
      <c r="L62" s="1">
        <f t="shared" si="30"/>
        <v>-250</v>
      </c>
      <c r="M62" s="1"/>
      <c r="N62" s="5">
        <f t="shared" si="31"/>
        <v>-1</v>
      </c>
      <c r="O62" s="14"/>
      <c r="P62" s="1">
        <f>SUM(OSRRefP22_9x_0)</f>
        <v>0</v>
      </c>
      <c r="Q62" s="1"/>
      <c r="R62" s="5">
        <f t="shared" si="32"/>
        <v>0</v>
      </c>
      <c r="S62" s="1"/>
      <c r="T62" s="1">
        <f>SUM(OSRRefT22_9x_0)</f>
        <v>250</v>
      </c>
      <c r="U62" s="1"/>
      <c r="V62" s="5">
        <f t="shared" si="33"/>
        <v>9.0579710144927537E-4</v>
      </c>
      <c r="W62" s="1"/>
      <c r="X62" s="1">
        <f t="shared" si="34"/>
        <v>-250</v>
      </c>
      <c r="Y62" s="1"/>
      <c r="Z62" s="5">
        <f t="shared" si="35"/>
        <v>-1</v>
      </c>
    </row>
    <row r="63" spans="1:26" s="24" customFormat="1" hidden="1" outlineLevel="2" x14ac:dyDescent="0.25">
      <c r="A63" s="29"/>
      <c r="B63" s="11" t="str">
        <f>CONCATENATE("          ", "6375", " - ", "OUTSIDE REPAIRS &amp; MAINTENANCE")</f>
        <v xml:space="preserve">          6375 - OUTSIDE REPAIRS &amp; MAINTENANCE</v>
      </c>
      <c r="C63" s="11"/>
      <c r="D63" s="7"/>
      <c r="E63" s="2"/>
      <c r="F63" s="6">
        <f t="shared" si="28"/>
        <v>0</v>
      </c>
      <c r="G63" s="2"/>
      <c r="H63" s="7">
        <v>250</v>
      </c>
      <c r="I63" s="2"/>
      <c r="J63" s="6">
        <f t="shared" si="29"/>
        <v>9.0579710144927537E-4</v>
      </c>
      <c r="K63" s="2"/>
      <c r="L63" s="7">
        <f t="shared" si="30"/>
        <v>-250</v>
      </c>
      <c r="M63" s="2"/>
      <c r="N63" s="6">
        <f t="shared" si="31"/>
        <v>-1</v>
      </c>
      <c r="O63" s="11"/>
      <c r="P63" s="7"/>
      <c r="Q63" s="2"/>
      <c r="R63" s="6">
        <f t="shared" si="32"/>
        <v>0</v>
      </c>
      <c r="S63" s="2"/>
      <c r="T63" s="7">
        <v>250</v>
      </c>
      <c r="U63" s="2"/>
      <c r="V63" s="6">
        <f t="shared" si="33"/>
        <v>9.0579710144927537E-4</v>
      </c>
      <c r="W63" s="2"/>
      <c r="X63" s="7">
        <f t="shared" si="34"/>
        <v>-250</v>
      </c>
      <c r="Y63" s="2"/>
      <c r="Z63" s="6">
        <f t="shared" si="35"/>
        <v>-1</v>
      </c>
    </row>
    <row r="64" spans="1:26" s="27" customFormat="1" outlineLevel="1" collapsed="1" x14ac:dyDescent="0.25">
      <c r="A64" s="28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SUM(OSRRefD22_10x_0)</f>
        <v>6495.7100000000009</v>
      </c>
      <c r="E64" s="1"/>
      <c r="F64" s="5">
        <f t="shared" si="28"/>
        <v>2.6351805329355077E-2</v>
      </c>
      <c r="G64" s="1"/>
      <c r="H64" s="1">
        <f>SUM(OSRRefH22_10x_0)</f>
        <v>6490</v>
      </c>
      <c r="I64" s="1"/>
      <c r="J64" s="5">
        <f t="shared" si="29"/>
        <v>2.351449275362319E-2</v>
      </c>
      <c r="K64" s="1"/>
      <c r="L64" s="1">
        <f t="shared" si="30"/>
        <v>5.7100000000009459</v>
      </c>
      <c r="M64" s="1"/>
      <c r="N64" s="5">
        <f t="shared" si="31"/>
        <v>8.7981510015422892E-4</v>
      </c>
      <c r="O64" s="14"/>
      <c r="P64" s="1">
        <f>SUM(OSRRefP22_10x_0)</f>
        <v>6495.7100000000009</v>
      </c>
      <c r="Q64" s="1"/>
      <c r="R64" s="5">
        <f t="shared" si="32"/>
        <v>2.6351805329355077E-2</v>
      </c>
      <c r="S64" s="1"/>
      <c r="T64" s="1">
        <f>SUM(OSRRefT22_10x_0)</f>
        <v>6490</v>
      </c>
      <c r="U64" s="1"/>
      <c r="V64" s="5">
        <f t="shared" si="33"/>
        <v>2.351449275362319E-2</v>
      </c>
      <c r="W64" s="1"/>
      <c r="X64" s="1">
        <f t="shared" si="34"/>
        <v>5.7100000000009459</v>
      </c>
      <c r="Y64" s="1"/>
      <c r="Z64" s="5">
        <f t="shared" si="35"/>
        <v>8.7981510015422892E-4</v>
      </c>
    </row>
    <row r="65" spans="1:26" s="24" customFormat="1" hidden="1" outlineLevel="2" x14ac:dyDescent="0.25">
      <c r="A65" s="29"/>
      <c r="B65" s="11" t="str">
        <f>CONCATENATE("          ", "6282", " - ", "JANITORIAL/EXTERMINATOR EXPENS")</f>
        <v xml:space="preserve">          6282 - JANITORIAL/EXTERMINATOR EXPENS</v>
      </c>
      <c r="C65" s="11"/>
      <c r="D65" s="7">
        <v>417.32</v>
      </c>
      <c r="E65" s="2"/>
      <c r="F65" s="6">
        <f t="shared" si="28"/>
        <v>1.6929843542963677E-3</v>
      </c>
      <c r="G65" s="2"/>
      <c r="H65" s="7">
        <v>450</v>
      </c>
      <c r="I65" s="2"/>
      <c r="J65" s="6">
        <f t="shared" si="29"/>
        <v>1.6304347826086956E-3</v>
      </c>
      <c r="K65" s="2"/>
      <c r="L65" s="7">
        <f t="shared" si="30"/>
        <v>-32.680000000000007</v>
      </c>
      <c r="M65" s="2"/>
      <c r="N65" s="6">
        <f t="shared" si="31"/>
        <v>-7.2622222222222241E-2</v>
      </c>
      <c r="O65" s="11"/>
      <c r="P65" s="7">
        <v>417.32</v>
      </c>
      <c r="Q65" s="2"/>
      <c r="R65" s="6">
        <f t="shared" si="32"/>
        <v>1.6929843542963677E-3</v>
      </c>
      <c r="S65" s="2"/>
      <c r="T65" s="7">
        <v>450</v>
      </c>
      <c r="U65" s="2"/>
      <c r="V65" s="6">
        <f t="shared" si="33"/>
        <v>1.6304347826086956E-3</v>
      </c>
      <c r="W65" s="2"/>
      <c r="X65" s="7">
        <f t="shared" si="34"/>
        <v>-32.680000000000007</v>
      </c>
      <c r="Y65" s="2"/>
      <c r="Z65" s="6">
        <f t="shared" si="35"/>
        <v>-7.2622222222222241E-2</v>
      </c>
    </row>
    <row r="66" spans="1:26" s="24" customFormat="1" hidden="1" outlineLevel="2" x14ac:dyDescent="0.25">
      <c r="A66" s="29"/>
      <c r="B66" s="11" t="str">
        <f>CONCATENATE("          ", "6284", " - ", "TRASH REMOVAL EXPENSE")</f>
        <v xml:space="preserve">          6284 - TRASH REMOVAL EXPENSE</v>
      </c>
      <c r="C66" s="11"/>
      <c r="D66" s="7"/>
      <c r="E66" s="2"/>
      <c r="F66" s="6">
        <f t="shared" si="28"/>
        <v>0</v>
      </c>
      <c r="G66" s="2"/>
      <c r="H66" s="7">
        <v>550</v>
      </c>
      <c r="I66" s="2"/>
      <c r="J66" s="6">
        <f t="shared" si="29"/>
        <v>1.9927536231884057E-3</v>
      </c>
      <c r="K66" s="2"/>
      <c r="L66" s="7">
        <f t="shared" si="30"/>
        <v>-550</v>
      </c>
      <c r="M66" s="2"/>
      <c r="N66" s="6">
        <f t="shared" si="31"/>
        <v>-1</v>
      </c>
      <c r="O66" s="11"/>
      <c r="P66" s="7"/>
      <c r="Q66" s="2"/>
      <c r="R66" s="6">
        <f t="shared" si="32"/>
        <v>0</v>
      </c>
      <c r="S66" s="2"/>
      <c r="T66" s="7">
        <v>550</v>
      </c>
      <c r="U66" s="2"/>
      <c r="V66" s="6">
        <f t="shared" si="33"/>
        <v>1.9927536231884057E-3</v>
      </c>
      <c r="W66" s="2"/>
      <c r="X66" s="7">
        <f t="shared" si="34"/>
        <v>-550</v>
      </c>
      <c r="Y66" s="2"/>
      <c r="Z66" s="6">
        <f t="shared" si="35"/>
        <v>-1</v>
      </c>
    </row>
    <row r="67" spans="1:26" s="24" customFormat="1" hidden="1" outlineLevel="2" x14ac:dyDescent="0.25">
      <c r="A67" s="29"/>
      <c r="B67" s="11" t="str">
        <f>CONCATENATE("          ", "6285", " - ", "JANITORIAL SERVICES")</f>
        <v xml:space="preserve">          6285 - JANITORIAL SERVICES</v>
      </c>
      <c r="C67" s="11"/>
      <c r="D67" s="7">
        <v>3882.07</v>
      </c>
      <c r="E67" s="2"/>
      <c r="F67" s="6">
        <f t="shared" si="28"/>
        <v>1.5748786955533646E-2</v>
      </c>
      <c r="G67" s="2"/>
      <c r="H67" s="7">
        <v>3890</v>
      </c>
      <c r="I67" s="2"/>
      <c r="J67" s="6">
        <f t="shared" si="29"/>
        <v>1.4094202898550725E-2</v>
      </c>
      <c r="K67" s="2"/>
      <c r="L67" s="7">
        <f t="shared" si="30"/>
        <v>-7.9299999999998363</v>
      </c>
      <c r="M67" s="2"/>
      <c r="N67" s="6">
        <f t="shared" si="31"/>
        <v>-2.0385604113110118E-3</v>
      </c>
      <c r="O67" s="11"/>
      <c r="P67" s="7">
        <v>3882.07</v>
      </c>
      <c r="Q67" s="2"/>
      <c r="R67" s="6">
        <f t="shared" si="32"/>
        <v>1.5748786955533646E-2</v>
      </c>
      <c r="S67" s="2"/>
      <c r="T67" s="7">
        <v>3890</v>
      </c>
      <c r="U67" s="2"/>
      <c r="V67" s="6">
        <f t="shared" si="33"/>
        <v>1.4094202898550725E-2</v>
      </c>
      <c r="W67" s="2"/>
      <c r="X67" s="7">
        <f t="shared" si="34"/>
        <v>-7.9299999999998363</v>
      </c>
      <c r="Y67" s="2"/>
      <c r="Z67" s="6">
        <f t="shared" si="35"/>
        <v>-2.0385604113110118E-3</v>
      </c>
    </row>
    <row r="68" spans="1:26" s="24" customFormat="1" hidden="1" outlineLevel="2" x14ac:dyDescent="0.25">
      <c r="A68" s="29"/>
      <c r="B68" s="11" t="str">
        <f>CONCATENATE("          ", "6286", " - ", "LAUNDRY EXPENSE")</f>
        <v xml:space="preserve">          6286 - LAUNDRY EXPENSE</v>
      </c>
      <c r="C68" s="11"/>
      <c r="D68" s="7">
        <v>2196.3200000000002</v>
      </c>
      <c r="E68" s="2"/>
      <c r="F68" s="6">
        <f t="shared" si="28"/>
        <v>8.9100340195250611E-3</v>
      </c>
      <c r="G68" s="2"/>
      <c r="H68" s="7">
        <v>1600</v>
      </c>
      <c r="I68" s="2"/>
      <c r="J68" s="6">
        <f t="shared" si="29"/>
        <v>5.7971014492753624E-3</v>
      </c>
      <c r="K68" s="2"/>
      <c r="L68" s="7">
        <f t="shared" si="30"/>
        <v>596.32000000000016</v>
      </c>
      <c r="M68" s="2"/>
      <c r="N68" s="6">
        <f t="shared" si="31"/>
        <v>0.37270000000000009</v>
      </c>
      <c r="O68" s="11"/>
      <c r="P68" s="7">
        <v>2196.3200000000002</v>
      </c>
      <c r="Q68" s="2"/>
      <c r="R68" s="6">
        <f t="shared" si="32"/>
        <v>8.9100340195250611E-3</v>
      </c>
      <c r="S68" s="2"/>
      <c r="T68" s="7">
        <v>1600</v>
      </c>
      <c r="U68" s="2"/>
      <c r="V68" s="6">
        <f t="shared" si="33"/>
        <v>5.7971014492753624E-3</v>
      </c>
      <c r="W68" s="2"/>
      <c r="X68" s="7">
        <f t="shared" si="34"/>
        <v>596.32000000000016</v>
      </c>
      <c r="Y68" s="2"/>
      <c r="Z68" s="6">
        <f t="shared" si="35"/>
        <v>0.37270000000000009</v>
      </c>
    </row>
    <row r="69" spans="1:26" s="27" customFormat="1" outlineLevel="1" collapsed="1" x14ac:dyDescent="0.25">
      <c r="A69" s="28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SUM(OSRRefD22_11x_0)</f>
        <v>7442.61</v>
      </c>
      <c r="E69" s="1"/>
      <c r="F69" s="5">
        <f t="shared" ref="F69:F76" si="36">IF(D$12=0,0,D69/D$12)</f>
        <v>3.0193190561510805E-2</v>
      </c>
      <c r="G69" s="1"/>
      <c r="H69" s="1">
        <f>SUM(OSRRefH22_11x_0)</f>
        <v>11175</v>
      </c>
      <c r="I69" s="1"/>
      <c r="J69" s="5">
        <f t="shared" ref="J69:J76" si="37">IF(H$12=0,0,H69/H$12)</f>
        <v>4.0489130434782611E-2</v>
      </c>
      <c r="K69" s="1"/>
      <c r="L69" s="1">
        <f t="shared" ref="L69:L76" si="38">+D69-H69</f>
        <v>-3732.3900000000003</v>
      </c>
      <c r="M69" s="1"/>
      <c r="N69" s="5">
        <f t="shared" ref="N69:N76" si="39">IF(H69=0,0,L69/H69)</f>
        <v>-0.33399463087248327</v>
      </c>
      <c r="O69" s="14"/>
      <c r="P69" s="1">
        <f>SUM(OSRRefP22_11x_0)</f>
        <v>7442.61</v>
      </c>
      <c r="Q69" s="1"/>
      <c r="R69" s="5">
        <f t="shared" ref="R69:R76" si="40">IF(P$12=0,0,P69/P$12)</f>
        <v>3.0193190561510805E-2</v>
      </c>
      <c r="S69" s="1"/>
      <c r="T69" s="1">
        <f>SUM(OSRRefT22_11x_0)</f>
        <v>11175</v>
      </c>
      <c r="U69" s="1"/>
      <c r="V69" s="5">
        <f t="shared" ref="V69:V76" si="41">IF(T$12=0,0,T69/T$12)</f>
        <v>4.0489130434782611E-2</v>
      </c>
      <c r="W69" s="1"/>
      <c r="X69" s="1">
        <f t="shared" ref="X69:X76" si="42">+P69-T69</f>
        <v>-3732.3900000000003</v>
      </c>
      <c r="Y69" s="1"/>
      <c r="Z69" s="5">
        <f t="shared" ref="Z69:Z76" si="43">IF(T69=0,0,X69/T69)</f>
        <v>-0.33399463087248327</v>
      </c>
    </row>
    <row r="70" spans="1:26" s="24" customFormat="1" hidden="1" outlineLevel="2" x14ac:dyDescent="0.25">
      <c r="A70" s="29"/>
      <c r="B70" s="11" t="str">
        <f>CONCATENATE("          ", "6237", " - ", "JANITORIAL SUPPLIES")</f>
        <v xml:space="preserve">          6237 - JANITORIAL SUPPLIES</v>
      </c>
      <c r="C70" s="11"/>
      <c r="D70" s="7">
        <v>3299.97</v>
      </c>
      <c r="E70" s="2"/>
      <c r="F70" s="6">
        <f t="shared" si="36"/>
        <v>1.3387322868895294E-2</v>
      </c>
      <c r="G70" s="2"/>
      <c r="H70" s="7">
        <v>3850</v>
      </c>
      <c r="I70" s="2"/>
      <c r="J70" s="6">
        <f t="shared" si="37"/>
        <v>1.394927536231884E-2</v>
      </c>
      <c r="K70" s="2"/>
      <c r="L70" s="7">
        <f t="shared" si="38"/>
        <v>-550.0300000000002</v>
      </c>
      <c r="M70" s="2"/>
      <c r="N70" s="6">
        <f t="shared" si="39"/>
        <v>-0.14286493506493511</v>
      </c>
      <c r="O70" s="11"/>
      <c r="P70" s="7">
        <v>3299.97</v>
      </c>
      <c r="Q70" s="2"/>
      <c r="R70" s="6">
        <f t="shared" si="40"/>
        <v>1.3387322868895294E-2</v>
      </c>
      <c r="S70" s="2"/>
      <c r="T70" s="7">
        <v>3850</v>
      </c>
      <c r="U70" s="2"/>
      <c r="V70" s="6">
        <f t="shared" si="41"/>
        <v>1.394927536231884E-2</v>
      </c>
      <c r="W70" s="2"/>
      <c r="X70" s="7">
        <f t="shared" si="42"/>
        <v>-550.0300000000002</v>
      </c>
      <c r="Y70" s="2"/>
      <c r="Z70" s="6">
        <f t="shared" si="43"/>
        <v>-0.14286493506493511</v>
      </c>
    </row>
    <row r="71" spans="1:26" s="24" customFormat="1" hidden="1" outlineLevel="2" x14ac:dyDescent="0.25">
      <c r="A71" s="29"/>
      <c r="B71" s="11" t="str">
        <f>CONCATENATE("          ", "6239", " - ", "KITCHEN SUPPLIES")</f>
        <v xml:space="preserve">          6239 - KITCHEN SUPPLIES</v>
      </c>
      <c r="C71" s="11"/>
      <c r="D71" s="7">
        <v>278.73</v>
      </c>
      <c r="E71" s="2"/>
      <c r="F71" s="6">
        <f t="shared" si="36"/>
        <v>1.1307522502468767E-3</v>
      </c>
      <c r="G71" s="2"/>
      <c r="H71" s="7">
        <v>1750</v>
      </c>
      <c r="I71" s="2"/>
      <c r="J71" s="6">
        <f t="shared" si="37"/>
        <v>6.3405797101449279E-3</v>
      </c>
      <c r="K71" s="2"/>
      <c r="L71" s="7">
        <f t="shared" si="38"/>
        <v>-1471.27</v>
      </c>
      <c r="M71" s="2"/>
      <c r="N71" s="6">
        <f t="shared" si="39"/>
        <v>-0.8407257142857143</v>
      </c>
      <c r="O71" s="11"/>
      <c r="P71" s="7">
        <v>278.73</v>
      </c>
      <c r="Q71" s="2"/>
      <c r="R71" s="6">
        <f t="shared" si="40"/>
        <v>1.1307522502468767E-3</v>
      </c>
      <c r="S71" s="2"/>
      <c r="T71" s="7">
        <v>1750</v>
      </c>
      <c r="U71" s="2"/>
      <c r="V71" s="6">
        <f t="shared" si="41"/>
        <v>6.3405797101449279E-3</v>
      </c>
      <c r="W71" s="2"/>
      <c r="X71" s="7">
        <f t="shared" si="42"/>
        <v>-1471.27</v>
      </c>
      <c r="Y71" s="2"/>
      <c r="Z71" s="6">
        <f t="shared" si="43"/>
        <v>-0.8407257142857143</v>
      </c>
    </row>
    <row r="72" spans="1:26" s="24" customFormat="1" hidden="1" outlineLevel="2" x14ac:dyDescent="0.25">
      <c r="A72" s="29"/>
      <c r="B72" s="11" t="str">
        <f>CONCATENATE("          ", "6241", " - ", "OFFICE EXPENSE")</f>
        <v xml:space="preserve">          6241 - OFFICE EXPENSE</v>
      </c>
      <c r="C72" s="11"/>
      <c r="D72" s="7">
        <v>474.93</v>
      </c>
      <c r="E72" s="2"/>
      <c r="F72" s="6">
        <f t="shared" si="36"/>
        <v>1.9266966821287596E-3</v>
      </c>
      <c r="G72" s="2"/>
      <c r="H72" s="7">
        <v>450</v>
      </c>
      <c r="I72" s="2"/>
      <c r="J72" s="6">
        <f t="shared" si="37"/>
        <v>1.6304347826086956E-3</v>
      </c>
      <c r="K72" s="2"/>
      <c r="L72" s="7">
        <f t="shared" si="38"/>
        <v>24.930000000000007</v>
      </c>
      <c r="M72" s="2"/>
      <c r="N72" s="6">
        <f t="shared" si="39"/>
        <v>5.5400000000000012E-2</v>
      </c>
      <c r="O72" s="11"/>
      <c r="P72" s="7">
        <v>474.93</v>
      </c>
      <c r="Q72" s="2"/>
      <c r="R72" s="6">
        <f t="shared" si="40"/>
        <v>1.9266966821287596E-3</v>
      </c>
      <c r="S72" s="2"/>
      <c r="T72" s="7">
        <v>450</v>
      </c>
      <c r="U72" s="2"/>
      <c r="V72" s="6">
        <f t="shared" si="41"/>
        <v>1.6304347826086956E-3</v>
      </c>
      <c r="W72" s="2"/>
      <c r="X72" s="7">
        <f t="shared" si="42"/>
        <v>24.930000000000007</v>
      </c>
      <c r="Y72" s="2"/>
      <c r="Z72" s="6">
        <f t="shared" si="43"/>
        <v>5.5400000000000012E-2</v>
      </c>
    </row>
    <row r="73" spans="1:26" s="24" customFormat="1" hidden="1" outlineLevel="2" x14ac:dyDescent="0.25">
      <c r="A73" s="29"/>
      <c r="B73" s="11" t="str">
        <f>CONCATENATE("          ", "6243", " - ", "PAPER SUPPLIES")</f>
        <v xml:space="preserve">          6243 - PAPER SUPPLIES</v>
      </c>
      <c r="C73" s="11"/>
      <c r="D73" s="7">
        <v>2166.56</v>
      </c>
      <c r="E73" s="2"/>
      <c r="F73" s="6">
        <f t="shared" si="36"/>
        <v>8.7893036102854837E-3</v>
      </c>
      <c r="G73" s="2"/>
      <c r="H73" s="7">
        <v>1850</v>
      </c>
      <c r="I73" s="2"/>
      <c r="J73" s="6">
        <f t="shared" si="37"/>
        <v>6.7028985507246374E-3</v>
      </c>
      <c r="K73" s="2"/>
      <c r="L73" s="7">
        <f t="shared" si="38"/>
        <v>316.55999999999995</v>
      </c>
      <c r="M73" s="2"/>
      <c r="N73" s="6">
        <f t="shared" si="39"/>
        <v>0.17111351351351348</v>
      </c>
      <c r="O73" s="11"/>
      <c r="P73" s="7">
        <v>2166.56</v>
      </c>
      <c r="Q73" s="2"/>
      <c r="R73" s="6">
        <f t="shared" si="40"/>
        <v>8.7893036102854837E-3</v>
      </c>
      <c r="S73" s="2"/>
      <c r="T73" s="7">
        <v>1850</v>
      </c>
      <c r="U73" s="2"/>
      <c r="V73" s="6">
        <f t="shared" si="41"/>
        <v>6.7028985507246374E-3</v>
      </c>
      <c r="W73" s="2"/>
      <c r="X73" s="7">
        <f t="shared" si="42"/>
        <v>316.55999999999995</v>
      </c>
      <c r="Y73" s="2"/>
      <c r="Z73" s="6">
        <f t="shared" si="43"/>
        <v>0.17111351351351348</v>
      </c>
    </row>
    <row r="74" spans="1:26" s="24" customFormat="1" hidden="1" outlineLevel="2" x14ac:dyDescent="0.25">
      <c r="A74" s="29"/>
      <c r="B74" s="11" t="str">
        <f>CONCATENATE("          ", "6244", " - ", "SAFETY SUPPLY EXPENSE")</f>
        <v xml:space="preserve">          6244 - SAFETY SUPPLY EXPENSE</v>
      </c>
      <c r="C74" s="11"/>
      <c r="D74" s="7"/>
      <c r="E74" s="2"/>
      <c r="F74" s="6">
        <f t="shared" si="36"/>
        <v>0</v>
      </c>
      <c r="G74" s="2"/>
      <c r="H74" s="7">
        <v>125</v>
      </c>
      <c r="I74" s="2"/>
      <c r="J74" s="6">
        <f t="shared" si="37"/>
        <v>4.5289855072463769E-4</v>
      </c>
      <c r="K74" s="2"/>
      <c r="L74" s="7">
        <f t="shared" si="38"/>
        <v>-125</v>
      </c>
      <c r="M74" s="2"/>
      <c r="N74" s="6">
        <f t="shared" si="39"/>
        <v>-1</v>
      </c>
      <c r="O74" s="11"/>
      <c r="P74" s="7"/>
      <c r="Q74" s="2"/>
      <c r="R74" s="6">
        <f t="shared" si="40"/>
        <v>0</v>
      </c>
      <c r="S74" s="2"/>
      <c r="T74" s="7">
        <v>125</v>
      </c>
      <c r="U74" s="2"/>
      <c r="V74" s="6">
        <f t="shared" si="41"/>
        <v>4.5289855072463769E-4</v>
      </c>
      <c r="W74" s="2"/>
      <c r="X74" s="7">
        <f t="shared" si="42"/>
        <v>-125</v>
      </c>
      <c r="Y74" s="2"/>
      <c r="Z74" s="6">
        <f t="shared" si="43"/>
        <v>-1</v>
      </c>
    </row>
    <row r="75" spans="1:26" s="24" customFormat="1" hidden="1" outlineLevel="2" x14ac:dyDescent="0.25">
      <c r="A75" s="29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36"/>
        <v>0</v>
      </c>
      <c r="G75" s="2"/>
      <c r="H75" s="7">
        <v>150</v>
      </c>
      <c r="I75" s="2"/>
      <c r="J75" s="6">
        <f t="shared" si="37"/>
        <v>5.4347826086956522E-4</v>
      </c>
      <c r="K75" s="2"/>
      <c r="L75" s="7">
        <f t="shared" si="38"/>
        <v>-150</v>
      </c>
      <c r="M75" s="2"/>
      <c r="N75" s="6">
        <f t="shared" si="39"/>
        <v>-1</v>
      </c>
      <c r="O75" s="11"/>
      <c r="P75" s="7"/>
      <c r="Q75" s="2"/>
      <c r="R75" s="6">
        <f t="shared" si="40"/>
        <v>0</v>
      </c>
      <c r="S75" s="2"/>
      <c r="T75" s="7">
        <v>150</v>
      </c>
      <c r="U75" s="2"/>
      <c r="V75" s="6">
        <f t="shared" si="41"/>
        <v>5.4347826086956522E-4</v>
      </c>
      <c r="W75" s="2"/>
      <c r="X75" s="7">
        <f t="shared" si="42"/>
        <v>-150</v>
      </c>
      <c r="Y75" s="2"/>
      <c r="Z75" s="6">
        <f t="shared" si="43"/>
        <v>-1</v>
      </c>
    </row>
    <row r="76" spans="1:26" s="24" customFormat="1" hidden="1" outlineLevel="2" x14ac:dyDescent="0.25">
      <c r="A76" s="29"/>
      <c r="B76" s="11" t="str">
        <f>CONCATENATE("          ", "6248", " - ", "UNIFORMS")</f>
        <v xml:space="preserve">          6248 - UNIFORMS</v>
      </c>
      <c r="C76" s="11"/>
      <c r="D76" s="7">
        <v>1222.42</v>
      </c>
      <c r="E76" s="2"/>
      <c r="F76" s="6">
        <f t="shared" si="36"/>
        <v>4.9591151499543901E-3</v>
      </c>
      <c r="G76" s="2"/>
      <c r="H76" s="7">
        <v>3000</v>
      </c>
      <c r="I76" s="2"/>
      <c r="J76" s="6">
        <f t="shared" si="37"/>
        <v>1.0869565217391304E-2</v>
      </c>
      <c r="K76" s="2"/>
      <c r="L76" s="7">
        <f t="shared" si="38"/>
        <v>-1777.58</v>
      </c>
      <c r="M76" s="2"/>
      <c r="N76" s="6">
        <f t="shared" si="39"/>
        <v>-0.59252666666666665</v>
      </c>
      <c r="O76" s="11"/>
      <c r="P76" s="7">
        <v>1222.42</v>
      </c>
      <c r="Q76" s="2"/>
      <c r="R76" s="6">
        <f t="shared" si="40"/>
        <v>4.9591151499543901E-3</v>
      </c>
      <c r="S76" s="2"/>
      <c r="T76" s="7">
        <v>3000</v>
      </c>
      <c r="U76" s="2"/>
      <c r="V76" s="6">
        <f t="shared" si="41"/>
        <v>1.0869565217391304E-2</v>
      </c>
      <c r="W76" s="2"/>
      <c r="X76" s="7">
        <f t="shared" si="42"/>
        <v>-1777.58</v>
      </c>
      <c r="Y76" s="2"/>
      <c r="Z76" s="6">
        <f t="shared" si="43"/>
        <v>-0.59252666666666665</v>
      </c>
    </row>
    <row r="77" spans="1:26" s="27" customFormat="1" outlineLevel="1" collapsed="1" x14ac:dyDescent="0.25">
      <c r="A77" s="28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SUM(OSRRefD22_12x_0)</f>
        <v>79.8</v>
      </c>
      <c r="E77" s="1"/>
      <c r="F77" s="5">
        <f t="shared" ref="F77:F83" si="44">IF(D$12=0,0,D77/D$12)</f>
        <v>3.2373275058192785E-4</v>
      </c>
      <c r="G77" s="1"/>
      <c r="H77" s="1">
        <f>SUM(OSRRefH22_12x_0)</f>
        <v>185</v>
      </c>
      <c r="I77" s="1"/>
      <c r="J77" s="5">
        <f t="shared" ref="J77:J83" si="45">IF(H$12=0,0,H77/H$12)</f>
        <v>6.7028985507246381E-4</v>
      </c>
      <c r="K77" s="1"/>
      <c r="L77" s="1">
        <f t="shared" ref="L77:L83" si="46">+D77-H77</f>
        <v>-105.2</v>
      </c>
      <c r="M77" s="1"/>
      <c r="N77" s="5">
        <f t="shared" ref="N77:N83" si="47">IF(H77=0,0,L77/H77)</f>
        <v>-0.56864864864864861</v>
      </c>
      <c r="O77" s="14"/>
      <c r="P77" s="1">
        <f>SUM(OSRRefP22_12x_0)</f>
        <v>79.8</v>
      </c>
      <c r="Q77" s="1"/>
      <c r="R77" s="5">
        <f t="shared" ref="R77:R83" si="48">IF(P$12=0,0,P77/P$12)</f>
        <v>3.2373275058192785E-4</v>
      </c>
      <c r="S77" s="1"/>
      <c r="T77" s="1">
        <f>SUM(OSRRefT22_12x_0)</f>
        <v>185</v>
      </c>
      <c r="U77" s="1"/>
      <c r="V77" s="5">
        <f t="shared" ref="V77:V83" si="49">IF(T$12=0,0,T77/T$12)</f>
        <v>6.7028985507246381E-4</v>
      </c>
      <c r="W77" s="1"/>
      <c r="X77" s="1">
        <f t="shared" ref="X77:X83" si="50">+P77-T77</f>
        <v>-105.2</v>
      </c>
      <c r="Y77" s="1"/>
      <c r="Z77" s="5">
        <f t="shared" ref="Z77:Z83" si="51">IF(T77=0,0,X77/T77)</f>
        <v>-0.56864864864864861</v>
      </c>
    </row>
    <row r="78" spans="1:26" s="24" customFormat="1" hidden="1" outlineLevel="2" x14ac:dyDescent="0.25">
      <c r="A78" s="29"/>
      <c r="B78" s="11" t="str">
        <f>CONCATENATE("          ", "6309", " - ", "TELEPHONE")</f>
        <v xml:space="preserve">          6309 - TELEPHONE</v>
      </c>
      <c r="C78" s="11"/>
      <c r="D78" s="7">
        <v>79.8</v>
      </c>
      <c r="E78" s="2"/>
      <c r="F78" s="6">
        <f t="shared" si="44"/>
        <v>3.2373275058192785E-4</v>
      </c>
      <c r="G78" s="2"/>
      <c r="H78" s="7">
        <v>185</v>
      </c>
      <c r="I78" s="2"/>
      <c r="J78" s="6">
        <f t="shared" si="45"/>
        <v>6.7028985507246381E-4</v>
      </c>
      <c r="K78" s="2"/>
      <c r="L78" s="7">
        <f t="shared" si="46"/>
        <v>-105.2</v>
      </c>
      <c r="M78" s="2"/>
      <c r="N78" s="6">
        <f t="shared" si="47"/>
        <v>-0.56864864864864861</v>
      </c>
      <c r="O78" s="11"/>
      <c r="P78" s="7">
        <v>79.8</v>
      </c>
      <c r="Q78" s="2"/>
      <c r="R78" s="6">
        <f t="shared" si="48"/>
        <v>3.2373275058192785E-4</v>
      </c>
      <c r="S78" s="2"/>
      <c r="T78" s="7">
        <v>185</v>
      </c>
      <c r="U78" s="2"/>
      <c r="V78" s="6">
        <f t="shared" si="49"/>
        <v>6.7028985507246381E-4</v>
      </c>
      <c r="W78" s="2"/>
      <c r="X78" s="7">
        <f t="shared" si="50"/>
        <v>-105.2</v>
      </c>
      <c r="Y78" s="2"/>
      <c r="Z78" s="6">
        <f t="shared" si="51"/>
        <v>-0.56864864864864861</v>
      </c>
    </row>
    <row r="79" spans="1:26" s="27" customFormat="1" outlineLevel="1" collapsed="1" x14ac:dyDescent="0.25">
      <c r="A79" s="28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SUM(OSRRefD22_13x_0)</f>
        <v>344.2</v>
      </c>
      <c r="E79" s="1"/>
      <c r="F79" s="5">
        <f t="shared" si="44"/>
        <v>1.3963510369711725E-3</v>
      </c>
      <c r="G79" s="1"/>
      <c r="H79" s="1">
        <f>SUM(OSRRefH22_13x_0)</f>
        <v>0</v>
      </c>
      <c r="I79" s="1"/>
      <c r="J79" s="5">
        <f t="shared" si="45"/>
        <v>0</v>
      </c>
      <c r="K79" s="1"/>
      <c r="L79" s="1">
        <f t="shared" si="46"/>
        <v>344.2</v>
      </c>
      <c r="M79" s="1"/>
      <c r="N79" s="5">
        <f t="shared" si="47"/>
        <v>0</v>
      </c>
      <c r="O79" s="14"/>
      <c r="P79" s="1">
        <f>SUM(OSRRefP22_13x_0)</f>
        <v>344.2</v>
      </c>
      <c r="Q79" s="1"/>
      <c r="R79" s="5">
        <f t="shared" si="48"/>
        <v>1.3963510369711725E-3</v>
      </c>
      <c r="S79" s="1"/>
      <c r="T79" s="1">
        <f>SUM(OSRRefT22_13x_0)</f>
        <v>0</v>
      </c>
      <c r="U79" s="1"/>
      <c r="V79" s="5">
        <f t="shared" si="49"/>
        <v>0</v>
      </c>
      <c r="W79" s="1"/>
      <c r="X79" s="1">
        <f t="shared" si="50"/>
        <v>344.2</v>
      </c>
      <c r="Y79" s="1"/>
      <c r="Z79" s="5">
        <f t="shared" si="51"/>
        <v>0</v>
      </c>
    </row>
    <row r="80" spans="1:26" s="24" customFormat="1" hidden="1" outlineLevel="2" x14ac:dyDescent="0.25">
      <c r="A80" s="29"/>
      <c r="B80" s="11" t="str">
        <f>CONCATENATE("          ", "6376", " - ", "TRAINING")</f>
        <v xml:space="preserve">          6376 - TRAINING</v>
      </c>
      <c r="C80" s="11"/>
      <c r="D80" s="7">
        <v>344.2</v>
      </c>
      <c r="E80" s="2"/>
      <c r="F80" s="6">
        <f t="shared" si="44"/>
        <v>1.3963510369711725E-3</v>
      </c>
      <c r="G80" s="2"/>
      <c r="H80" s="7"/>
      <c r="I80" s="2"/>
      <c r="J80" s="6">
        <f t="shared" si="45"/>
        <v>0</v>
      </c>
      <c r="K80" s="2"/>
      <c r="L80" s="7">
        <f t="shared" si="46"/>
        <v>344.2</v>
      </c>
      <c r="M80" s="2"/>
      <c r="N80" s="6">
        <f t="shared" si="47"/>
        <v>0</v>
      </c>
      <c r="O80" s="11"/>
      <c r="P80" s="7">
        <v>344.2</v>
      </c>
      <c r="Q80" s="2"/>
      <c r="R80" s="6">
        <f t="shared" si="48"/>
        <v>1.3963510369711725E-3</v>
      </c>
      <c r="S80" s="2"/>
      <c r="T80" s="7"/>
      <c r="U80" s="2"/>
      <c r="V80" s="6">
        <f t="shared" si="49"/>
        <v>0</v>
      </c>
      <c r="W80" s="2"/>
      <c r="X80" s="7">
        <f t="shared" si="50"/>
        <v>344.2</v>
      </c>
      <c r="Y80" s="2"/>
      <c r="Z80" s="6">
        <f t="shared" si="51"/>
        <v>0</v>
      </c>
    </row>
    <row r="81" spans="1:26" s="27" customFormat="1" outlineLevel="1" collapsed="1" x14ac:dyDescent="0.25">
      <c r="A81" s="28"/>
      <c r="B81" s="14" t="str">
        <f>CONCATENATE("     ","Travel                                            ")</f>
        <v xml:space="preserve">     Travel                                            </v>
      </c>
      <c r="C81" s="14"/>
      <c r="D81" s="1">
        <f>SUM(OSRRefD22_14x_0)</f>
        <v>1429.86</v>
      </c>
      <c r="E81" s="1"/>
      <c r="F81" s="5">
        <f t="shared" si="44"/>
        <v>5.8006580294119722E-3</v>
      </c>
      <c r="G81" s="1"/>
      <c r="H81" s="1">
        <f>SUM(OSRRefH22_14x_0)</f>
        <v>60</v>
      </c>
      <c r="I81" s="1"/>
      <c r="J81" s="5">
        <f t="shared" si="45"/>
        <v>2.173913043478261E-4</v>
      </c>
      <c r="K81" s="1"/>
      <c r="L81" s="1">
        <f t="shared" si="46"/>
        <v>1369.86</v>
      </c>
      <c r="M81" s="1"/>
      <c r="N81" s="5">
        <f t="shared" si="47"/>
        <v>22.831</v>
      </c>
      <c r="O81" s="14"/>
      <c r="P81" s="1">
        <f>SUM(OSRRefP22_14x_0)</f>
        <v>1429.86</v>
      </c>
      <c r="Q81" s="1"/>
      <c r="R81" s="5">
        <f t="shared" si="48"/>
        <v>5.8006580294119722E-3</v>
      </c>
      <c r="S81" s="1"/>
      <c r="T81" s="1">
        <f>SUM(OSRRefT22_14x_0)</f>
        <v>60</v>
      </c>
      <c r="U81" s="1"/>
      <c r="V81" s="5">
        <f t="shared" si="49"/>
        <v>2.173913043478261E-4</v>
      </c>
      <c r="W81" s="1"/>
      <c r="X81" s="1">
        <f t="shared" si="50"/>
        <v>1369.86</v>
      </c>
      <c r="Y81" s="1"/>
      <c r="Z81" s="5">
        <f t="shared" si="51"/>
        <v>22.831</v>
      </c>
    </row>
    <row r="82" spans="1:26" s="24" customFormat="1" hidden="1" outlineLevel="2" x14ac:dyDescent="0.25">
      <c r="A82" s="29"/>
      <c r="B82" s="11" t="str">
        <f>CONCATENATE("          ", "6292", " - ", "TRAVEL/CONFERENCE")</f>
        <v xml:space="preserve">          6292 - TRAVEL/CONFERENCE</v>
      </c>
      <c r="C82" s="11"/>
      <c r="D82" s="7">
        <v>1429.86</v>
      </c>
      <c r="E82" s="2"/>
      <c r="F82" s="6">
        <f t="shared" si="44"/>
        <v>5.8006580294119722E-3</v>
      </c>
      <c r="G82" s="2"/>
      <c r="H82" s="7"/>
      <c r="I82" s="2"/>
      <c r="J82" s="6">
        <f t="shared" si="45"/>
        <v>0</v>
      </c>
      <c r="K82" s="2"/>
      <c r="L82" s="7">
        <f t="shared" si="46"/>
        <v>1429.86</v>
      </c>
      <c r="M82" s="2"/>
      <c r="N82" s="6">
        <f t="shared" si="47"/>
        <v>0</v>
      </c>
      <c r="O82" s="11"/>
      <c r="P82" s="7">
        <v>1429.86</v>
      </c>
      <c r="Q82" s="2"/>
      <c r="R82" s="6">
        <f t="shared" si="48"/>
        <v>5.8006580294119722E-3</v>
      </c>
      <c r="S82" s="2"/>
      <c r="T82" s="7"/>
      <c r="U82" s="2"/>
      <c r="V82" s="6">
        <f t="shared" si="49"/>
        <v>0</v>
      </c>
      <c r="W82" s="2"/>
      <c r="X82" s="7">
        <f t="shared" si="50"/>
        <v>1429.86</v>
      </c>
      <c r="Y82" s="2"/>
      <c r="Z82" s="6">
        <f t="shared" si="51"/>
        <v>0</v>
      </c>
    </row>
    <row r="83" spans="1:26" s="24" customFormat="1" hidden="1" outlineLevel="2" x14ac:dyDescent="0.25">
      <c r="A83" s="29"/>
      <c r="B83" s="11" t="str">
        <f>CONCATENATE("          ", "6298", " - ", "VEHICLE MILEAGE")</f>
        <v xml:space="preserve">          6298 - VEHICLE MILEAGE</v>
      </c>
      <c r="C83" s="11"/>
      <c r="D83" s="7"/>
      <c r="E83" s="2"/>
      <c r="F83" s="6">
        <f t="shared" si="44"/>
        <v>0</v>
      </c>
      <c r="G83" s="2"/>
      <c r="H83" s="7">
        <v>60</v>
      </c>
      <c r="I83" s="2"/>
      <c r="J83" s="6">
        <f t="shared" si="45"/>
        <v>2.173913043478261E-4</v>
      </c>
      <c r="K83" s="2"/>
      <c r="L83" s="7">
        <f t="shared" si="46"/>
        <v>-60</v>
      </c>
      <c r="M83" s="2"/>
      <c r="N83" s="6">
        <f t="shared" si="47"/>
        <v>-1</v>
      </c>
      <c r="O83" s="11"/>
      <c r="P83" s="7"/>
      <c r="Q83" s="2"/>
      <c r="R83" s="6">
        <f t="shared" si="48"/>
        <v>0</v>
      </c>
      <c r="S83" s="2"/>
      <c r="T83" s="7">
        <v>60</v>
      </c>
      <c r="U83" s="2"/>
      <c r="V83" s="6">
        <f t="shared" si="49"/>
        <v>2.173913043478261E-4</v>
      </c>
      <c r="W83" s="2"/>
      <c r="X83" s="7">
        <f t="shared" si="50"/>
        <v>-60</v>
      </c>
      <c r="Y83" s="2"/>
      <c r="Z83" s="6">
        <f t="shared" si="51"/>
        <v>-1</v>
      </c>
    </row>
    <row r="84" spans="1:26" s="57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5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6" t="s">
        <v>3</v>
      </c>
      <c r="C87" s="26"/>
      <c r="D87" s="21">
        <f>+D23-D25+D85</f>
        <v>25671.879999999946</v>
      </c>
      <c r="E87" s="13"/>
      <c r="F87" s="19">
        <f>IF(D$12=0,0,D87/D$12)</f>
        <v>0.10414571835851084</v>
      </c>
      <c r="G87" s="13"/>
      <c r="H87" s="21">
        <f>+H23-H25+H85</f>
        <v>25600.853980645828</v>
      </c>
      <c r="I87" s="13"/>
      <c r="J87" s="19">
        <f>IF(H$12=0,0,H87/H$12)</f>
        <v>9.2756717321180543E-2</v>
      </c>
      <c r="K87" s="15"/>
      <c r="L87" s="21">
        <f>+D87-H87</f>
        <v>71.026019354118034</v>
      </c>
      <c r="M87" s="15"/>
      <c r="N87" s="19">
        <f>IF(H87=0,0,L87/H87)</f>
        <v>2.7743613321576498E-3</v>
      </c>
      <c r="O87" s="25"/>
      <c r="P87" s="21">
        <f>+P23-P25+P85</f>
        <v>25671.879999999946</v>
      </c>
      <c r="Q87" s="13"/>
      <c r="R87" s="19">
        <f>IF(P$12=0,0,P87/P$12)</f>
        <v>0.10414571835851084</v>
      </c>
      <c r="S87" s="13"/>
      <c r="T87" s="21">
        <f>+T23-T25+T85</f>
        <v>25600.853980645828</v>
      </c>
      <c r="U87" s="13"/>
      <c r="V87" s="19">
        <f>IF(T$12=0,0,T87/T$12)</f>
        <v>9.2756717321180543E-2</v>
      </c>
      <c r="W87" s="15"/>
      <c r="X87" s="21">
        <f>+P87-T87</f>
        <v>71.026019354118034</v>
      </c>
      <c r="Y87" s="15"/>
      <c r="Z87" s="19">
        <f>IF(T87=0,0,X87/T87)</f>
        <v>2.7743613321576498E-3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14</v>
      </c>
      <c r="C89" s="10"/>
      <c r="D89" s="4">
        <v>51254.53</v>
      </c>
      <c r="E89" s="4"/>
      <c r="F89" s="12">
        <f>IF(D$12=0,0,D89/D$12)</f>
        <v>0.20792944832937268</v>
      </c>
      <c r="G89" s="4"/>
      <c r="H89" s="4">
        <v>67263</v>
      </c>
      <c r="I89" s="4"/>
      <c r="J89" s="12">
        <f>IF(H$12=0,0,H89/H$12)</f>
        <v>0.24370652173913043</v>
      </c>
      <c r="K89" s="4"/>
      <c r="L89" s="4">
        <f>+D89-H89</f>
        <v>-16008.470000000001</v>
      </c>
      <c r="M89" s="4"/>
      <c r="N89" s="12">
        <f>IF(H89=0,0,L89/H89)</f>
        <v>-0.23799815649019523</v>
      </c>
      <c r="O89" s="10"/>
      <c r="P89" s="4">
        <v>51254.53</v>
      </c>
      <c r="Q89" s="4"/>
      <c r="R89" s="12">
        <f>IF(P$12=0,0,P89/P$12)</f>
        <v>0.20792944832937268</v>
      </c>
      <c r="S89" s="4"/>
      <c r="T89" s="4">
        <v>67263</v>
      </c>
      <c r="U89" s="4"/>
      <c r="V89" s="12">
        <f>IF(T$12=0,0,T89/T$12)</f>
        <v>0.24370652173913043</v>
      </c>
      <c r="W89" s="4"/>
      <c r="X89" s="4">
        <f>+P89-T89</f>
        <v>-16008.470000000001</v>
      </c>
      <c r="Y89" s="4"/>
      <c r="Z89" s="12">
        <f>IF(T89=0,0,X89/T89)</f>
        <v>-0.23799815649019523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4</v>
      </c>
      <c r="C91" s="26"/>
      <c r="D91" s="32">
        <f>+D87-D89</f>
        <v>-25582.650000000052</v>
      </c>
      <c r="E91" s="13"/>
      <c r="F91" s="31">
        <f>IF(D$12=0,0,D91/D$12)</f>
        <v>-0.10378372997086183</v>
      </c>
      <c r="G91" s="13"/>
      <c r="H91" s="32">
        <f>+H87-H89</f>
        <v>-41662.146019354172</v>
      </c>
      <c r="I91" s="13"/>
      <c r="J91" s="31">
        <f>IF(H$12=0,0,H91/H$12)</f>
        <v>-0.15094980441794989</v>
      </c>
      <c r="K91" s="15"/>
      <c r="L91" s="32">
        <f>D91-H91</f>
        <v>16079.496019354119</v>
      </c>
      <c r="M91" s="15"/>
      <c r="N91" s="31">
        <f>IF(H91=0,0,L91/H91)</f>
        <v>-0.38594977829237076</v>
      </c>
      <c r="O91" s="25"/>
      <c r="P91" s="32">
        <f>+P87-P89</f>
        <v>-25582.650000000052</v>
      </c>
      <c r="Q91" s="13"/>
      <c r="R91" s="31">
        <f>IF(P$12=0,0,P91/P$12)</f>
        <v>-0.10378372997086183</v>
      </c>
      <c r="S91" s="13"/>
      <c r="T91" s="32">
        <f>+T87-T89</f>
        <v>-41662.146019354172</v>
      </c>
      <c r="U91" s="13"/>
      <c r="V91" s="31">
        <f>IF(T$12=0,0,T91/T$12)</f>
        <v>-0.15094980441794989</v>
      </c>
      <c r="W91" s="15"/>
      <c r="X91" s="32">
        <f>P91-T91</f>
        <v>16079.496019354119</v>
      </c>
      <c r="Y91" s="15"/>
      <c r="Z91" s="31">
        <f>IF(T91=0,0,X91/T91)</f>
        <v>-0.38594977829237076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6" t="s">
        <v>5</v>
      </c>
      <c r="C94" s="26"/>
      <c r="D94" s="33">
        <f>SUM(D91:D93)</f>
        <v>-25582.650000000052</v>
      </c>
      <c r="E94" s="13"/>
      <c r="F94" s="34">
        <f>IF(D$12=0,0,D94/D$12)</f>
        <v>-0.10378372997086183</v>
      </c>
      <c r="G94" s="13"/>
      <c r="H94" s="33">
        <f>SUM(H91:H93)</f>
        <v>-41662.146019354172</v>
      </c>
      <c r="I94" s="13"/>
      <c r="J94" s="34">
        <f>IF(H$12=0,0,H94/H$12)</f>
        <v>-0.15094980441794989</v>
      </c>
      <c r="K94" s="15"/>
      <c r="L94" s="33">
        <f>+D94-H94</f>
        <v>16079.496019354119</v>
      </c>
      <c r="M94" s="15"/>
      <c r="N94" s="34">
        <f>IF(H94=0,0,L94/H94)</f>
        <v>-0.38594977829237076</v>
      </c>
      <c r="O94" s="25"/>
      <c r="P94" s="33">
        <f>SUM(P91:P93)</f>
        <v>-25582.650000000052</v>
      </c>
      <c r="Q94" s="13"/>
      <c r="R94" s="34">
        <f>IF(P$12=0,0,P94/P$12)</f>
        <v>-0.10378372997086183</v>
      </c>
      <c r="S94" s="13"/>
      <c r="T94" s="33">
        <f>SUM(T91:T93)</f>
        <v>-41662.146019354172</v>
      </c>
      <c r="U94" s="13"/>
      <c r="V94" s="34">
        <f>IF(T$12=0,0,T94/T$12)</f>
        <v>-0.15094980441794989</v>
      </c>
      <c r="W94" s="15"/>
      <c r="X94" s="33">
        <f>+P94-T94</f>
        <v>16079.496019354119</v>
      </c>
      <c r="Y94" s="15"/>
      <c r="Z94" s="34">
        <f>IF(T94=0,0,X94/T94)</f>
        <v>-0.38594977829237076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61">
        <v>43726.679167210648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6" t="s">
        <v>314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3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","435", " - ", "Ground Floor Coffee House")</f>
        <v>Department 435 - Ground Floor Coffee House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1">
        <f>D12-D15</f>
        <v>0</v>
      </c>
      <c r="E18" s="13"/>
      <c r="F18" s="19">
        <f>IF(D$12=0,0,D18/D$12)</f>
        <v>0</v>
      </c>
      <c r="G18" s="13"/>
      <c r="H18" s="21">
        <f>H12-H15</f>
        <v>0</v>
      </c>
      <c r="I18" s="13"/>
      <c r="J18" s="19">
        <f>IF(H$12=0,0,H18/H$12)</f>
        <v>0</v>
      </c>
      <c r="K18" s="15"/>
      <c r="L18" s="21">
        <f>+D18-H18</f>
        <v>0</v>
      </c>
      <c r="M18" s="15"/>
      <c r="N18" s="19">
        <f>IF(H18=0,0,L18/H18)</f>
        <v>0</v>
      </c>
      <c r="O18" s="25"/>
      <c r="P18" s="21">
        <f>P12-P15</f>
        <v>0</v>
      </c>
      <c r="Q18" s="13"/>
      <c r="R18" s="19">
        <f>IF(P$12=0,0,P18/P$12)</f>
        <v>0</v>
      </c>
      <c r="S18" s="13"/>
      <c r="T18" s="21">
        <f>T12-T15</f>
        <v>0</v>
      </c>
      <c r="U18" s="13"/>
      <c r="V18" s="19">
        <f>IF(T$12=0,0,T18/T$12)</f>
        <v>0</v>
      </c>
      <c r="W18" s="15"/>
      <c r="X18" s="21">
        <f>+P18-T18</f>
        <v>0</v>
      </c>
      <c r="Y18" s="15"/>
      <c r="Z18" s="19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>
        <f>SUM(OSRRefD22x_0)</f>
        <v>1362.1999999999998</v>
      </c>
      <c r="E20" s="20"/>
      <c r="F20" s="30">
        <f t="shared" ref="F20:F29" si="12">IF(D$12=0,0,D20/D$12)</f>
        <v>0</v>
      </c>
      <c r="G20" s="20"/>
      <c r="H20" s="20">
        <f>SUM(OSRRefH22x_0)</f>
        <v>25</v>
      </c>
      <c r="I20" s="20"/>
      <c r="J20" s="30">
        <f t="shared" ref="J20:J29" si="13">IF(H$12=0,0,H20/H$12)</f>
        <v>0</v>
      </c>
      <c r="K20" s="4"/>
      <c r="L20" s="20">
        <f t="shared" ref="L20:L29" si="14">+D20-H20</f>
        <v>1337.1999999999998</v>
      </c>
      <c r="M20" s="4"/>
      <c r="N20" s="30">
        <f t="shared" ref="N20:N29" si="15">IF(H20=0,0,L20/H20)</f>
        <v>53.487999999999992</v>
      </c>
      <c r="O20" s="10"/>
      <c r="P20" s="20">
        <f>SUM(OSRRefP22x_0)</f>
        <v>1362.1999999999998</v>
      </c>
      <c r="Q20" s="20"/>
      <c r="R20" s="30">
        <f t="shared" ref="R20:R29" si="16">IF(P$12=0,0,P20/P$12)</f>
        <v>0</v>
      </c>
      <c r="S20" s="20"/>
      <c r="T20" s="20">
        <f>SUM(OSRRefT22x_0)</f>
        <v>25</v>
      </c>
      <c r="U20" s="20"/>
      <c r="V20" s="30">
        <f t="shared" ref="V20:V29" si="17">IF(T$12=0,0,T20/T$12)</f>
        <v>0</v>
      </c>
      <c r="W20" s="4"/>
      <c r="X20" s="20">
        <f t="shared" ref="X20:X29" si="18">+P20-T20</f>
        <v>1337.1999999999998</v>
      </c>
      <c r="Y20" s="4"/>
      <c r="Z20" s="30">
        <f t="shared" ref="Z20:Z29" si="19">IF(T20=0,0,X20/T20)</f>
        <v>53.487999999999992</v>
      </c>
    </row>
    <row r="21" spans="1:26" s="27" customFormat="1" outlineLevel="1" collapsed="1" x14ac:dyDescent="0.25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20.549999999999997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20.549999999999997</v>
      </c>
      <c r="M21" s="1"/>
      <c r="N21" s="5">
        <f t="shared" si="15"/>
        <v>0</v>
      </c>
      <c r="O21" s="14"/>
      <c r="P21" s="1">
        <f>SUM(OSRRefP22_0x_0)</f>
        <v>20.549999999999997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20.549999999999997</v>
      </c>
      <c r="Y21" s="1"/>
      <c r="Z21" s="5">
        <f t="shared" si="19"/>
        <v>0</v>
      </c>
    </row>
    <row r="22" spans="1:26" s="24" customFormat="1" hidden="1" outlineLevel="2" x14ac:dyDescent="0.25">
      <c r="A22" s="29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9"/>
      <c r="B23" s="11" t="str">
        <f>CONCATENATE("          ", "6112", " - ", "COMPENSATION INSURANCE")</f>
        <v xml:space="preserve">          6112 - COMPENSATION INSURANCE</v>
      </c>
      <c r="C23" s="11"/>
      <c r="D23" s="7">
        <v>18.079999999999998</v>
      </c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18.079999999999998</v>
      </c>
      <c r="M23" s="2"/>
      <c r="N23" s="6">
        <f t="shared" si="15"/>
        <v>0</v>
      </c>
      <c r="O23" s="11"/>
      <c r="P23" s="7">
        <v>18.079999999999998</v>
      </c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18.079999999999998</v>
      </c>
      <c r="Y23" s="2"/>
      <c r="Z23" s="6">
        <f t="shared" si="19"/>
        <v>0</v>
      </c>
    </row>
    <row r="24" spans="1:26" s="24" customFormat="1" hidden="1" outlineLevel="2" x14ac:dyDescent="0.25">
      <c r="A24" s="29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7">
        <v>2.4700000000000002</v>
      </c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2.4700000000000002</v>
      </c>
      <c r="M25" s="2"/>
      <c r="N25" s="6">
        <f t="shared" si="15"/>
        <v>0</v>
      </c>
      <c r="O25" s="11"/>
      <c r="P25" s="7">
        <v>2.4700000000000002</v>
      </c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2.4700000000000002</v>
      </c>
      <c r="Y25" s="2"/>
      <c r="Z25" s="6">
        <f t="shared" si="19"/>
        <v>0</v>
      </c>
    </row>
    <row r="26" spans="1:26" s="24" customFormat="1" hidden="1" outlineLevel="2" x14ac:dyDescent="0.25">
      <c r="A26" s="29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9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7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7" customFormat="1" outlineLevel="1" collapsed="1" x14ac:dyDescent="0.25">
      <c r="A41" s="28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SUM(OSRRefD22_2x_0)</f>
        <v>0</v>
      </c>
      <c r="E41" s="1"/>
      <c r="F41" s="5">
        <f t="shared" ref="F41:F52" si="28">IF(D$12=0,0,D41/D$12)</f>
        <v>0</v>
      </c>
      <c r="G41" s="1"/>
      <c r="H41" s="1">
        <f>SUM(OSRRefH22_2x_0)</f>
        <v>25</v>
      </c>
      <c r="I41" s="1"/>
      <c r="J41" s="5">
        <f t="shared" ref="J41:J52" si="29">IF(H$12=0,0,H41/H$12)</f>
        <v>0</v>
      </c>
      <c r="K41" s="1"/>
      <c r="L41" s="1">
        <f t="shared" ref="L41:L52" si="30">+D41-H41</f>
        <v>-25</v>
      </c>
      <c r="M41" s="1"/>
      <c r="N41" s="5">
        <f t="shared" ref="N41:N52" si="31">IF(H41=0,0,L41/H41)</f>
        <v>-1</v>
      </c>
      <c r="O41" s="14"/>
      <c r="P41" s="1">
        <f>SUM(OSRRefP22_2x_0)</f>
        <v>0</v>
      </c>
      <c r="Q41" s="1"/>
      <c r="R41" s="5">
        <f t="shared" ref="R41:R52" si="32">IF(P$12=0,0,P41/P$12)</f>
        <v>0</v>
      </c>
      <c r="S41" s="1"/>
      <c r="T41" s="1">
        <f>SUM(OSRRefT22_2x_0)</f>
        <v>25</v>
      </c>
      <c r="U41" s="1"/>
      <c r="V41" s="5">
        <f t="shared" ref="V41:V52" si="33">IF(T$12=0,0,T41/T$12)</f>
        <v>0</v>
      </c>
      <c r="W41" s="1"/>
      <c r="X41" s="1">
        <f t="shared" ref="X41:X52" si="34">+P41-T41</f>
        <v>-25</v>
      </c>
      <c r="Y41" s="1"/>
      <c r="Z41" s="5">
        <f t="shared" ref="Z41:Z52" si="35">IF(T41=0,0,X41/T41)</f>
        <v>-1</v>
      </c>
    </row>
    <row r="42" spans="1:26" s="24" customFormat="1" hidden="1" outlineLevel="2" x14ac:dyDescent="0.25">
      <c r="A42" s="29"/>
      <c r="B42" s="11" t="str">
        <f>CONCATENATE("          ", "6272", " - ", "CASH (OVER/SHORT)")</f>
        <v xml:space="preserve">          6272 - CASH (OVER/SHORT)</v>
      </c>
      <c r="C42" s="11"/>
      <c r="D42" s="7"/>
      <c r="E42" s="2"/>
      <c r="F42" s="6">
        <f t="shared" si="28"/>
        <v>0</v>
      </c>
      <c r="G42" s="2"/>
      <c r="H42" s="7">
        <v>25</v>
      </c>
      <c r="I42" s="2"/>
      <c r="J42" s="6">
        <f t="shared" si="29"/>
        <v>0</v>
      </c>
      <c r="K42" s="2"/>
      <c r="L42" s="7">
        <f t="shared" si="30"/>
        <v>-25</v>
      </c>
      <c r="M42" s="2"/>
      <c r="N42" s="6">
        <f t="shared" si="31"/>
        <v>-1</v>
      </c>
      <c r="O42" s="11"/>
      <c r="P42" s="7"/>
      <c r="Q42" s="2"/>
      <c r="R42" s="6">
        <f t="shared" si="32"/>
        <v>0</v>
      </c>
      <c r="S42" s="2"/>
      <c r="T42" s="7">
        <v>25</v>
      </c>
      <c r="U42" s="2"/>
      <c r="V42" s="6">
        <f t="shared" si="33"/>
        <v>0</v>
      </c>
      <c r="W42" s="2"/>
      <c r="X42" s="7">
        <f t="shared" si="34"/>
        <v>-25</v>
      </c>
      <c r="Y42" s="2"/>
      <c r="Z42" s="6">
        <f t="shared" si="35"/>
        <v>-1</v>
      </c>
    </row>
    <row r="43" spans="1:26" s="27" customFormat="1" outlineLevel="1" collapsed="1" x14ac:dyDescent="0.25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7" customFormat="1" outlineLevel="1" collapsed="1" x14ac:dyDescent="0.25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SUM(OSRRefD22_4x_0)</f>
        <v>1074.55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1074.55</v>
      </c>
      <c r="M45" s="1"/>
      <c r="N45" s="5">
        <f t="shared" si="31"/>
        <v>0</v>
      </c>
      <c r="O45" s="14"/>
      <c r="P45" s="1">
        <f>SUM(OSRRefP22_4x_0)</f>
        <v>1074.55</v>
      </c>
      <c r="Q45" s="1"/>
      <c r="R45" s="5">
        <f t="shared" si="32"/>
        <v>0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1074.55</v>
      </c>
      <c r="Y45" s="1"/>
      <c r="Z45" s="5">
        <f t="shared" si="35"/>
        <v>0</v>
      </c>
    </row>
    <row r="46" spans="1:26" s="24" customFormat="1" hidden="1" outlineLevel="2" x14ac:dyDescent="0.25">
      <c r="A46" s="29"/>
      <c r="B46" s="11" t="str">
        <f>CONCATENATE("          ", "6279", " - ", "GENERAL EXPENSE")</f>
        <v xml:space="preserve">          6279 - GENERAL EXPENSE</v>
      </c>
      <c r="C46" s="11"/>
      <c r="D46" s="7">
        <v>1074.55</v>
      </c>
      <c r="E46" s="2"/>
      <c r="F46" s="6">
        <f t="shared" si="28"/>
        <v>0</v>
      </c>
      <c r="G46" s="2"/>
      <c r="H46" s="7">
        <v>0</v>
      </c>
      <c r="I46" s="2"/>
      <c r="J46" s="6">
        <f t="shared" si="29"/>
        <v>0</v>
      </c>
      <c r="K46" s="2"/>
      <c r="L46" s="7">
        <f t="shared" si="30"/>
        <v>1074.55</v>
      </c>
      <c r="M46" s="2"/>
      <c r="N46" s="6">
        <f t="shared" si="31"/>
        <v>0</v>
      </c>
      <c r="O46" s="11"/>
      <c r="P46" s="7">
        <v>1074.55</v>
      </c>
      <c r="Q46" s="2"/>
      <c r="R46" s="6">
        <f t="shared" si="32"/>
        <v>0</v>
      </c>
      <c r="S46" s="2"/>
      <c r="T46" s="7">
        <v>0</v>
      </c>
      <c r="U46" s="2"/>
      <c r="V46" s="6">
        <f t="shared" si="33"/>
        <v>0</v>
      </c>
      <c r="W46" s="2"/>
      <c r="X46" s="7">
        <f t="shared" si="34"/>
        <v>1074.55</v>
      </c>
      <c r="Y46" s="2"/>
      <c r="Z46" s="6">
        <f t="shared" si="35"/>
        <v>0</v>
      </c>
    </row>
    <row r="47" spans="1:26" s="27" customFormat="1" outlineLevel="1" collapsed="1" x14ac:dyDescent="0.25">
      <c r="A47" s="28"/>
      <c r="B47" s="14" t="str">
        <f>CONCATENATE("     ","R/H Commissions                                   ")</f>
        <v xml:space="preserve">     R/H Commissions                                   </v>
      </c>
      <c r="C47" s="14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4"/>
      <c r="P47" s="1">
        <f>SUM(OSRRefP22_5x_0)</f>
        <v>0</v>
      </c>
      <c r="Q47" s="1"/>
      <c r="R47" s="5">
        <f t="shared" si="32"/>
        <v>0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"6387", " - ", "COMMISSION DUE HOUSING")</f>
        <v xml:space="preserve">          6387 - COMMISSION DUE HOUSING</v>
      </c>
      <c r="C48" s="11"/>
      <c r="D48" s="7"/>
      <c r="E48" s="2"/>
      <c r="F48" s="6">
        <f t="shared" si="28"/>
        <v>0</v>
      </c>
      <c r="G48" s="2"/>
      <c r="H48" s="7">
        <v>0</v>
      </c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/>
      <c r="Q48" s="2"/>
      <c r="R48" s="6">
        <f t="shared" si="32"/>
        <v>0</v>
      </c>
      <c r="S48" s="2"/>
      <c r="T48" s="7">
        <v>0</v>
      </c>
      <c r="U48" s="2"/>
      <c r="V48" s="6">
        <f t="shared" si="33"/>
        <v>0</v>
      </c>
      <c r="W48" s="2"/>
      <c r="X48" s="7">
        <f t="shared" si="34"/>
        <v>0</v>
      </c>
      <c r="Y48" s="2"/>
      <c r="Z48" s="6">
        <f t="shared" si="35"/>
        <v>0</v>
      </c>
    </row>
    <row r="49" spans="1:26" s="27" customFormat="1" outlineLevel="1" collapsed="1" x14ac:dyDescent="0.25">
      <c r="A49" s="28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156.1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156.1</v>
      </c>
      <c r="M49" s="1"/>
      <c r="N49" s="5">
        <f t="shared" si="31"/>
        <v>0</v>
      </c>
      <c r="O49" s="14"/>
      <c r="P49" s="1">
        <f>SUM(OSRRefP22_6x_0)</f>
        <v>156.1</v>
      </c>
      <c r="Q49" s="1"/>
      <c r="R49" s="5">
        <f t="shared" si="32"/>
        <v>0</v>
      </c>
      <c r="S49" s="1"/>
      <c r="T49" s="1">
        <f>SUM(OSRRefT22_6x_0)</f>
        <v>0</v>
      </c>
      <c r="U49" s="1"/>
      <c r="V49" s="5">
        <f t="shared" si="33"/>
        <v>0</v>
      </c>
      <c r="W49" s="1"/>
      <c r="X49" s="1">
        <f t="shared" si="34"/>
        <v>156.1</v>
      </c>
      <c r="Y49" s="1"/>
      <c r="Z49" s="5">
        <f t="shared" si="35"/>
        <v>0</v>
      </c>
    </row>
    <row r="50" spans="1:26" s="24" customFormat="1" hidden="1" outlineLevel="2" x14ac:dyDescent="0.25">
      <c r="A50" s="29"/>
      <c r="B50" s="11" t="str">
        <f>CONCATENATE("          ", "6247", " - ", "STORE SUPPLIES")</f>
        <v xml:space="preserve">          6247 - STORE SUPPLIES</v>
      </c>
      <c r="C50" s="11"/>
      <c r="D50" s="7">
        <v>156.1</v>
      </c>
      <c r="E50" s="2"/>
      <c r="F50" s="6">
        <f t="shared" si="28"/>
        <v>0</v>
      </c>
      <c r="G50" s="2"/>
      <c r="H50" s="7">
        <v>0</v>
      </c>
      <c r="I50" s="2"/>
      <c r="J50" s="6">
        <f t="shared" si="29"/>
        <v>0</v>
      </c>
      <c r="K50" s="2"/>
      <c r="L50" s="7">
        <f t="shared" si="30"/>
        <v>156.1</v>
      </c>
      <c r="M50" s="2"/>
      <c r="N50" s="6">
        <f t="shared" si="31"/>
        <v>0</v>
      </c>
      <c r="O50" s="11"/>
      <c r="P50" s="7">
        <v>156.1</v>
      </c>
      <c r="Q50" s="2"/>
      <c r="R50" s="6">
        <f t="shared" si="32"/>
        <v>0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156.1</v>
      </c>
      <c r="Y50" s="2"/>
      <c r="Z50" s="6">
        <f t="shared" si="35"/>
        <v>0</v>
      </c>
    </row>
    <row r="51" spans="1:26" s="27" customFormat="1" outlineLevel="1" collapsed="1" x14ac:dyDescent="0.25">
      <c r="A51" s="28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SUM(OSRRefD22_7x_0)</f>
        <v>111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111</v>
      </c>
      <c r="M51" s="1"/>
      <c r="N51" s="5">
        <f t="shared" si="31"/>
        <v>0</v>
      </c>
      <c r="O51" s="14"/>
      <c r="P51" s="1">
        <f>SUM(OSRRefP22_7x_0)</f>
        <v>111</v>
      </c>
      <c r="Q51" s="1"/>
      <c r="R51" s="5">
        <f t="shared" si="32"/>
        <v>0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111</v>
      </c>
      <c r="Y51" s="1"/>
      <c r="Z51" s="5">
        <f t="shared" si="35"/>
        <v>0</v>
      </c>
    </row>
    <row r="52" spans="1:26" s="24" customFormat="1" hidden="1" outlineLevel="2" x14ac:dyDescent="0.25">
      <c r="A52" s="29"/>
      <c r="B52" s="11" t="str">
        <f>CONCATENATE("          ", "6309", " - ", "TELEPHONE")</f>
        <v xml:space="preserve">          6309 - TELEPHONE</v>
      </c>
      <c r="C52" s="11"/>
      <c r="D52" s="7">
        <v>111</v>
      </c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111</v>
      </c>
      <c r="M52" s="2"/>
      <c r="N52" s="6">
        <f t="shared" si="31"/>
        <v>0</v>
      </c>
      <c r="O52" s="11"/>
      <c r="P52" s="7">
        <v>111</v>
      </c>
      <c r="Q52" s="2"/>
      <c r="R52" s="6">
        <f t="shared" si="32"/>
        <v>0</v>
      </c>
      <c r="S52" s="2"/>
      <c r="T52" s="7"/>
      <c r="U52" s="2"/>
      <c r="V52" s="6">
        <f t="shared" si="33"/>
        <v>0</v>
      </c>
      <c r="W52" s="2"/>
      <c r="X52" s="7">
        <f t="shared" si="34"/>
        <v>111</v>
      </c>
      <c r="Y52" s="2"/>
      <c r="Z52" s="6">
        <f t="shared" si="35"/>
        <v>0</v>
      </c>
    </row>
    <row r="53" spans="1:26" s="57" customFormat="1" x14ac:dyDescent="0.25">
      <c r="A53" s="36"/>
      <c r="B53" s="36"/>
      <c r="C53" s="36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5" t="s">
        <v>0</v>
      </c>
      <c r="C54" s="10"/>
      <c r="D54" s="4">
        <f>SUM(0)</f>
        <v>0</v>
      </c>
      <c r="E54" s="4"/>
      <c r="F54" s="12">
        <f>IF(D$12=0,0,D54/D$12)</f>
        <v>0</v>
      </c>
      <c r="G54" s="4"/>
      <c r="H54" s="4">
        <f>SUM(0)</f>
        <v>0</v>
      </c>
      <c r="I54" s="4"/>
      <c r="J54" s="12">
        <f>IF(H$12=0,0,H54/H$12)</f>
        <v>0</v>
      </c>
      <c r="K54" s="4"/>
      <c r="L54" s="4">
        <f>+D54-H54</f>
        <v>0</v>
      </c>
      <c r="M54" s="4"/>
      <c r="N54" s="12">
        <f>IF(H54=0,0,L54/H54)</f>
        <v>0</v>
      </c>
      <c r="O54" s="10"/>
      <c r="P54" s="4">
        <f>SUM(0)</f>
        <v>0</v>
      </c>
      <c r="Q54" s="4"/>
      <c r="R54" s="12">
        <f>IF(P$12=0,0,P54/P$12)</f>
        <v>0</v>
      </c>
      <c r="S54" s="4"/>
      <c r="T54" s="4">
        <f>SUM(0)</f>
        <v>0</v>
      </c>
      <c r="U54" s="4"/>
      <c r="V54" s="12">
        <f>IF(T$12=0,0,T54/T$12)</f>
        <v>0</v>
      </c>
      <c r="W54" s="4"/>
      <c r="X54" s="4">
        <f>+P54-T54</f>
        <v>0</v>
      </c>
      <c r="Y54" s="4"/>
      <c r="Z54" s="12">
        <f>IF(T54=0,0,X54/T54)</f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6" t="s">
        <v>3</v>
      </c>
      <c r="C56" s="26"/>
      <c r="D56" s="21">
        <f>+D18-D20+D54</f>
        <v>-1362.1999999999998</v>
      </c>
      <c r="E56" s="13"/>
      <c r="F56" s="19">
        <f>IF(D$12=0,0,D56/D$12)</f>
        <v>0</v>
      </c>
      <c r="G56" s="13"/>
      <c r="H56" s="21">
        <f>+H18-H20+H54</f>
        <v>-25</v>
      </c>
      <c r="I56" s="13"/>
      <c r="J56" s="19">
        <f>IF(H$12=0,0,H56/H$12)</f>
        <v>0</v>
      </c>
      <c r="K56" s="15"/>
      <c r="L56" s="21">
        <f>+D56-H56</f>
        <v>-1337.1999999999998</v>
      </c>
      <c r="M56" s="15"/>
      <c r="N56" s="19">
        <f>IF(H56=0,0,L56/H56)</f>
        <v>53.487999999999992</v>
      </c>
      <c r="O56" s="25"/>
      <c r="P56" s="21">
        <f>+P18-P20+P54</f>
        <v>-1362.1999999999998</v>
      </c>
      <c r="Q56" s="13"/>
      <c r="R56" s="19">
        <f>IF(P$12=0,0,P56/P$12)</f>
        <v>0</v>
      </c>
      <c r="S56" s="13"/>
      <c r="T56" s="21">
        <f>+T18-T20+T54</f>
        <v>-25</v>
      </c>
      <c r="U56" s="13"/>
      <c r="V56" s="19">
        <f>IF(T$12=0,0,T56/T$12)</f>
        <v>0</v>
      </c>
      <c r="W56" s="15"/>
      <c r="X56" s="21">
        <f>+P56-T56</f>
        <v>-1337.1999999999998</v>
      </c>
      <c r="Y56" s="15"/>
      <c r="Z56" s="19">
        <f>IF(T56=0,0,X56/T56)</f>
        <v>53.487999999999992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2"/>
      <c r="B58" s="10" t="s">
        <v>14</v>
      </c>
      <c r="C58" s="10"/>
      <c r="D58" s="4"/>
      <c r="E58" s="4"/>
      <c r="F58" s="12">
        <f>IF(D$12=0,0,D58/D$12)</f>
        <v>0</v>
      </c>
      <c r="G58" s="4"/>
      <c r="H58" s="4"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6" t="s">
        <v>4</v>
      </c>
      <c r="C60" s="26"/>
      <c r="D60" s="32">
        <f>+D56-D58</f>
        <v>-1362.1999999999998</v>
      </c>
      <c r="E60" s="13"/>
      <c r="F60" s="31">
        <f>IF(D$12=0,0,D60/D$12)</f>
        <v>0</v>
      </c>
      <c r="G60" s="13"/>
      <c r="H60" s="32">
        <f>+H56-H58</f>
        <v>-25</v>
      </c>
      <c r="I60" s="13"/>
      <c r="J60" s="31">
        <f>IF(H$12=0,0,H60/H$12)</f>
        <v>0</v>
      </c>
      <c r="K60" s="15"/>
      <c r="L60" s="32">
        <f>D60-H60</f>
        <v>-1337.1999999999998</v>
      </c>
      <c r="M60" s="15"/>
      <c r="N60" s="31">
        <f>IF(H60=0,0,L60/H60)</f>
        <v>53.487999999999992</v>
      </c>
      <c r="O60" s="25"/>
      <c r="P60" s="32">
        <f>+P56-P58</f>
        <v>-1362.1999999999998</v>
      </c>
      <c r="Q60" s="13"/>
      <c r="R60" s="31">
        <f>IF(P$12=0,0,P60/P$12)</f>
        <v>0</v>
      </c>
      <c r="S60" s="13"/>
      <c r="T60" s="32">
        <f>+T56-T58</f>
        <v>-25</v>
      </c>
      <c r="U60" s="13"/>
      <c r="V60" s="31">
        <f>IF(T$12=0,0,T60/T$12)</f>
        <v>0</v>
      </c>
      <c r="W60" s="15"/>
      <c r="X60" s="32">
        <f>P60-T60</f>
        <v>-1337.1999999999998</v>
      </c>
      <c r="Y60" s="15"/>
      <c r="Z60" s="31">
        <f>IF(T60=0,0,X60/T60)</f>
        <v>53.487999999999992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6" t="s">
        <v>5</v>
      </c>
      <c r="C63" s="26"/>
      <c r="D63" s="33">
        <f>SUM(D60:D62)</f>
        <v>-1362.1999999999998</v>
      </c>
      <c r="E63" s="13"/>
      <c r="F63" s="34">
        <f>IF(D$12=0,0,D63/D$12)</f>
        <v>0</v>
      </c>
      <c r="G63" s="13"/>
      <c r="H63" s="33">
        <f>SUM(H60:H62)</f>
        <v>-25</v>
      </c>
      <c r="I63" s="13"/>
      <c r="J63" s="34">
        <f>IF(H$12=0,0,H63/H$12)</f>
        <v>0</v>
      </c>
      <c r="K63" s="15"/>
      <c r="L63" s="33">
        <f>+D63-H63</f>
        <v>-1337.1999999999998</v>
      </c>
      <c r="M63" s="15"/>
      <c r="N63" s="34">
        <f>IF(H63=0,0,L63/H63)</f>
        <v>53.487999999999992</v>
      </c>
      <c r="O63" s="25"/>
      <c r="P63" s="33">
        <f>SUM(P60:P62)</f>
        <v>-1362.1999999999998</v>
      </c>
      <c r="Q63" s="13"/>
      <c r="R63" s="34">
        <f>IF(P$12=0,0,P63/P$12)</f>
        <v>0</v>
      </c>
      <c r="S63" s="13"/>
      <c r="T63" s="33">
        <f>SUM(T60:T62)</f>
        <v>-25</v>
      </c>
      <c r="U63" s="13"/>
      <c r="V63" s="34">
        <f>IF(T$12=0,0,T63/T$12)</f>
        <v>0</v>
      </c>
      <c r="W63" s="15"/>
      <c r="X63" s="33">
        <f>+P63-T63</f>
        <v>-1337.1999999999998</v>
      </c>
      <c r="Y63" s="15"/>
      <c r="Z63" s="34">
        <f>IF(T63=0,0,X63/T63)</f>
        <v>53.487999999999992</v>
      </c>
    </row>
    <row r="64" spans="1:26" ht="15.75" thickTop="1" x14ac:dyDescent="0.25">
      <c r="A64" s="9"/>
      <c r="C64" s="9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1:24" x14ac:dyDescent="0.25">
      <c r="A65" s="9"/>
      <c r="B65" s="61">
        <v>43726.679181678242</v>
      </c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25">
      <c r="A66" s="9"/>
      <c r="B66" s="56" t="s">
        <v>314</v>
      </c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4" x14ac:dyDescent="0.25">
      <c r="A67" s="9"/>
      <c r="B67" s="53"/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4" x14ac:dyDescent="0.25"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","444", " - ", "Parkside Dining Hall")</f>
        <v>Department 444 - Parkside Dining Hall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216257.40000000002</v>
      </c>
      <c r="E12" s="4"/>
      <c r="F12" s="12"/>
      <c r="G12" s="4"/>
      <c r="H12" s="4">
        <f>SUM(OSRRefH13x_0)</f>
        <v>221803</v>
      </c>
      <c r="I12" s="4"/>
      <c r="J12" s="12"/>
      <c r="K12" s="4"/>
      <c r="L12" s="4">
        <f t="shared" ref="L12:L16" si="0">+D12-H12</f>
        <v>-5545.5999999999767</v>
      </c>
      <c r="M12" s="4"/>
      <c r="N12" s="12">
        <f t="shared" ref="N12:N16" si="1">IF(H12=0,0,L12/H12)</f>
        <v>-2.5002366965279896E-2</v>
      </c>
      <c r="O12" s="10"/>
      <c r="P12" s="4">
        <f>SUM(OSRRefP13x_0)</f>
        <v>216257.40000000002</v>
      </c>
      <c r="Q12" s="4"/>
      <c r="R12" s="12"/>
      <c r="S12" s="4"/>
      <c r="T12" s="4">
        <f>SUM(OSRRefT13x_0)</f>
        <v>221803</v>
      </c>
      <c r="U12" s="4"/>
      <c r="V12" s="12"/>
      <c r="W12" s="4"/>
      <c r="X12" s="4">
        <f t="shared" ref="X12:X16" si="2">+P12-T12</f>
        <v>-5545.5999999999767</v>
      </c>
      <c r="Y12" s="4"/>
      <c r="Z12" s="12">
        <f t="shared" ref="Z12:Z16" si="3">IF(T12=0,0,X12/T12)</f>
        <v>-2.5002366965279896E-2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--485.45</f>
        <v>485.45</v>
      </c>
      <c r="E13" s="2"/>
      <c r="F13" s="22"/>
      <c r="G13" s="2"/>
      <c r="H13" s="2"/>
      <c r="I13" s="2"/>
      <c r="J13" s="22"/>
      <c r="K13" s="2"/>
      <c r="L13" s="2">
        <f t="shared" si="0"/>
        <v>485.45</v>
      </c>
      <c r="M13" s="2"/>
      <c r="N13" s="22">
        <f t="shared" si="1"/>
        <v>0</v>
      </c>
      <c r="O13" s="11"/>
      <c r="P13" s="2">
        <f>--485.45</f>
        <v>485.45</v>
      </c>
      <c r="Q13" s="2"/>
      <c r="R13" s="22"/>
      <c r="S13" s="2"/>
      <c r="T13" s="2"/>
      <c r="U13" s="2"/>
      <c r="V13" s="22"/>
      <c r="W13" s="2"/>
      <c r="X13" s="2">
        <f t="shared" si="2"/>
        <v>485.45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221803</v>
      </c>
      <c r="I14" s="2"/>
      <c r="J14" s="22"/>
      <c r="K14" s="2"/>
      <c r="L14" s="2">
        <f t="shared" si="0"/>
        <v>-221803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221803</v>
      </c>
      <c r="U14" s="2"/>
      <c r="V14" s="22"/>
      <c r="W14" s="2"/>
      <c r="X14" s="2">
        <f t="shared" si="2"/>
        <v>-221803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--200657</f>
        <v>200657</v>
      </c>
      <c r="E15" s="2"/>
      <c r="F15" s="22"/>
      <c r="G15" s="2"/>
      <c r="H15" s="2"/>
      <c r="I15" s="2"/>
      <c r="J15" s="22"/>
      <c r="K15" s="2"/>
      <c r="L15" s="2">
        <f t="shared" si="0"/>
        <v>200657</v>
      </c>
      <c r="M15" s="2"/>
      <c r="N15" s="22">
        <f t="shared" si="1"/>
        <v>0</v>
      </c>
      <c r="O15" s="11"/>
      <c r="P15" s="2">
        <f>--200657</f>
        <v>200657</v>
      </c>
      <c r="Q15" s="2"/>
      <c r="R15" s="22"/>
      <c r="S15" s="2"/>
      <c r="T15" s="2"/>
      <c r="U15" s="2"/>
      <c r="V15" s="22"/>
      <c r="W15" s="2"/>
      <c r="X15" s="2">
        <f t="shared" si="2"/>
        <v>200657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--15114.95</f>
        <v>15114.95</v>
      </c>
      <c r="E16" s="2"/>
      <c r="F16" s="22"/>
      <c r="G16" s="2"/>
      <c r="H16" s="2"/>
      <c r="I16" s="2"/>
      <c r="J16" s="22"/>
      <c r="K16" s="2"/>
      <c r="L16" s="2">
        <f t="shared" si="0"/>
        <v>15114.95</v>
      </c>
      <c r="M16" s="2"/>
      <c r="N16" s="22">
        <f t="shared" si="1"/>
        <v>0</v>
      </c>
      <c r="O16" s="11"/>
      <c r="P16" s="2">
        <f>--15114.95</f>
        <v>15114.95</v>
      </c>
      <c r="Q16" s="2"/>
      <c r="R16" s="22"/>
      <c r="S16" s="2"/>
      <c r="T16" s="2"/>
      <c r="U16" s="2"/>
      <c r="V16" s="22"/>
      <c r="W16" s="2"/>
      <c r="X16" s="2">
        <f t="shared" si="2"/>
        <v>15114.95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76957.099999999991</v>
      </c>
      <c r="E18" s="4"/>
      <c r="F18" s="12">
        <f t="shared" ref="F18:F21" si="4">IF(D$12=0,0,D18/D$12)</f>
        <v>0.35585880529406155</v>
      </c>
      <c r="G18" s="4"/>
      <c r="H18" s="4">
        <f>SUM(OSRRefH16x_0)</f>
        <v>75413</v>
      </c>
      <c r="I18" s="4"/>
      <c r="J18" s="12">
        <f t="shared" ref="J18:J21" si="5">IF(H$12=0,0,H18/H$12)</f>
        <v>0.33999990982989409</v>
      </c>
      <c r="K18" s="4"/>
      <c r="L18" s="4">
        <f t="shared" ref="L18:L21" si="6">+D18-H18</f>
        <v>1544.0999999999913</v>
      </c>
      <c r="M18" s="4"/>
      <c r="N18" s="12">
        <f t="shared" ref="N18:N21" si="7">IF(H18=0,0,L18/H18)</f>
        <v>2.0475249625396034E-2</v>
      </c>
      <c r="O18" s="10"/>
      <c r="P18" s="4">
        <f>SUM(OSRRefP16x_0)</f>
        <v>76957.099999999991</v>
      </c>
      <c r="Q18" s="4"/>
      <c r="R18" s="12">
        <f t="shared" ref="R18:R21" si="8">IF(P$12=0,0,P18/P$12)</f>
        <v>0.35585880529406155</v>
      </c>
      <c r="S18" s="4"/>
      <c r="T18" s="4">
        <f>SUM(OSRRefT16x_0)</f>
        <v>75413</v>
      </c>
      <c r="U18" s="4"/>
      <c r="V18" s="12">
        <f t="shared" ref="V18:V21" si="9">IF(T$12=0,0,T18/T$12)</f>
        <v>0.33999990982989409</v>
      </c>
      <c r="W18" s="4"/>
      <c r="X18" s="4">
        <f t="shared" ref="X18:X21" si="10">+P18-T18</f>
        <v>1544.0999999999913</v>
      </c>
      <c r="Y18" s="4"/>
      <c r="Z18" s="12">
        <f t="shared" ref="Z18:Z21" si="11">IF(T18=0,0,X18/T18)</f>
        <v>2.0475249625396034E-2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75413</v>
      </c>
      <c r="I19" s="2"/>
      <c r="J19" s="22">
        <f t="shared" si="5"/>
        <v>0.33999990982989409</v>
      </c>
      <c r="K19" s="2"/>
      <c r="L19" s="2">
        <f t="shared" si="6"/>
        <v>-75413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75413</v>
      </c>
      <c r="U19" s="2"/>
      <c r="V19" s="22">
        <f t="shared" si="9"/>
        <v>0.33999990982989409</v>
      </c>
      <c r="W19" s="2"/>
      <c r="X19" s="2">
        <f t="shared" si="10"/>
        <v>-75413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73554.099999999991</v>
      </c>
      <c r="E20" s="2"/>
      <c r="F20" s="22">
        <f t="shared" si="4"/>
        <v>0.34012292758536811</v>
      </c>
      <c r="G20" s="2"/>
      <c r="H20" s="2"/>
      <c r="I20" s="2"/>
      <c r="J20" s="22">
        <f t="shared" si="5"/>
        <v>0</v>
      </c>
      <c r="K20" s="2"/>
      <c r="L20" s="2">
        <f t="shared" si="6"/>
        <v>73554.099999999991</v>
      </c>
      <c r="M20" s="2"/>
      <c r="N20" s="22">
        <f t="shared" si="7"/>
        <v>0</v>
      </c>
      <c r="O20" s="11"/>
      <c r="P20" s="2">
        <v>73554.099999999991</v>
      </c>
      <c r="Q20" s="2"/>
      <c r="R20" s="22">
        <f t="shared" si="8"/>
        <v>0.34012292758536811</v>
      </c>
      <c r="S20" s="2"/>
      <c r="T20" s="2"/>
      <c r="U20" s="2"/>
      <c r="V20" s="22">
        <f t="shared" si="9"/>
        <v>0</v>
      </c>
      <c r="W20" s="2"/>
      <c r="X20" s="2">
        <f t="shared" si="10"/>
        <v>73554.099999999991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3403</v>
      </c>
      <c r="E21" s="2"/>
      <c r="F21" s="22">
        <f t="shared" si="4"/>
        <v>1.5735877708693436E-2</v>
      </c>
      <c r="G21" s="2"/>
      <c r="H21" s="2"/>
      <c r="I21" s="2"/>
      <c r="J21" s="22">
        <f t="shared" si="5"/>
        <v>0</v>
      </c>
      <c r="K21" s="2"/>
      <c r="L21" s="2">
        <f t="shared" si="6"/>
        <v>3403</v>
      </c>
      <c r="M21" s="2"/>
      <c r="N21" s="22">
        <f t="shared" si="7"/>
        <v>0</v>
      </c>
      <c r="O21" s="11"/>
      <c r="P21" s="2">
        <v>3403</v>
      </c>
      <c r="Q21" s="2"/>
      <c r="R21" s="22">
        <f t="shared" si="8"/>
        <v>1.5735877708693436E-2</v>
      </c>
      <c r="S21" s="2"/>
      <c r="T21" s="2"/>
      <c r="U21" s="2"/>
      <c r="V21" s="22">
        <f t="shared" si="9"/>
        <v>0</v>
      </c>
      <c r="W21" s="2"/>
      <c r="X21" s="2">
        <f t="shared" si="10"/>
        <v>3403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1">
        <f>D12-D18</f>
        <v>139300.30000000005</v>
      </c>
      <c r="E23" s="13"/>
      <c r="F23" s="19">
        <f>IF(D$12=0,0,D23/D$12)</f>
        <v>0.64414119470593856</v>
      </c>
      <c r="G23" s="13"/>
      <c r="H23" s="21">
        <f>H12-H18</f>
        <v>146390</v>
      </c>
      <c r="I23" s="13"/>
      <c r="J23" s="19">
        <f>IF(H$12=0,0,H23/H$12)</f>
        <v>0.66000009017010586</v>
      </c>
      <c r="K23" s="15"/>
      <c r="L23" s="21">
        <f>+D23-H23</f>
        <v>-7089.6999999999534</v>
      </c>
      <c r="M23" s="15"/>
      <c r="N23" s="19">
        <f>IF(H23=0,0,L23/H23)</f>
        <v>-4.843022064348626E-2</v>
      </c>
      <c r="O23" s="25"/>
      <c r="P23" s="21">
        <f>P12-P18</f>
        <v>139300.30000000005</v>
      </c>
      <c r="Q23" s="13"/>
      <c r="R23" s="19">
        <f>IF(P$12=0,0,P23/P$12)</f>
        <v>0.64414119470593856</v>
      </c>
      <c r="S23" s="13"/>
      <c r="T23" s="21">
        <f>T12-T18</f>
        <v>146390</v>
      </c>
      <c r="U23" s="13"/>
      <c r="V23" s="19">
        <f>IF(T$12=0,0,T23/T$12)</f>
        <v>0.66000009017010586</v>
      </c>
      <c r="W23" s="15"/>
      <c r="X23" s="21">
        <f>+P23-T23</f>
        <v>-7089.6999999999534</v>
      </c>
      <c r="Y23" s="15"/>
      <c r="Z23" s="19">
        <f>IF(T23=0,0,X23/T23)</f>
        <v>-4.843022064348626E-2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0">
        <f>SUM(OSRRefD22x_0)</f>
        <v>153268.70000000004</v>
      </c>
      <c r="E25" s="20"/>
      <c r="F25" s="30">
        <f t="shared" ref="F25:F36" si="12">IF(D$12=0,0,D25/D$12)</f>
        <v>0.70873274163103794</v>
      </c>
      <c r="G25" s="20"/>
      <c r="H25" s="20">
        <f>SUM(OSRRefH22x_0)</f>
        <v>166542.84428578077</v>
      </c>
      <c r="I25" s="20"/>
      <c r="J25" s="30">
        <f t="shared" ref="J25:J36" si="13">IF(H$12=0,0,H25/H$12)</f>
        <v>0.75085929534668494</v>
      </c>
      <c r="K25" s="4"/>
      <c r="L25" s="20">
        <f t="shared" ref="L25:L36" si="14">+D25-H25</f>
        <v>-13274.144285780727</v>
      </c>
      <c r="M25" s="4"/>
      <c r="N25" s="30">
        <f t="shared" ref="N25:N36" si="15">IF(H25=0,0,L25/H25)</f>
        <v>-7.9704080608848218E-2</v>
      </c>
      <c r="O25" s="10"/>
      <c r="P25" s="20">
        <f>SUM(OSRRefP22x_0)</f>
        <v>153268.70000000004</v>
      </c>
      <c r="Q25" s="20"/>
      <c r="R25" s="30">
        <f t="shared" ref="R25:R36" si="16">IF(P$12=0,0,P25/P$12)</f>
        <v>0.70873274163103794</v>
      </c>
      <c r="S25" s="20"/>
      <c r="T25" s="20">
        <f>SUM(OSRRefT22x_0)</f>
        <v>166542.84428578077</v>
      </c>
      <c r="U25" s="20"/>
      <c r="V25" s="30">
        <f t="shared" ref="V25:V36" si="17">IF(T$12=0,0,T25/T$12)</f>
        <v>0.75085929534668494</v>
      </c>
      <c r="W25" s="4"/>
      <c r="X25" s="20">
        <f t="shared" ref="X25:X36" si="18">+P25-T25</f>
        <v>-13274.144285780727</v>
      </c>
      <c r="Y25" s="4"/>
      <c r="Z25" s="30">
        <f t="shared" ref="Z25:Z36" si="19">IF(T25=0,0,X25/T25)</f>
        <v>-7.9704080608848218E-2</v>
      </c>
    </row>
    <row r="26" spans="1:26" s="27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35169.24</v>
      </c>
      <c r="E26" s="1"/>
      <c r="F26" s="5">
        <f t="shared" si="12"/>
        <v>0.16262675866814266</v>
      </c>
      <c r="G26" s="1"/>
      <c r="H26" s="1">
        <f>SUM(OSRRefH22_0x_0)</f>
        <v>36384.194789626948</v>
      </c>
      <c r="I26" s="1"/>
      <c r="J26" s="5">
        <f t="shared" si="13"/>
        <v>0.16403833487205741</v>
      </c>
      <c r="K26" s="1"/>
      <c r="L26" s="1">
        <f t="shared" si="14"/>
        <v>-1214.9547896269505</v>
      </c>
      <c r="M26" s="1"/>
      <c r="N26" s="5">
        <f t="shared" si="15"/>
        <v>-3.3392378109555726E-2</v>
      </c>
      <c r="O26" s="14"/>
      <c r="P26" s="1">
        <f>SUM(OSRRefP22_0x_0)</f>
        <v>35169.24</v>
      </c>
      <c r="Q26" s="1"/>
      <c r="R26" s="5">
        <f t="shared" si="16"/>
        <v>0.16262675866814266</v>
      </c>
      <c r="S26" s="1"/>
      <c r="T26" s="1">
        <f>SUM(OSRRefT22_0x_0)</f>
        <v>36384.194789626948</v>
      </c>
      <c r="U26" s="1"/>
      <c r="V26" s="5">
        <f t="shared" si="17"/>
        <v>0.16403833487205741</v>
      </c>
      <c r="W26" s="1"/>
      <c r="X26" s="1">
        <f t="shared" si="18"/>
        <v>-1214.9547896269505</v>
      </c>
      <c r="Y26" s="1"/>
      <c r="Z26" s="5">
        <f t="shared" si="19"/>
        <v>-3.3392378109555726E-2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5109.6499999999996</v>
      </c>
      <c r="E27" s="2"/>
      <c r="F27" s="6">
        <f t="shared" si="12"/>
        <v>2.3627630777027741E-2</v>
      </c>
      <c r="G27" s="2"/>
      <c r="H27" s="7">
        <v>5890.86469570385</v>
      </c>
      <c r="I27" s="2"/>
      <c r="J27" s="6">
        <f t="shared" si="13"/>
        <v>2.6558994674120054E-2</v>
      </c>
      <c r="K27" s="2"/>
      <c r="L27" s="7">
        <f t="shared" si="14"/>
        <v>-781.21469570385034</v>
      </c>
      <c r="M27" s="2"/>
      <c r="N27" s="6">
        <f t="shared" si="15"/>
        <v>-0.13261460516544923</v>
      </c>
      <c r="O27" s="11"/>
      <c r="P27" s="7">
        <v>5109.6499999999996</v>
      </c>
      <c r="Q27" s="2"/>
      <c r="R27" s="6">
        <f t="shared" si="16"/>
        <v>2.3627630777027741E-2</v>
      </c>
      <c r="S27" s="2"/>
      <c r="T27" s="7">
        <v>5890.86469570385</v>
      </c>
      <c r="U27" s="2"/>
      <c r="V27" s="6">
        <f t="shared" si="17"/>
        <v>2.6558994674120054E-2</v>
      </c>
      <c r="W27" s="2"/>
      <c r="X27" s="7">
        <f t="shared" si="18"/>
        <v>-781.21469570385034</v>
      </c>
      <c r="Y27" s="2"/>
      <c r="Z27" s="6">
        <f t="shared" si="19"/>
        <v>-0.13261460516544923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2699.6</v>
      </c>
      <c r="E28" s="2"/>
      <c r="F28" s="6">
        <f t="shared" si="12"/>
        <v>1.2483272248718424E-2</v>
      </c>
      <c r="G28" s="2"/>
      <c r="H28" s="7">
        <v>3590.6296447692303</v>
      </c>
      <c r="I28" s="2"/>
      <c r="J28" s="6">
        <f t="shared" si="13"/>
        <v>1.6188372766685888E-2</v>
      </c>
      <c r="K28" s="2"/>
      <c r="L28" s="7">
        <f t="shared" si="14"/>
        <v>-891.02964476923034</v>
      </c>
      <c r="M28" s="2"/>
      <c r="N28" s="6">
        <f t="shared" si="15"/>
        <v>-0.2481541492499143</v>
      </c>
      <c r="O28" s="11"/>
      <c r="P28" s="7">
        <v>2699.6</v>
      </c>
      <c r="Q28" s="2"/>
      <c r="R28" s="6">
        <f t="shared" si="16"/>
        <v>1.2483272248718424E-2</v>
      </c>
      <c r="S28" s="2"/>
      <c r="T28" s="7">
        <v>3590.6296447692303</v>
      </c>
      <c r="U28" s="2"/>
      <c r="V28" s="6">
        <f t="shared" si="17"/>
        <v>1.6188372766685888E-2</v>
      </c>
      <c r="W28" s="2"/>
      <c r="X28" s="7">
        <f t="shared" si="18"/>
        <v>-891.02964476923034</v>
      </c>
      <c r="Y28" s="2"/>
      <c r="Z28" s="6">
        <f t="shared" si="19"/>
        <v>-0.2481541492499143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16686.48</v>
      </c>
      <c r="E29" s="2"/>
      <c r="F29" s="6">
        <f t="shared" si="12"/>
        <v>7.7160272897019933E-2</v>
      </c>
      <c r="G29" s="2"/>
      <c r="H29" s="7">
        <v>19864.230769230802</v>
      </c>
      <c r="I29" s="2"/>
      <c r="J29" s="6">
        <f t="shared" si="13"/>
        <v>8.9557989608935865E-2</v>
      </c>
      <c r="K29" s="2"/>
      <c r="L29" s="7">
        <f t="shared" si="14"/>
        <v>-3177.7507692308027</v>
      </c>
      <c r="M29" s="2"/>
      <c r="N29" s="6">
        <f t="shared" si="15"/>
        <v>-0.15997351249830721</v>
      </c>
      <c r="O29" s="11"/>
      <c r="P29" s="7">
        <v>16686.48</v>
      </c>
      <c r="Q29" s="2"/>
      <c r="R29" s="6">
        <f t="shared" si="16"/>
        <v>7.7160272897019933E-2</v>
      </c>
      <c r="S29" s="2"/>
      <c r="T29" s="7">
        <v>19864.230769230802</v>
      </c>
      <c r="U29" s="2"/>
      <c r="V29" s="6">
        <f t="shared" si="17"/>
        <v>8.9557989608935865E-2</v>
      </c>
      <c r="W29" s="2"/>
      <c r="X29" s="7">
        <f t="shared" si="18"/>
        <v>-3177.7507692308027</v>
      </c>
      <c r="Y29" s="2"/>
      <c r="Z29" s="6">
        <f t="shared" si="19"/>
        <v>-0.15997351249830721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180.9</v>
      </c>
      <c r="E30" s="2"/>
      <c r="F30" s="6">
        <f t="shared" si="12"/>
        <v>8.3650316705925429E-4</v>
      </c>
      <c r="G30" s="2"/>
      <c r="H30" s="7">
        <v>240.60920300000001</v>
      </c>
      <c r="I30" s="2"/>
      <c r="J30" s="6">
        <f t="shared" si="13"/>
        <v>1.0847878658088485E-3</v>
      </c>
      <c r="K30" s="2"/>
      <c r="L30" s="7">
        <f t="shared" si="14"/>
        <v>-59.709203000000002</v>
      </c>
      <c r="M30" s="2"/>
      <c r="N30" s="6">
        <f t="shared" si="15"/>
        <v>-0.24815843390661993</v>
      </c>
      <c r="O30" s="11"/>
      <c r="P30" s="7">
        <v>180.9</v>
      </c>
      <c r="Q30" s="2"/>
      <c r="R30" s="6">
        <f t="shared" si="16"/>
        <v>8.3650316705925429E-4</v>
      </c>
      <c r="S30" s="2"/>
      <c r="T30" s="7">
        <v>240.60920300000001</v>
      </c>
      <c r="U30" s="2"/>
      <c r="V30" s="6">
        <f t="shared" si="17"/>
        <v>1.0847878658088485E-3</v>
      </c>
      <c r="W30" s="2"/>
      <c r="X30" s="7">
        <f t="shared" si="18"/>
        <v>-59.709203000000002</v>
      </c>
      <c r="Y30" s="2"/>
      <c r="Z30" s="6">
        <f t="shared" si="19"/>
        <v>-0.24815843390661993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1216.6600000000001</v>
      </c>
      <c r="E31" s="2"/>
      <c r="F31" s="6">
        <f t="shared" si="12"/>
        <v>5.6259808912897313E-3</v>
      </c>
      <c r="G31" s="2"/>
      <c r="H31" s="7">
        <v>1584.5088192307699</v>
      </c>
      <c r="I31" s="2"/>
      <c r="J31" s="6">
        <f t="shared" si="13"/>
        <v>7.1437664018555646E-3</v>
      </c>
      <c r="K31" s="2"/>
      <c r="L31" s="7">
        <f t="shared" si="14"/>
        <v>-367.84881923076978</v>
      </c>
      <c r="M31" s="2"/>
      <c r="N31" s="6">
        <f t="shared" si="15"/>
        <v>-0.23215321667275354</v>
      </c>
      <c r="O31" s="11"/>
      <c r="P31" s="7">
        <v>1216.6600000000001</v>
      </c>
      <c r="Q31" s="2"/>
      <c r="R31" s="6">
        <f t="shared" si="16"/>
        <v>5.6259808912897313E-3</v>
      </c>
      <c r="S31" s="2"/>
      <c r="T31" s="7">
        <v>1584.5088192307699</v>
      </c>
      <c r="U31" s="2"/>
      <c r="V31" s="6">
        <f t="shared" si="17"/>
        <v>7.1437664018555646E-3</v>
      </c>
      <c r="W31" s="2"/>
      <c r="X31" s="7">
        <f t="shared" si="18"/>
        <v>-367.84881923076978</v>
      </c>
      <c r="Y31" s="2"/>
      <c r="Z31" s="6">
        <f t="shared" si="19"/>
        <v>-0.23215321667275354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677.46</v>
      </c>
      <c r="E33" s="2"/>
      <c r="F33" s="6">
        <f t="shared" si="12"/>
        <v>3.1326558073850883E-3</v>
      </c>
      <c r="G33" s="2"/>
      <c r="H33" s="7"/>
      <c r="I33" s="2"/>
      <c r="J33" s="6">
        <f t="shared" si="13"/>
        <v>0</v>
      </c>
      <c r="K33" s="2"/>
      <c r="L33" s="7">
        <f t="shared" si="14"/>
        <v>677.46</v>
      </c>
      <c r="M33" s="2"/>
      <c r="N33" s="6">
        <f t="shared" si="15"/>
        <v>0</v>
      </c>
      <c r="O33" s="11"/>
      <c r="P33" s="7">
        <v>677.46</v>
      </c>
      <c r="Q33" s="2"/>
      <c r="R33" s="6">
        <f t="shared" si="16"/>
        <v>3.1326558073850883E-3</v>
      </c>
      <c r="S33" s="2"/>
      <c r="T33" s="7"/>
      <c r="U33" s="2"/>
      <c r="V33" s="6">
        <f t="shared" si="17"/>
        <v>0</v>
      </c>
      <c r="W33" s="2"/>
      <c r="X33" s="7">
        <f t="shared" si="18"/>
        <v>677.46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3455.38</v>
      </c>
      <c r="E34" s="2"/>
      <c r="F34" s="6">
        <f t="shared" si="12"/>
        <v>1.5978089073483727E-2</v>
      </c>
      <c r="G34" s="2"/>
      <c r="H34" s="7">
        <v>1405.63743461538</v>
      </c>
      <c r="I34" s="2"/>
      <c r="J34" s="6">
        <f t="shared" si="13"/>
        <v>6.3373238171502639E-3</v>
      </c>
      <c r="K34" s="2"/>
      <c r="L34" s="7">
        <f t="shared" si="14"/>
        <v>2049.7425653846203</v>
      </c>
      <c r="M34" s="2"/>
      <c r="N34" s="6">
        <f t="shared" si="15"/>
        <v>1.4582299211072767</v>
      </c>
      <c r="O34" s="11"/>
      <c r="P34" s="7">
        <v>3455.38</v>
      </c>
      <c r="Q34" s="2"/>
      <c r="R34" s="6">
        <f t="shared" si="16"/>
        <v>1.5978089073483727E-2</v>
      </c>
      <c r="S34" s="2"/>
      <c r="T34" s="7">
        <v>1405.63743461538</v>
      </c>
      <c r="U34" s="2"/>
      <c r="V34" s="6">
        <f t="shared" si="17"/>
        <v>6.3373238171502639E-3</v>
      </c>
      <c r="W34" s="2"/>
      <c r="X34" s="7">
        <f t="shared" si="18"/>
        <v>2049.7425653846203</v>
      </c>
      <c r="Y34" s="2"/>
      <c r="Z34" s="6">
        <f t="shared" si="19"/>
        <v>1.4582299211072767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3729.29</v>
      </c>
      <c r="E35" s="2"/>
      <c r="F35" s="6">
        <f t="shared" si="12"/>
        <v>1.7244681569278091E-2</v>
      </c>
      <c r="G35" s="2"/>
      <c r="H35" s="7">
        <v>2307.71422307692</v>
      </c>
      <c r="I35" s="2"/>
      <c r="J35" s="6">
        <f t="shared" si="13"/>
        <v>1.0404341794641732E-2</v>
      </c>
      <c r="K35" s="2"/>
      <c r="L35" s="7">
        <f t="shared" si="14"/>
        <v>1421.57577692308</v>
      </c>
      <c r="M35" s="2"/>
      <c r="N35" s="6">
        <f t="shared" si="15"/>
        <v>0.61601031995533029</v>
      </c>
      <c r="O35" s="11"/>
      <c r="P35" s="7">
        <v>3729.29</v>
      </c>
      <c r="Q35" s="2"/>
      <c r="R35" s="6">
        <f t="shared" si="16"/>
        <v>1.7244681569278091E-2</v>
      </c>
      <c r="S35" s="2"/>
      <c r="T35" s="7">
        <v>2307.71422307692</v>
      </c>
      <c r="U35" s="2"/>
      <c r="V35" s="6">
        <f t="shared" si="17"/>
        <v>1.0404341794641732E-2</v>
      </c>
      <c r="W35" s="2"/>
      <c r="X35" s="7">
        <f t="shared" si="18"/>
        <v>1421.57577692308</v>
      </c>
      <c r="Y35" s="2"/>
      <c r="Z35" s="6">
        <f t="shared" si="19"/>
        <v>0.61601031995533029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>
        <v>1413.82</v>
      </c>
      <c r="E36" s="2"/>
      <c r="F36" s="6">
        <f t="shared" si="12"/>
        <v>6.5376722368806796E-3</v>
      </c>
      <c r="G36" s="2"/>
      <c r="H36" s="7">
        <v>1500</v>
      </c>
      <c r="I36" s="2"/>
      <c r="J36" s="6">
        <f t="shared" si="13"/>
        <v>6.7627579428592042E-3</v>
      </c>
      <c r="K36" s="2"/>
      <c r="L36" s="7">
        <f t="shared" si="14"/>
        <v>-86.180000000000064</v>
      </c>
      <c r="M36" s="2"/>
      <c r="N36" s="6">
        <f t="shared" si="15"/>
        <v>-5.7453333333333377E-2</v>
      </c>
      <c r="O36" s="11"/>
      <c r="P36" s="7">
        <v>1413.82</v>
      </c>
      <c r="Q36" s="2"/>
      <c r="R36" s="6">
        <f t="shared" si="16"/>
        <v>6.5376722368806796E-3</v>
      </c>
      <c r="S36" s="2"/>
      <c r="T36" s="7">
        <v>1500</v>
      </c>
      <c r="U36" s="2"/>
      <c r="V36" s="6">
        <f t="shared" si="17"/>
        <v>6.7627579428592042E-3</v>
      </c>
      <c r="W36" s="2"/>
      <c r="X36" s="7">
        <f t="shared" si="18"/>
        <v>-86.180000000000064</v>
      </c>
      <c r="Y36" s="2"/>
      <c r="Z36" s="6">
        <f t="shared" si="19"/>
        <v>-5.7453333333333377E-2</v>
      </c>
    </row>
    <row r="37" spans="1:26" s="27" customFormat="1" outlineLevel="1" collapsed="1" x14ac:dyDescent="0.25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84309.140000000014</v>
      </c>
      <c r="E37" s="1"/>
      <c r="F37" s="5">
        <f t="shared" ref="F37:F47" si="20">IF(D$12=0,0,D37/D$12)</f>
        <v>0.38985551477082403</v>
      </c>
      <c r="G37" s="1"/>
      <c r="H37" s="1">
        <f>SUM(OSRRefH22_1x_0)</f>
        <v>88828.649496153812</v>
      </c>
      <c r="I37" s="1"/>
      <c r="J37" s="5">
        <f t="shared" ref="J37:J47" si="21">IF(H$12=0,0,H37/H$12)</f>
        <v>0.40048443662238026</v>
      </c>
      <c r="K37" s="1"/>
      <c r="L37" s="1">
        <f t="shared" ref="L37:L47" si="22">+D37-H37</f>
        <v>-4519.509496153798</v>
      </c>
      <c r="M37" s="1"/>
      <c r="N37" s="5">
        <f t="shared" ref="N37:N47" si="23">IF(H37=0,0,L37/H37)</f>
        <v>-5.087896215679253E-2</v>
      </c>
      <c r="O37" s="14"/>
      <c r="P37" s="1">
        <f>SUM(OSRRefP22_1x_0)</f>
        <v>84309.140000000014</v>
      </c>
      <c r="Q37" s="1"/>
      <c r="R37" s="5">
        <f t="shared" ref="R37:R47" si="24">IF(P$12=0,0,P37/P$12)</f>
        <v>0.38985551477082403</v>
      </c>
      <c r="S37" s="1"/>
      <c r="T37" s="1">
        <f>SUM(OSRRefT22_1x_0)</f>
        <v>88828.649496153812</v>
      </c>
      <c r="U37" s="1"/>
      <c r="V37" s="5">
        <f t="shared" ref="V37:V47" si="25">IF(T$12=0,0,T37/T$12)</f>
        <v>0.40048443662238026</v>
      </c>
      <c r="W37" s="1"/>
      <c r="X37" s="1">
        <f t="shared" ref="X37:X47" si="26">+P37-T37</f>
        <v>-4519.509496153798</v>
      </c>
      <c r="Y37" s="1"/>
      <c r="Z37" s="5">
        <f t="shared" ref="Z37:Z47" si="27">IF(T37=0,0,X37/T37)</f>
        <v>-5.087896215679253E-2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18280.419999999998</v>
      </c>
      <c r="E39" s="2"/>
      <c r="F39" s="6">
        <f t="shared" si="20"/>
        <v>8.4530841487967565E-2</v>
      </c>
      <c r="G39" s="2"/>
      <c r="H39" s="7">
        <v>17503.295096153801</v>
      </c>
      <c r="I39" s="2"/>
      <c r="J39" s="6">
        <f t="shared" si="21"/>
        <v>7.8913698625148451E-2</v>
      </c>
      <c r="K39" s="2"/>
      <c r="L39" s="7">
        <f t="shared" si="22"/>
        <v>777.12490384619741</v>
      </c>
      <c r="M39" s="2"/>
      <c r="N39" s="6">
        <f t="shared" si="23"/>
        <v>4.4398777463162578E-2</v>
      </c>
      <c r="O39" s="11"/>
      <c r="P39" s="7">
        <v>18280.419999999998</v>
      </c>
      <c r="Q39" s="2"/>
      <c r="R39" s="6">
        <f t="shared" si="24"/>
        <v>8.4530841487967565E-2</v>
      </c>
      <c r="S39" s="2"/>
      <c r="T39" s="7">
        <v>17503.295096153801</v>
      </c>
      <c r="U39" s="2"/>
      <c r="V39" s="6">
        <f t="shared" si="25"/>
        <v>7.8913698625148451E-2</v>
      </c>
      <c r="W39" s="2"/>
      <c r="X39" s="7">
        <f t="shared" si="26"/>
        <v>777.12490384619741</v>
      </c>
      <c r="Y39" s="2"/>
      <c r="Z39" s="6">
        <f t="shared" si="27"/>
        <v>4.4398777463162578E-2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>
        <v>18404.070000000003</v>
      </c>
      <c r="E41" s="2"/>
      <c r="F41" s="6">
        <f t="shared" si="20"/>
        <v>8.5102613829630802E-2</v>
      </c>
      <c r="G41" s="2"/>
      <c r="H41" s="7">
        <v>27008.557000000001</v>
      </c>
      <c r="I41" s="2"/>
      <c r="J41" s="6">
        <f t="shared" si="21"/>
        <v>0.12176822225127704</v>
      </c>
      <c r="K41" s="2"/>
      <c r="L41" s="7">
        <f t="shared" si="22"/>
        <v>-8604.4869999999974</v>
      </c>
      <c r="M41" s="2"/>
      <c r="N41" s="6">
        <f t="shared" si="23"/>
        <v>-0.31858373625810504</v>
      </c>
      <c r="O41" s="11"/>
      <c r="P41" s="7">
        <v>18404.070000000003</v>
      </c>
      <c r="Q41" s="2"/>
      <c r="R41" s="6">
        <f t="shared" si="24"/>
        <v>8.5102613829630802E-2</v>
      </c>
      <c r="S41" s="2"/>
      <c r="T41" s="7">
        <v>27008.557000000001</v>
      </c>
      <c r="U41" s="2"/>
      <c r="V41" s="6">
        <f t="shared" si="25"/>
        <v>0.12176822225127704</v>
      </c>
      <c r="W41" s="2"/>
      <c r="X41" s="7">
        <f t="shared" si="26"/>
        <v>-8604.4869999999974</v>
      </c>
      <c r="Y41" s="2"/>
      <c r="Z41" s="6">
        <f t="shared" si="27"/>
        <v>-0.31858373625810504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18196.510000000002</v>
      </c>
      <c r="E42" s="2"/>
      <c r="F42" s="6">
        <f t="shared" si="20"/>
        <v>8.4142831644142588E-2</v>
      </c>
      <c r="G42" s="2"/>
      <c r="H42" s="7">
        <v>15100.397400000002</v>
      </c>
      <c r="I42" s="2"/>
      <c r="J42" s="6">
        <f t="shared" si="21"/>
        <v>6.8080221638120317E-2</v>
      </c>
      <c r="K42" s="2"/>
      <c r="L42" s="7">
        <f t="shared" si="22"/>
        <v>3096.1126000000004</v>
      </c>
      <c r="M42" s="2"/>
      <c r="N42" s="6">
        <f t="shared" si="23"/>
        <v>0.20503517344517039</v>
      </c>
      <c r="O42" s="11"/>
      <c r="P42" s="7">
        <v>18196.510000000002</v>
      </c>
      <c r="Q42" s="2"/>
      <c r="R42" s="6">
        <f t="shared" si="24"/>
        <v>8.4142831644142588E-2</v>
      </c>
      <c r="S42" s="2"/>
      <c r="T42" s="7">
        <v>15100.397400000002</v>
      </c>
      <c r="U42" s="2"/>
      <c r="V42" s="6">
        <f t="shared" si="25"/>
        <v>6.8080221638120317E-2</v>
      </c>
      <c r="W42" s="2"/>
      <c r="X42" s="7">
        <f t="shared" si="26"/>
        <v>3096.1126000000004</v>
      </c>
      <c r="Y42" s="2"/>
      <c r="Z42" s="6">
        <f t="shared" si="27"/>
        <v>0.20503517344517039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>
        <v>2451</v>
      </c>
      <c r="E43" s="2"/>
      <c r="F43" s="6">
        <f t="shared" si="20"/>
        <v>1.1333716210404823E-2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2451</v>
      </c>
      <c r="M43" s="2"/>
      <c r="N43" s="6">
        <f t="shared" si="23"/>
        <v>0</v>
      </c>
      <c r="O43" s="11"/>
      <c r="P43" s="7">
        <v>2451</v>
      </c>
      <c r="Q43" s="2"/>
      <c r="R43" s="6">
        <f t="shared" si="24"/>
        <v>1.1333716210404823E-2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2451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>
        <v>21883.14</v>
      </c>
      <c r="E44" s="2"/>
      <c r="F44" s="6">
        <f t="shared" si="20"/>
        <v>0.10119024828745743</v>
      </c>
      <c r="G44" s="2"/>
      <c r="H44" s="7">
        <v>29216.400000000001</v>
      </c>
      <c r="I44" s="2"/>
      <c r="J44" s="6">
        <f t="shared" si="21"/>
        <v>0.13172229410783443</v>
      </c>
      <c r="K44" s="2"/>
      <c r="L44" s="7">
        <f t="shared" si="22"/>
        <v>-7333.260000000002</v>
      </c>
      <c r="M44" s="2"/>
      <c r="N44" s="6">
        <f t="shared" si="23"/>
        <v>-0.25099806957736071</v>
      </c>
      <c r="O44" s="11"/>
      <c r="P44" s="7">
        <v>21883.14</v>
      </c>
      <c r="Q44" s="2"/>
      <c r="R44" s="6">
        <f t="shared" si="24"/>
        <v>0.10119024828745743</v>
      </c>
      <c r="S44" s="2"/>
      <c r="T44" s="7">
        <v>29216.400000000001</v>
      </c>
      <c r="U44" s="2"/>
      <c r="V44" s="6">
        <f t="shared" si="25"/>
        <v>0.13172229410783443</v>
      </c>
      <c r="W44" s="2"/>
      <c r="X44" s="7">
        <f t="shared" si="26"/>
        <v>-7333.260000000002</v>
      </c>
      <c r="Y44" s="2"/>
      <c r="Z44" s="6">
        <f t="shared" si="27"/>
        <v>-0.25099806957736071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>
        <v>5094</v>
      </c>
      <c r="E45" s="2"/>
      <c r="F45" s="6">
        <f t="shared" si="20"/>
        <v>2.3555263311220792E-2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5094</v>
      </c>
      <c r="M45" s="2"/>
      <c r="N45" s="6">
        <f t="shared" si="23"/>
        <v>0</v>
      </c>
      <c r="O45" s="11"/>
      <c r="P45" s="7">
        <v>5094</v>
      </c>
      <c r="Q45" s="2"/>
      <c r="R45" s="6">
        <f t="shared" si="24"/>
        <v>2.3555263311220792E-2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5094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7" customFormat="1" outlineLevel="1" collapsed="1" x14ac:dyDescent="0.25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422.69</v>
      </c>
      <c r="E48" s="1"/>
      <c r="F48" s="5">
        <f t="shared" ref="F48:F67" si="28">IF(D$12=0,0,D48/D$12)</f>
        <v>1.9545689534785859E-3</v>
      </c>
      <c r="G48" s="1"/>
      <c r="H48" s="1">
        <f>SUM(OSRRefH22_2x_0)</f>
        <v>750</v>
      </c>
      <c r="I48" s="1"/>
      <c r="J48" s="5">
        <f t="shared" ref="J48:J67" si="29">IF(H$12=0,0,H48/H$12)</f>
        <v>3.3813789714296021E-3</v>
      </c>
      <c r="K48" s="1"/>
      <c r="L48" s="1">
        <f t="shared" ref="L48:L67" si="30">+D48-H48</f>
        <v>-327.31</v>
      </c>
      <c r="M48" s="1"/>
      <c r="N48" s="5">
        <f t="shared" ref="N48:N67" si="31">IF(H48=0,0,L48/H48)</f>
        <v>-0.43641333333333332</v>
      </c>
      <c r="O48" s="14"/>
      <c r="P48" s="1">
        <f>SUM(OSRRefP22_2x_0)</f>
        <v>422.69</v>
      </c>
      <c r="Q48" s="1"/>
      <c r="R48" s="5">
        <f t="shared" ref="R48:R67" si="32">IF(P$12=0,0,P48/P$12)</f>
        <v>1.9545689534785859E-3</v>
      </c>
      <c r="S48" s="1"/>
      <c r="T48" s="1">
        <f>SUM(OSRRefT22_2x_0)</f>
        <v>750</v>
      </c>
      <c r="U48" s="1"/>
      <c r="V48" s="5">
        <f t="shared" ref="V48:V67" si="33">IF(T$12=0,0,T48/T$12)</f>
        <v>3.3813789714296021E-3</v>
      </c>
      <c r="W48" s="1"/>
      <c r="X48" s="1">
        <f t="shared" ref="X48:X67" si="34">+P48-T48</f>
        <v>-327.31</v>
      </c>
      <c r="Y48" s="1"/>
      <c r="Z48" s="5">
        <f t="shared" ref="Z48:Z67" si="35">IF(T48=0,0,X48/T48)</f>
        <v>-0.43641333333333332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>
        <v>422.69</v>
      </c>
      <c r="E49" s="2"/>
      <c r="F49" s="6">
        <f t="shared" si="28"/>
        <v>1.9545689534785859E-3</v>
      </c>
      <c r="G49" s="2"/>
      <c r="H49" s="7">
        <v>750</v>
      </c>
      <c r="I49" s="2"/>
      <c r="J49" s="6">
        <f t="shared" si="29"/>
        <v>3.3813789714296021E-3</v>
      </c>
      <c r="K49" s="2"/>
      <c r="L49" s="7">
        <f t="shared" si="30"/>
        <v>-327.31</v>
      </c>
      <c r="M49" s="2"/>
      <c r="N49" s="6">
        <f t="shared" si="31"/>
        <v>-0.43641333333333332</v>
      </c>
      <c r="O49" s="11"/>
      <c r="P49" s="7">
        <v>422.69</v>
      </c>
      <c r="Q49" s="2"/>
      <c r="R49" s="6">
        <f t="shared" si="32"/>
        <v>1.9545689534785859E-3</v>
      </c>
      <c r="S49" s="2"/>
      <c r="T49" s="7">
        <v>750</v>
      </c>
      <c r="U49" s="2"/>
      <c r="V49" s="6">
        <f t="shared" si="33"/>
        <v>3.3813789714296021E-3</v>
      </c>
      <c r="W49" s="2"/>
      <c r="X49" s="7">
        <f t="shared" si="34"/>
        <v>-327.31</v>
      </c>
      <c r="Y49" s="2"/>
      <c r="Z49" s="6">
        <f t="shared" si="35"/>
        <v>-0.43641333333333332</v>
      </c>
    </row>
    <row r="50" spans="1:26" s="27" customFormat="1" outlineLevel="1" collapsed="1" x14ac:dyDescent="0.25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-2</v>
      </c>
      <c r="E50" s="1"/>
      <c r="F50" s="5">
        <f t="shared" si="28"/>
        <v>-9.2482384417827997E-6</v>
      </c>
      <c r="G50" s="1"/>
      <c r="H50" s="1">
        <f>SUM(OSRRefH22_3x_0)</f>
        <v>8</v>
      </c>
      <c r="I50" s="1"/>
      <c r="J50" s="5">
        <f t="shared" si="29"/>
        <v>3.6068042361915754E-5</v>
      </c>
      <c r="K50" s="1"/>
      <c r="L50" s="1">
        <f t="shared" si="30"/>
        <v>-10</v>
      </c>
      <c r="M50" s="1"/>
      <c r="N50" s="5">
        <f t="shared" si="31"/>
        <v>-1.25</v>
      </c>
      <c r="O50" s="14"/>
      <c r="P50" s="1">
        <f>SUM(OSRRefP22_3x_0)</f>
        <v>-2</v>
      </c>
      <c r="Q50" s="1"/>
      <c r="R50" s="5">
        <f t="shared" si="32"/>
        <v>-9.2482384417827997E-6</v>
      </c>
      <c r="S50" s="1"/>
      <c r="T50" s="1">
        <f>SUM(OSRRefT22_3x_0)</f>
        <v>8</v>
      </c>
      <c r="U50" s="1"/>
      <c r="V50" s="5">
        <f t="shared" si="33"/>
        <v>3.6068042361915754E-5</v>
      </c>
      <c r="W50" s="1"/>
      <c r="X50" s="1">
        <f t="shared" si="34"/>
        <v>-10</v>
      </c>
      <c r="Y50" s="1"/>
      <c r="Z50" s="5">
        <f t="shared" si="35"/>
        <v>-1.25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>
        <v>-2</v>
      </c>
      <c r="E51" s="2"/>
      <c r="F51" s="6">
        <f t="shared" si="28"/>
        <v>-9.2482384417827997E-6</v>
      </c>
      <c r="G51" s="2"/>
      <c r="H51" s="7">
        <v>8</v>
      </c>
      <c r="I51" s="2"/>
      <c r="J51" s="6">
        <f t="shared" si="29"/>
        <v>3.6068042361915754E-5</v>
      </c>
      <c r="K51" s="2"/>
      <c r="L51" s="7">
        <f t="shared" si="30"/>
        <v>-10</v>
      </c>
      <c r="M51" s="2"/>
      <c r="N51" s="6">
        <f t="shared" si="31"/>
        <v>-1.25</v>
      </c>
      <c r="O51" s="11"/>
      <c r="P51" s="7">
        <v>-2</v>
      </c>
      <c r="Q51" s="2"/>
      <c r="R51" s="6">
        <f t="shared" si="32"/>
        <v>-9.2482384417827997E-6</v>
      </c>
      <c r="S51" s="2"/>
      <c r="T51" s="7">
        <v>8</v>
      </c>
      <c r="U51" s="2"/>
      <c r="V51" s="6">
        <f t="shared" si="33"/>
        <v>3.6068042361915754E-5</v>
      </c>
      <c r="W51" s="2"/>
      <c r="X51" s="7">
        <f t="shared" si="34"/>
        <v>-10</v>
      </c>
      <c r="Y51" s="2"/>
      <c r="Z51" s="6">
        <f t="shared" si="35"/>
        <v>-1.25</v>
      </c>
    </row>
    <row r="52" spans="1:26" s="27" customFormat="1" outlineLevel="1" collapsed="1" x14ac:dyDescent="0.25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294.55</v>
      </c>
      <c r="E52" s="1"/>
      <c r="F52" s="5">
        <f t="shared" si="28"/>
        <v>1.3620343165135619E-3</v>
      </c>
      <c r="G52" s="1"/>
      <c r="H52" s="1">
        <f>SUM(OSRRefH22_4x_0)</f>
        <v>170</v>
      </c>
      <c r="I52" s="1"/>
      <c r="J52" s="5">
        <f t="shared" si="29"/>
        <v>7.6644590019070977E-4</v>
      </c>
      <c r="K52" s="1"/>
      <c r="L52" s="1">
        <f t="shared" si="30"/>
        <v>124.55000000000001</v>
      </c>
      <c r="M52" s="1"/>
      <c r="N52" s="5">
        <f t="shared" si="31"/>
        <v>0.73264705882352943</v>
      </c>
      <c r="O52" s="14"/>
      <c r="P52" s="1">
        <f>SUM(OSRRefP22_4x_0)</f>
        <v>294.55</v>
      </c>
      <c r="Q52" s="1"/>
      <c r="R52" s="5">
        <f t="shared" si="32"/>
        <v>1.3620343165135619E-3</v>
      </c>
      <c r="S52" s="1"/>
      <c r="T52" s="1">
        <f>SUM(OSRRefT22_4x_0)</f>
        <v>170</v>
      </c>
      <c r="U52" s="1"/>
      <c r="V52" s="5">
        <f t="shared" si="33"/>
        <v>7.6644590019070977E-4</v>
      </c>
      <c r="W52" s="1"/>
      <c r="X52" s="1">
        <f t="shared" si="34"/>
        <v>124.55000000000001</v>
      </c>
      <c r="Y52" s="1"/>
      <c r="Z52" s="5">
        <f t="shared" si="35"/>
        <v>0.73264705882352943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294.55</v>
      </c>
      <c r="E53" s="2"/>
      <c r="F53" s="6">
        <f t="shared" si="28"/>
        <v>1.3620343165135619E-3</v>
      </c>
      <c r="G53" s="2"/>
      <c r="H53" s="7">
        <v>170</v>
      </c>
      <c r="I53" s="2"/>
      <c r="J53" s="6">
        <f t="shared" si="29"/>
        <v>7.6644590019070977E-4</v>
      </c>
      <c r="K53" s="2"/>
      <c r="L53" s="7">
        <f t="shared" si="30"/>
        <v>124.55000000000001</v>
      </c>
      <c r="M53" s="2"/>
      <c r="N53" s="6">
        <f t="shared" si="31"/>
        <v>0.73264705882352943</v>
      </c>
      <c r="O53" s="11"/>
      <c r="P53" s="7">
        <v>294.55</v>
      </c>
      <c r="Q53" s="2"/>
      <c r="R53" s="6">
        <f t="shared" si="32"/>
        <v>1.3620343165135619E-3</v>
      </c>
      <c r="S53" s="2"/>
      <c r="T53" s="7">
        <v>170</v>
      </c>
      <c r="U53" s="2"/>
      <c r="V53" s="6">
        <f t="shared" si="33"/>
        <v>7.6644590019070977E-4</v>
      </c>
      <c r="W53" s="2"/>
      <c r="X53" s="7">
        <f t="shared" si="34"/>
        <v>124.55000000000001</v>
      </c>
      <c r="Y53" s="2"/>
      <c r="Z53" s="6">
        <f t="shared" si="35"/>
        <v>0.73264705882352943</v>
      </c>
    </row>
    <row r="54" spans="1:26" s="27" customFormat="1" outlineLevel="1" collapsed="1" x14ac:dyDescent="0.25">
      <c r="A54" s="28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SUM(OSRRefD22_5x_0)</f>
        <v>0</v>
      </c>
      <c r="E54" s="1"/>
      <c r="F54" s="5">
        <f t="shared" si="28"/>
        <v>0</v>
      </c>
      <c r="G54" s="1"/>
      <c r="H54" s="1">
        <f>SUM(OSRRefH22_5x_0)</f>
        <v>145</v>
      </c>
      <c r="I54" s="1"/>
      <c r="J54" s="5">
        <f t="shared" si="29"/>
        <v>6.5373326780972306E-4</v>
      </c>
      <c r="K54" s="1"/>
      <c r="L54" s="1">
        <f t="shared" si="30"/>
        <v>-145</v>
      </c>
      <c r="M54" s="1"/>
      <c r="N54" s="5">
        <f t="shared" si="31"/>
        <v>-1</v>
      </c>
      <c r="O54" s="14"/>
      <c r="P54" s="1">
        <f>SUM(OSRRefP22_5x_0)</f>
        <v>0</v>
      </c>
      <c r="Q54" s="1"/>
      <c r="R54" s="5">
        <f t="shared" si="32"/>
        <v>0</v>
      </c>
      <c r="S54" s="1"/>
      <c r="T54" s="1">
        <f>SUM(OSRRefT22_5x_0)</f>
        <v>145</v>
      </c>
      <c r="U54" s="1"/>
      <c r="V54" s="5">
        <f t="shared" si="33"/>
        <v>6.5373326780972306E-4</v>
      </c>
      <c r="W54" s="1"/>
      <c r="X54" s="1">
        <f t="shared" si="34"/>
        <v>-145</v>
      </c>
      <c r="Y54" s="1"/>
      <c r="Z54" s="5">
        <f t="shared" si="35"/>
        <v>-1</v>
      </c>
    </row>
    <row r="55" spans="1:26" s="24" customFormat="1" hidden="1" outlineLevel="2" x14ac:dyDescent="0.25">
      <c r="A55" s="29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145</v>
      </c>
      <c r="I55" s="2"/>
      <c r="J55" s="6">
        <f t="shared" si="29"/>
        <v>6.5373326780972306E-4</v>
      </c>
      <c r="K55" s="2"/>
      <c r="L55" s="7">
        <f t="shared" si="30"/>
        <v>-145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145</v>
      </c>
      <c r="U55" s="2"/>
      <c r="V55" s="6">
        <f t="shared" si="33"/>
        <v>6.5373326780972306E-4</v>
      </c>
      <c r="W55" s="2"/>
      <c r="X55" s="7">
        <f t="shared" si="34"/>
        <v>-145</v>
      </c>
      <c r="Y55" s="2"/>
      <c r="Z55" s="6">
        <f t="shared" si="35"/>
        <v>-1</v>
      </c>
    </row>
    <row r="56" spans="1:26" s="27" customFormat="1" outlineLevel="1" collapsed="1" x14ac:dyDescent="0.25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167.85</v>
      </c>
      <c r="E56" s="1"/>
      <c r="F56" s="5">
        <f t="shared" si="28"/>
        <v>7.7615841122662154E-4</v>
      </c>
      <c r="G56" s="1"/>
      <c r="H56" s="1">
        <f>SUM(OSRRefH22_6x_0)</f>
        <v>270</v>
      </c>
      <c r="I56" s="1"/>
      <c r="J56" s="5">
        <f t="shared" si="29"/>
        <v>1.2172964297146567E-3</v>
      </c>
      <c r="K56" s="1"/>
      <c r="L56" s="1">
        <f t="shared" si="30"/>
        <v>-102.15</v>
      </c>
      <c r="M56" s="1"/>
      <c r="N56" s="5">
        <f t="shared" si="31"/>
        <v>-0.37833333333333335</v>
      </c>
      <c r="O56" s="14"/>
      <c r="P56" s="1">
        <f>SUM(OSRRefP22_6x_0)</f>
        <v>167.85</v>
      </c>
      <c r="Q56" s="1"/>
      <c r="R56" s="5">
        <f t="shared" si="32"/>
        <v>7.7615841122662154E-4</v>
      </c>
      <c r="S56" s="1"/>
      <c r="T56" s="1">
        <f>SUM(OSRRefT22_6x_0)</f>
        <v>270</v>
      </c>
      <c r="U56" s="1"/>
      <c r="V56" s="5">
        <f t="shared" si="33"/>
        <v>1.2172964297146567E-3</v>
      </c>
      <c r="W56" s="1"/>
      <c r="X56" s="1">
        <f t="shared" si="34"/>
        <v>-102.15</v>
      </c>
      <c r="Y56" s="1"/>
      <c r="Z56" s="5">
        <f t="shared" si="35"/>
        <v>-0.37833333333333335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7">
        <v>167.85</v>
      </c>
      <c r="E57" s="2"/>
      <c r="F57" s="6">
        <f t="shared" si="28"/>
        <v>7.7615841122662154E-4</v>
      </c>
      <c r="G57" s="2"/>
      <c r="H57" s="7">
        <v>270</v>
      </c>
      <c r="I57" s="2"/>
      <c r="J57" s="6">
        <f t="shared" si="29"/>
        <v>1.2172964297146567E-3</v>
      </c>
      <c r="K57" s="2"/>
      <c r="L57" s="7">
        <f t="shared" si="30"/>
        <v>-102.15</v>
      </c>
      <c r="M57" s="2"/>
      <c r="N57" s="6">
        <f t="shared" si="31"/>
        <v>-0.37833333333333335</v>
      </c>
      <c r="O57" s="11"/>
      <c r="P57" s="7">
        <v>167.85</v>
      </c>
      <c r="Q57" s="2"/>
      <c r="R57" s="6">
        <f t="shared" si="32"/>
        <v>7.7615841122662154E-4</v>
      </c>
      <c r="S57" s="2"/>
      <c r="T57" s="7">
        <v>270</v>
      </c>
      <c r="U57" s="2"/>
      <c r="V57" s="6">
        <f t="shared" si="33"/>
        <v>1.2172964297146567E-3</v>
      </c>
      <c r="W57" s="2"/>
      <c r="X57" s="7">
        <f t="shared" si="34"/>
        <v>-102.15</v>
      </c>
      <c r="Y57" s="2"/>
      <c r="Z57" s="6">
        <f t="shared" si="35"/>
        <v>-0.37833333333333335</v>
      </c>
    </row>
    <row r="58" spans="1:26" s="27" customFormat="1" outlineLevel="1" collapsed="1" x14ac:dyDescent="0.25">
      <c r="A58" s="28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</v>
      </c>
      <c r="I58" s="1"/>
      <c r="J58" s="5">
        <f t="shared" si="29"/>
        <v>4.5085052952394693E-6</v>
      </c>
      <c r="K58" s="1"/>
      <c r="L58" s="1">
        <f t="shared" si="30"/>
        <v>-1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1</v>
      </c>
      <c r="U58" s="1"/>
      <c r="V58" s="5">
        <f t="shared" si="33"/>
        <v>4.5085052952394693E-6</v>
      </c>
      <c r="W58" s="1"/>
      <c r="X58" s="1">
        <f t="shared" si="34"/>
        <v>-1</v>
      </c>
      <c r="Y58" s="1"/>
      <c r="Z58" s="5">
        <f t="shared" si="35"/>
        <v>-1</v>
      </c>
    </row>
    <row r="59" spans="1:26" s="24" customFormat="1" hidden="1" outlineLevel="2" x14ac:dyDescent="0.25">
      <c r="A59" s="29"/>
      <c r="B59" s="11" t="str">
        <f>CONCATENATE("          ", "6307", " - ", "POSTAGE")</f>
        <v xml:space="preserve">          6307 - POSTAGE</v>
      </c>
      <c r="C59" s="11"/>
      <c r="D59" s="7"/>
      <c r="E59" s="2"/>
      <c r="F59" s="6">
        <f t="shared" si="28"/>
        <v>0</v>
      </c>
      <c r="G59" s="2"/>
      <c r="H59" s="7">
        <v>1</v>
      </c>
      <c r="I59" s="2"/>
      <c r="J59" s="6">
        <f t="shared" si="29"/>
        <v>4.5085052952394693E-6</v>
      </c>
      <c r="K59" s="2"/>
      <c r="L59" s="7">
        <f t="shared" si="30"/>
        <v>-1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</v>
      </c>
      <c r="U59" s="2"/>
      <c r="V59" s="6">
        <f t="shared" si="33"/>
        <v>4.5085052952394693E-6</v>
      </c>
      <c r="W59" s="2"/>
      <c r="X59" s="7">
        <f t="shared" si="34"/>
        <v>-1</v>
      </c>
      <c r="Y59" s="2"/>
      <c r="Z59" s="6">
        <f t="shared" si="35"/>
        <v>-1</v>
      </c>
    </row>
    <row r="60" spans="1:26" s="27" customFormat="1" outlineLevel="1" collapsed="1" x14ac:dyDescent="0.25">
      <c r="A60" s="28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1517.1</v>
      </c>
      <c r="E60" s="1"/>
      <c r="F60" s="5">
        <f t="shared" si="28"/>
        <v>7.0152512700143426E-3</v>
      </c>
      <c r="G60" s="1"/>
      <c r="H60" s="1">
        <f>SUM(OSRRefH22_8x_0)</f>
        <v>1750</v>
      </c>
      <c r="I60" s="1"/>
      <c r="J60" s="5">
        <f t="shared" si="29"/>
        <v>7.889884266669072E-3</v>
      </c>
      <c r="K60" s="1"/>
      <c r="L60" s="1">
        <f t="shared" si="30"/>
        <v>-232.90000000000009</v>
      </c>
      <c r="M60" s="1"/>
      <c r="N60" s="5">
        <f t="shared" si="31"/>
        <v>-0.13308571428571433</v>
      </c>
      <c r="O60" s="14"/>
      <c r="P60" s="1">
        <f>SUM(OSRRefP22_8x_0)</f>
        <v>1517.1</v>
      </c>
      <c r="Q60" s="1"/>
      <c r="R60" s="5">
        <f t="shared" si="32"/>
        <v>7.0152512700143426E-3</v>
      </c>
      <c r="S60" s="1"/>
      <c r="T60" s="1">
        <f>SUM(OSRRefT22_8x_0)</f>
        <v>1750</v>
      </c>
      <c r="U60" s="1"/>
      <c r="V60" s="5">
        <f t="shared" si="33"/>
        <v>7.889884266669072E-3</v>
      </c>
      <c r="W60" s="1"/>
      <c r="X60" s="1">
        <f t="shared" si="34"/>
        <v>-232.90000000000009</v>
      </c>
      <c r="Y60" s="1"/>
      <c r="Z60" s="5">
        <f t="shared" si="35"/>
        <v>-0.13308571428571433</v>
      </c>
    </row>
    <row r="61" spans="1:26" s="24" customFormat="1" hidden="1" outlineLevel="2" x14ac:dyDescent="0.25">
      <c r="A61" s="29"/>
      <c r="B61" s="11" t="str">
        <f>CONCATENATE("          ", "6279", " - ", "GENERAL EXPENSE")</f>
        <v xml:space="preserve">          6279 - GENERAL EXPENSE</v>
      </c>
      <c r="C61" s="11"/>
      <c r="D61" s="7">
        <v>1517.1</v>
      </c>
      <c r="E61" s="2"/>
      <c r="F61" s="6">
        <f t="shared" si="28"/>
        <v>7.0152512700143426E-3</v>
      </c>
      <c r="G61" s="2"/>
      <c r="H61" s="7">
        <v>1750</v>
      </c>
      <c r="I61" s="2"/>
      <c r="J61" s="6">
        <f t="shared" si="29"/>
        <v>7.889884266669072E-3</v>
      </c>
      <c r="K61" s="2"/>
      <c r="L61" s="7">
        <f t="shared" si="30"/>
        <v>-232.90000000000009</v>
      </c>
      <c r="M61" s="2"/>
      <c r="N61" s="6">
        <f t="shared" si="31"/>
        <v>-0.13308571428571433</v>
      </c>
      <c r="O61" s="11"/>
      <c r="P61" s="7">
        <v>1517.1</v>
      </c>
      <c r="Q61" s="2"/>
      <c r="R61" s="6">
        <f t="shared" si="32"/>
        <v>7.0152512700143426E-3</v>
      </c>
      <c r="S61" s="2"/>
      <c r="T61" s="7">
        <v>1750</v>
      </c>
      <c r="U61" s="2"/>
      <c r="V61" s="6">
        <f t="shared" si="33"/>
        <v>7.889884266669072E-3</v>
      </c>
      <c r="W61" s="2"/>
      <c r="X61" s="7">
        <f t="shared" si="34"/>
        <v>-232.90000000000009</v>
      </c>
      <c r="Y61" s="2"/>
      <c r="Z61" s="6">
        <f t="shared" si="35"/>
        <v>-0.13308571428571433</v>
      </c>
    </row>
    <row r="62" spans="1:26" s="27" customFormat="1" outlineLevel="1" collapsed="1" x14ac:dyDescent="0.25">
      <c r="A62" s="28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SUM(OSRRefD22_9x_0)</f>
        <v>16622.96</v>
      </c>
      <c r="E62" s="1"/>
      <c r="F62" s="5">
        <f t="shared" si="28"/>
        <v>7.6866548844108901E-2</v>
      </c>
      <c r="G62" s="1"/>
      <c r="H62" s="1">
        <f>SUM(OSRRefH22_9x_0)</f>
        <v>17744</v>
      </c>
      <c r="I62" s="1"/>
      <c r="J62" s="5">
        <f t="shared" si="29"/>
        <v>7.999891795872914E-2</v>
      </c>
      <c r="K62" s="1"/>
      <c r="L62" s="1">
        <f t="shared" si="30"/>
        <v>-1121.0400000000009</v>
      </c>
      <c r="M62" s="1"/>
      <c r="N62" s="5">
        <f t="shared" si="31"/>
        <v>-6.3178539224526653E-2</v>
      </c>
      <c r="O62" s="14"/>
      <c r="P62" s="1">
        <f>SUM(OSRRefP22_9x_0)</f>
        <v>16622.96</v>
      </c>
      <c r="Q62" s="1"/>
      <c r="R62" s="5">
        <f t="shared" si="32"/>
        <v>7.6866548844108901E-2</v>
      </c>
      <c r="S62" s="1"/>
      <c r="T62" s="1">
        <f>SUM(OSRRefT22_9x_0)</f>
        <v>17744</v>
      </c>
      <c r="U62" s="1"/>
      <c r="V62" s="5">
        <f t="shared" si="33"/>
        <v>7.999891795872914E-2</v>
      </c>
      <c r="W62" s="1"/>
      <c r="X62" s="1">
        <f t="shared" si="34"/>
        <v>-1121.0400000000009</v>
      </c>
      <c r="Y62" s="1"/>
      <c r="Z62" s="5">
        <f t="shared" si="35"/>
        <v>-6.3178539224526653E-2</v>
      </c>
    </row>
    <row r="63" spans="1:26" s="24" customFormat="1" hidden="1" outlineLevel="2" x14ac:dyDescent="0.25">
      <c r="A63" s="29"/>
      <c r="B63" s="11" t="str">
        <f>CONCATENATE("          ", "6387", " - ", "COMMISSION DUE HOUSING")</f>
        <v xml:space="preserve">          6387 - COMMISSION DUE HOUSING</v>
      </c>
      <c r="C63" s="11"/>
      <c r="D63" s="7">
        <v>16622.96</v>
      </c>
      <c r="E63" s="2"/>
      <c r="F63" s="6">
        <f t="shared" si="28"/>
        <v>7.6866548844108901E-2</v>
      </c>
      <c r="G63" s="2"/>
      <c r="H63" s="7">
        <v>17744</v>
      </c>
      <c r="I63" s="2"/>
      <c r="J63" s="6">
        <f t="shared" si="29"/>
        <v>7.999891795872914E-2</v>
      </c>
      <c r="K63" s="2"/>
      <c r="L63" s="7">
        <f t="shared" si="30"/>
        <v>-1121.0400000000009</v>
      </c>
      <c r="M63" s="2"/>
      <c r="N63" s="6">
        <f t="shared" si="31"/>
        <v>-6.3178539224526653E-2</v>
      </c>
      <c r="O63" s="11"/>
      <c r="P63" s="7">
        <v>16622.96</v>
      </c>
      <c r="Q63" s="2"/>
      <c r="R63" s="6">
        <f t="shared" si="32"/>
        <v>7.6866548844108901E-2</v>
      </c>
      <c r="S63" s="2"/>
      <c r="T63" s="7">
        <v>17744</v>
      </c>
      <c r="U63" s="2"/>
      <c r="V63" s="6">
        <f t="shared" si="33"/>
        <v>7.999891795872914E-2</v>
      </c>
      <c r="W63" s="2"/>
      <c r="X63" s="7">
        <f t="shared" si="34"/>
        <v>-1121.0400000000009</v>
      </c>
      <c r="Y63" s="2"/>
      <c r="Z63" s="6">
        <f t="shared" si="35"/>
        <v>-6.3178539224526653E-2</v>
      </c>
    </row>
    <row r="64" spans="1:26" s="27" customFormat="1" outlineLevel="1" collapsed="1" x14ac:dyDescent="0.25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8.82</v>
      </c>
      <c r="E64" s="1"/>
      <c r="F64" s="5">
        <f t="shared" si="28"/>
        <v>4.0784731528262154E-5</v>
      </c>
      <c r="G64" s="1"/>
      <c r="H64" s="1">
        <f>SUM(OSRRefH22_10x_0)</f>
        <v>1290</v>
      </c>
      <c r="I64" s="1"/>
      <c r="J64" s="5">
        <f t="shared" si="29"/>
        <v>5.8159718308589152E-3</v>
      </c>
      <c r="K64" s="1"/>
      <c r="L64" s="1">
        <f t="shared" si="30"/>
        <v>-1281.18</v>
      </c>
      <c r="M64" s="1"/>
      <c r="N64" s="5">
        <f t="shared" si="31"/>
        <v>-0.99316279069767444</v>
      </c>
      <c r="O64" s="14"/>
      <c r="P64" s="1">
        <f>SUM(OSRRefP22_10x_0)</f>
        <v>8.82</v>
      </c>
      <c r="Q64" s="1"/>
      <c r="R64" s="5">
        <f t="shared" si="32"/>
        <v>4.0784731528262154E-5</v>
      </c>
      <c r="S64" s="1"/>
      <c r="T64" s="1">
        <f>SUM(OSRRefT22_10x_0)</f>
        <v>1290</v>
      </c>
      <c r="U64" s="1"/>
      <c r="V64" s="5">
        <f t="shared" si="33"/>
        <v>5.8159718308589152E-3</v>
      </c>
      <c r="W64" s="1"/>
      <c r="X64" s="1">
        <f t="shared" si="34"/>
        <v>-1281.18</v>
      </c>
      <c r="Y64" s="1"/>
      <c r="Z64" s="5">
        <f t="shared" si="35"/>
        <v>-0.99316279069767444</v>
      </c>
    </row>
    <row r="65" spans="1:26" s="24" customFormat="1" hidden="1" outlineLevel="2" x14ac:dyDescent="0.25">
      <c r="A65" s="29"/>
      <c r="B65" s="11" t="str">
        <f>CONCATENATE("          ", "6371", " - ", "COMPUTER SOFTWARE MAINTENANCE")</f>
        <v xml:space="preserve">          6371 - COMPUTER SOFTWARE MAINTENANCE</v>
      </c>
      <c r="C65" s="11"/>
      <c r="D65" s="7"/>
      <c r="E65" s="2"/>
      <c r="F65" s="6">
        <f t="shared" si="28"/>
        <v>0</v>
      </c>
      <c r="G65" s="2"/>
      <c r="H65" s="7">
        <v>1000</v>
      </c>
      <c r="I65" s="2"/>
      <c r="J65" s="6">
        <f t="shared" si="29"/>
        <v>4.5085052952394695E-3</v>
      </c>
      <c r="K65" s="2"/>
      <c r="L65" s="7">
        <f t="shared" si="30"/>
        <v>-1000</v>
      </c>
      <c r="M65" s="2"/>
      <c r="N65" s="6">
        <f t="shared" si="31"/>
        <v>-1</v>
      </c>
      <c r="O65" s="11"/>
      <c r="P65" s="7"/>
      <c r="Q65" s="2"/>
      <c r="R65" s="6">
        <f t="shared" si="32"/>
        <v>0</v>
      </c>
      <c r="S65" s="2"/>
      <c r="T65" s="7">
        <v>1000</v>
      </c>
      <c r="U65" s="2"/>
      <c r="V65" s="6">
        <f t="shared" si="33"/>
        <v>4.5085052952394695E-3</v>
      </c>
      <c r="W65" s="2"/>
      <c r="X65" s="7">
        <f t="shared" si="34"/>
        <v>-1000</v>
      </c>
      <c r="Y65" s="2"/>
      <c r="Z65" s="6">
        <f t="shared" si="35"/>
        <v>-1</v>
      </c>
    </row>
    <row r="66" spans="1:26" s="24" customFormat="1" hidden="1" outlineLevel="2" x14ac:dyDescent="0.25">
      <c r="A66" s="29"/>
      <c r="B66" s="11" t="str">
        <f>CONCATENATE("          ", "6373", " - ", "MAINTENANCE CONTRACTS")</f>
        <v xml:space="preserve">          6373 - MAINTENANCE CONTRACTS</v>
      </c>
      <c r="C66" s="11"/>
      <c r="D66" s="7">
        <v>8.82</v>
      </c>
      <c r="E66" s="2"/>
      <c r="F66" s="6">
        <f t="shared" si="28"/>
        <v>4.0784731528262154E-5</v>
      </c>
      <c r="G66" s="2"/>
      <c r="H66" s="7">
        <v>30</v>
      </c>
      <c r="I66" s="2"/>
      <c r="J66" s="6">
        <f t="shared" si="29"/>
        <v>1.3525515885718409E-4</v>
      </c>
      <c r="K66" s="2"/>
      <c r="L66" s="7">
        <f t="shared" si="30"/>
        <v>-21.18</v>
      </c>
      <c r="M66" s="2"/>
      <c r="N66" s="6">
        <f t="shared" si="31"/>
        <v>-0.70599999999999996</v>
      </c>
      <c r="O66" s="11"/>
      <c r="P66" s="7">
        <v>8.82</v>
      </c>
      <c r="Q66" s="2"/>
      <c r="R66" s="6">
        <f t="shared" si="32"/>
        <v>4.0784731528262154E-5</v>
      </c>
      <c r="S66" s="2"/>
      <c r="T66" s="7">
        <v>30</v>
      </c>
      <c r="U66" s="2"/>
      <c r="V66" s="6">
        <f t="shared" si="33"/>
        <v>1.3525515885718409E-4</v>
      </c>
      <c r="W66" s="2"/>
      <c r="X66" s="7">
        <f t="shared" si="34"/>
        <v>-21.18</v>
      </c>
      <c r="Y66" s="2"/>
      <c r="Z66" s="6">
        <f t="shared" si="35"/>
        <v>-0.70599999999999996</v>
      </c>
    </row>
    <row r="67" spans="1:26" s="24" customFormat="1" hidden="1" outlineLevel="2" x14ac:dyDescent="0.25">
      <c r="A67" s="29"/>
      <c r="B67" s="11" t="str">
        <f>CONCATENATE("          ", "6375", " - ", "OUTSIDE REPAIRS &amp; MAINTENANCE")</f>
        <v xml:space="preserve">          6375 - OUTSIDE REPAIRS &amp; MAINTENANCE</v>
      </c>
      <c r="C67" s="11"/>
      <c r="D67" s="7"/>
      <c r="E67" s="2"/>
      <c r="F67" s="6">
        <f t="shared" si="28"/>
        <v>0</v>
      </c>
      <c r="G67" s="2"/>
      <c r="H67" s="7">
        <v>260</v>
      </c>
      <c r="I67" s="2"/>
      <c r="J67" s="6">
        <f t="shared" si="29"/>
        <v>1.1722113767622621E-3</v>
      </c>
      <c r="K67" s="2"/>
      <c r="L67" s="7">
        <f t="shared" si="30"/>
        <v>-260</v>
      </c>
      <c r="M67" s="2"/>
      <c r="N67" s="6">
        <f t="shared" si="31"/>
        <v>-1</v>
      </c>
      <c r="O67" s="11"/>
      <c r="P67" s="7"/>
      <c r="Q67" s="2"/>
      <c r="R67" s="6">
        <f t="shared" si="32"/>
        <v>0</v>
      </c>
      <c r="S67" s="2"/>
      <c r="T67" s="7">
        <v>260</v>
      </c>
      <c r="U67" s="2"/>
      <c r="V67" s="6">
        <f t="shared" si="33"/>
        <v>1.1722113767622621E-3</v>
      </c>
      <c r="W67" s="2"/>
      <c r="X67" s="7">
        <f t="shared" si="34"/>
        <v>-260</v>
      </c>
      <c r="Y67" s="2"/>
      <c r="Z67" s="6">
        <f t="shared" si="35"/>
        <v>-1</v>
      </c>
    </row>
    <row r="68" spans="1:26" s="27" customFormat="1" outlineLevel="1" collapsed="1" x14ac:dyDescent="0.25">
      <c r="A68" s="28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SUM(OSRRefD22_11x_0)</f>
        <v>6097.79</v>
      </c>
      <c r="E68" s="1"/>
      <c r="F68" s="5">
        <f t="shared" ref="F68:F72" si="36">IF(D$12=0,0,D68/D$12)</f>
        <v>2.8196907943959373E-2</v>
      </c>
      <c r="G68" s="1"/>
      <c r="H68" s="1">
        <f>SUM(OSRRefH22_11x_0)</f>
        <v>8347</v>
      </c>
      <c r="I68" s="1"/>
      <c r="J68" s="5">
        <f t="shared" ref="J68:J72" si="37">IF(H$12=0,0,H68/H$12)</f>
        <v>3.7632493699363848E-2</v>
      </c>
      <c r="K68" s="1"/>
      <c r="L68" s="1">
        <f t="shared" ref="L68:L72" si="38">+D68-H68</f>
        <v>-2249.21</v>
      </c>
      <c r="M68" s="1"/>
      <c r="N68" s="5">
        <f t="shared" ref="N68:N72" si="39">IF(H68=0,0,L68/H68)</f>
        <v>-0.26946328022043847</v>
      </c>
      <c r="O68" s="14"/>
      <c r="P68" s="1">
        <f>SUM(OSRRefP22_11x_0)</f>
        <v>6097.79</v>
      </c>
      <c r="Q68" s="1"/>
      <c r="R68" s="5">
        <f t="shared" ref="R68:R72" si="40">IF(P$12=0,0,P68/P$12)</f>
        <v>2.8196907943959373E-2</v>
      </c>
      <c r="S68" s="1"/>
      <c r="T68" s="1">
        <f>SUM(OSRRefT22_11x_0)</f>
        <v>8347</v>
      </c>
      <c r="U68" s="1"/>
      <c r="V68" s="5">
        <f t="shared" ref="V68:V72" si="41">IF(T$12=0,0,T68/T$12)</f>
        <v>3.7632493699363848E-2</v>
      </c>
      <c r="W68" s="1"/>
      <c r="X68" s="1">
        <f t="shared" ref="X68:X72" si="42">+P68-T68</f>
        <v>-2249.21</v>
      </c>
      <c r="Y68" s="1"/>
      <c r="Z68" s="5">
        <f t="shared" ref="Z68:Z72" si="43">IF(T68=0,0,X68/T68)</f>
        <v>-0.26946328022043847</v>
      </c>
    </row>
    <row r="69" spans="1:26" s="24" customFormat="1" hidden="1" outlineLevel="2" x14ac:dyDescent="0.25">
      <c r="A69" s="29"/>
      <c r="B69" s="11" t="str">
        <f>CONCATENATE("          ", "6282", " - ", "JANITORIAL/EXTERMINATOR EXPENS")</f>
        <v xml:space="preserve">          6282 - JANITORIAL/EXTERMINATOR EXPENS</v>
      </c>
      <c r="C69" s="11"/>
      <c r="D69" s="7">
        <v>421.34</v>
      </c>
      <c r="E69" s="2"/>
      <c r="F69" s="6">
        <f t="shared" si="36"/>
        <v>1.9483263925303826E-3</v>
      </c>
      <c r="G69" s="2"/>
      <c r="H69" s="7">
        <v>430</v>
      </c>
      <c r="I69" s="2"/>
      <c r="J69" s="6">
        <f t="shared" si="37"/>
        <v>1.9386572769529717E-3</v>
      </c>
      <c r="K69" s="2"/>
      <c r="L69" s="7">
        <f t="shared" si="38"/>
        <v>-8.660000000000025</v>
      </c>
      <c r="M69" s="2"/>
      <c r="N69" s="6">
        <f t="shared" si="39"/>
        <v>-2.0139534883720989E-2</v>
      </c>
      <c r="O69" s="11"/>
      <c r="P69" s="7">
        <v>421.34</v>
      </c>
      <c r="Q69" s="2"/>
      <c r="R69" s="6">
        <f t="shared" si="40"/>
        <v>1.9483263925303826E-3</v>
      </c>
      <c r="S69" s="2"/>
      <c r="T69" s="7">
        <v>430</v>
      </c>
      <c r="U69" s="2"/>
      <c r="V69" s="6">
        <f t="shared" si="41"/>
        <v>1.9386572769529717E-3</v>
      </c>
      <c r="W69" s="2"/>
      <c r="X69" s="7">
        <f t="shared" si="42"/>
        <v>-8.660000000000025</v>
      </c>
      <c r="Y69" s="2"/>
      <c r="Z69" s="6">
        <f t="shared" si="43"/>
        <v>-2.0139534883720989E-2</v>
      </c>
    </row>
    <row r="70" spans="1:26" s="24" customFormat="1" hidden="1" outlineLevel="2" x14ac:dyDescent="0.25">
      <c r="A70" s="29"/>
      <c r="B70" s="11" t="str">
        <f>CONCATENATE("          ", "6284", " - ", "TRASH REMOVAL EXPENSE")</f>
        <v xml:space="preserve">          6284 - TRASH REMOVAL EXPENSE</v>
      </c>
      <c r="C70" s="11"/>
      <c r="D70" s="7"/>
      <c r="E70" s="2"/>
      <c r="F70" s="6">
        <f t="shared" si="36"/>
        <v>0</v>
      </c>
      <c r="G70" s="2"/>
      <c r="H70" s="7">
        <v>0</v>
      </c>
      <c r="I70" s="2"/>
      <c r="J70" s="6">
        <f t="shared" si="37"/>
        <v>0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/>
      <c r="Q70" s="2"/>
      <c r="R70" s="6">
        <f t="shared" si="40"/>
        <v>0</v>
      </c>
      <c r="S70" s="2"/>
      <c r="T70" s="7">
        <v>0</v>
      </c>
      <c r="U70" s="2"/>
      <c r="V70" s="6">
        <f t="shared" si="41"/>
        <v>0</v>
      </c>
      <c r="W70" s="2"/>
      <c r="X70" s="7">
        <f t="shared" si="42"/>
        <v>0</v>
      </c>
      <c r="Y70" s="2"/>
      <c r="Z70" s="6">
        <f t="shared" si="43"/>
        <v>0</v>
      </c>
    </row>
    <row r="71" spans="1:26" s="24" customFormat="1" hidden="1" outlineLevel="2" x14ac:dyDescent="0.25">
      <c r="A71" s="29"/>
      <c r="B71" s="11" t="str">
        <f>CONCATENATE("          ", "6285", " - ", "JANITORIAL SERVICES")</f>
        <v xml:space="preserve">          6285 - JANITORIAL SERVICES</v>
      </c>
      <c r="C71" s="11"/>
      <c r="D71" s="7">
        <v>4104.17</v>
      </c>
      <c r="E71" s="2"/>
      <c r="F71" s="6">
        <f t="shared" si="36"/>
        <v>1.8978171382805858E-2</v>
      </c>
      <c r="G71" s="2"/>
      <c r="H71" s="7">
        <v>6317</v>
      </c>
      <c r="I71" s="2"/>
      <c r="J71" s="6">
        <f t="shared" si="37"/>
        <v>2.8480227950027727E-2</v>
      </c>
      <c r="K71" s="2"/>
      <c r="L71" s="7">
        <f t="shared" si="38"/>
        <v>-2212.83</v>
      </c>
      <c r="M71" s="2"/>
      <c r="N71" s="6">
        <f t="shared" si="39"/>
        <v>-0.35029760962482187</v>
      </c>
      <c r="O71" s="11"/>
      <c r="P71" s="7">
        <v>4104.17</v>
      </c>
      <c r="Q71" s="2"/>
      <c r="R71" s="6">
        <f t="shared" si="40"/>
        <v>1.8978171382805858E-2</v>
      </c>
      <c r="S71" s="2"/>
      <c r="T71" s="7">
        <v>6317</v>
      </c>
      <c r="U71" s="2"/>
      <c r="V71" s="6">
        <f t="shared" si="41"/>
        <v>2.8480227950027727E-2</v>
      </c>
      <c r="W71" s="2"/>
      <c r="X71" s="7">
        <f t="shared" si="42"/>
        <v>-2212.83</v>
      </c>
      <c r="Y71" s="2"/>
      <c r="Z71" s="6">
        <f t="shared" si="43"/>
        <v>-0.35029760962482187</v>
      </c>
    </row>
    <row r="72" spans="1:26" s="24" customFormat="1" hidden="1" outlineLevel="2" x14ac:dyDescent="0.25">
      <c r="A72" s="29"/>
      <c r="B72" s="11" t="str">
        <f>CONCATENATE("          ", "6286", " - ", "LAUNDRY EXPENSE")</f>
        <v xml:space="preserve">          6286 - LAUNDRY EXPENSE</v>
      </c>
      <c r="C72" s="11"/>
      <c r="D72" s="7">
        <v>1572.28</v>
      </c>
      <c r="E72" s="2"/>
      <c r="F72" s="6">
        <f t="shared" si="36"/>
        <v>7.2704101686231308E-3</v>
      </c>
      <c r="G72" s="2"/>
      <c r="H72" s="7">
        <v>1600</v>
      </c>
      <c r="I72" s="2"/>
      <c r="J72" s="6">
        <f t="shared" si="37"/>
        <v>7.2136084723831507E-3</v>
      </c>
      <c r="K72" s="2"/>
      <c r="L72" s="7">
        <f t="shared" si="38"/>
        <v>-27.720000000000027</v>
      </c>
      <c r="M72" s="2"/>
      <c r="N72" s="6">
        <f t="shared" si="39"/>
        <v>-1.7325000000000017E-2</v>
      </c>
      <c r="O72" s="11"/>
      <c r="P72" s="7">
        <v>1572.28</v>
      </c>
      <c r="Q72" s="2"/>
      <c r="R72" s="6">
        <f t="shared" si="40"/>
        <v>7.2704101686231308E-3</v>
      </c>
      <c r="S72" s="2"/>
      <c r="T72" s="7">
        <v>1600</v>
      </c>
      <c r="U72" s="2"/>
      <c r="V72" s="6">
        <f t="shared" si="41"/>
        <v>7.2136084723831507E-3</v>
      </c>
      <c r="W72" s="2"/>
      <c r="X72" s="7">
        <f t="shared" si="42"/>
        <v>-27.720000000000027</v>
      </c>
      <c r="Y72" s="2"/>
      <c r="Z72" s="6">
        <f t="shared" si="43"/>
        <v>-1.7325000000000017E-2</v>
      </c>
    </row>
    <row r="73" spans="1:26" s="27" customFormat="1" outlineLevel="1" collapsed="1" x14ac:dyDescent="0.25">
      <c r="A73" s="28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SUM(OSRRefD22_12x_0)</f>
        <v>7812.57</v>
      </c>
      <c r="E73" s="1"/>
      <c r="F73" s="5">
        <f t="shared" ref="F73:F78" si="44">IF(D$12=0,0,D73/D$12)</f>
        <v>3.6126255101559528E-2</v>
      </c>
      <c r="G73" s="1"/>
      <c r="H73" s="1">
        <f>SUM(OSRRefH22_12x_0)</f>
        <v>9880</v>
      </c>
      <c r="I73" s="1"/>
      <c r="J73" s="5">
        <f t="shared" ref="J73:J78" si="45">IF(H$12=0,0,H73/H$12)</f>
        <v>4.4544032316965958E-2</v>
      </c>
      <c r="K73" s="1"/>
      <c r="L73" s="1">
        <f t="shared" ref="L73:L78" si="46">+D73-H73</f>
        <v>-2067.4300000000003</v>
      </c>
      <c r="M73" s="1"/>
      <c r="N73" s="5">
        <f t="shared" ref="N73:N78" si="47">IF(H73=0,0,L73/H73)</f>
        <v>-0.20925404858299598</v>
      </c>
      <c r="O73" s="14"/>
      <c r="P73" s="1">
        <f>SUM(OSRRefP22_12x_0)</f>
        <v>7812.57</v>
      </c>
      <c r="Q73" s="1"/>
      <c r="R73" s="5">
        <f t="shared" ref="R73:R78" si="48">IF(P$12=0,0,P73/P$12)</f>
        <v>3.6126255101559528E-2</v>
      </c>
      <c r="S73" s="1"/>
      <c r="T73" s="1">
        <f>SUM(OSRRefT22_12x_0)</f>
        <v>9880</v>
      </c>
      <c r="U73" s="1"/>
      <c r="V73" s="5">
        <f t="shared" ref="V73:V78" si="49">IF(T$12=0,0,T73/T$12)</f>
        <v>4.4544032316965958E-2</v>
      </c>
      <c r="W73" s="1"/>
      <c r="X73" s="1">
        <f t="shared" ref="X73:X78" si="50">+P73-T73</f>
        <v>-2067.4300000000003</v>
      </c>
      <c r="Y73" s="1"/>
      <c r="Z73" s="5">
        <f t="shared" ref="Z73:Z78" si="51">IF(T73=0,0,X73/T73)</f>
        <v>-0.20925404858299598</v>
      </c>
    </row>
    <row r="74" spans="1:26" s="24" customFormat="1" hidden="1" outlineLevel="2" x14ac:dyDescent="0.25">
      <c r="A74" s="29"/>
      <c r="B74" s="11" t="str">
        <f>CONCATENATE("          ", "6237", " - ", "JANITORIAL SUPPLIES")</f>
        <v xml:space="preserve">          6237 - JANITORIAL SUPPLIES</v>
      </c>
      <c r="C74" s="11"/>
      <c r="D74" s="7">
        <v>3951.48</v>
      </c>
      <c r="E74" s="2"/>
      <c r="F74" s="6">
        <f t="shared" si="44"/>
        <v>1.8272114618967949E-2</v>
      </c>
      <c r="G74" s="2"/>
      <c r="H74" s="7">
        <v>4000</v>
      </c>
      <c r="I74" s="2"/>
      <c r="J74" s="6">
        <f t="shared" si="45"/>
        <v>1.8034021180957878E-2</v>
      </c>
      <c r="K74" s="2"/>
      <c r="L74" s="7">
        <f t="shared" si="46"/>
        <v>-48.519999999999982</v>
      </c>
      <c r="M74" s="2"/>
      <c r="N74" s="6">
        <f t="shared" si="47"/>
        <v>-1.2129999999999995E-2</v>
      </c>
      <c r="O74" s="11"/>
      <c r="P74" s="7">
        <v>3951.48</v>
      </c>
      <c r="Q74" s="2"/>
      <c r="R74" s="6">
        <f t="shared" si="48"/>
        <v>1.8272114618967949E-2</v>
      </c>
      <c r="S74" s="2"/>
      <c r="T74" s="7">
        <v>4000</v>
      </c>
      <c r="U74" s="2"/>
      <c r="V74" s="6">
        <f t="shared" si="49"/>
        <v>1.8034021180957878E-2</v>
      </c>
      <c r="W74" s="2"/>
      <c r="X74" s="7">
        <f t="shared" si="50"/>
        <v>-48.519999999999982</v>
      </c>
      <c r="Y74" s="2"/>
      <c r="Z74" s="6">
        <f t="shared" si="51"/>
        <v>-1.2129999999999995E-2</v>
      </c>
    </row>
    <row r="75" spans="1:26" s="24" customFormat="1" hidden="1" outlineLevel="2" x14ac:dyDescent="0.25">
      <c r="A75" s="29"/>
      <c r="B75" s="11" t="str">
        <f>CONCATENATE("          ", "6239", " - ", "KITCHEN SUPPLIES")</f>
        <v xml:space="preserve">          6239 - KITCHEN SUPPLIES</v>
      </c>
      <c r="C75" s="11"/>
      <c r="D75" s="7">
        <v>76</v>
      </c>
      <c r="E75" s="2"/>
      <c r="F75" s="6">
        <f t="shared" si="44"/>
        <v>3.5143306078774643E-4</v>
      </c>
      <c r="G75" s="2"/>
      <c r="H75" s="7">
        <v>2000</v>
      </c>
      <c r="I75" s="2"/>
      <c r="J75" s="6">
        <f t="shared" si="45"/>
        <v>9.017010590478939E-3</v>
      </c>
      <c r="K75" s="2"/>
      <c r="L75" s="7">
        <f t="shared" si="46"/>
        <v>-1924</v>
      </c>
      <c r="M75" s="2"/>
      <c r="N75" s="6">
        <f t="shared" si="47"/>
        <v>-0.96199999999999997</v>
      </c>
      <c r="O75" s="11"/>
      <c r="P75" s="7">
        <v>76</v>
      </c>
      <c r="Q75" s="2"/>
      <c r="R75" s="6">
        <f t="shared" si="48"/>
        <v>3.5143306078774643E-4</v>
      </c>
      <c r="S75" s="2"/>
      <c r="T75" s="7">
        <v>2000</v>
      </c>
      <c r="U75" s="2"/>
      <c r="V75" s="6">
        <f t="shared" si="49"/>
        <v>9.017010590478939E-3</v>
      </c>
      <c r="W75" s="2"/>
      <c r="X75" s="7">
        <f t="shared" si="50"/>
        <v>-1924</v>
      </c>
      <c r="Y75" s="2"/>
      <c r="Z75" s="6">
        <f t="shared" si="51"/>
        <v>-0.96199999999999997</v>
      </c>
    </row>
    <row r="76" spans="1:26" s="24" customFormat="1" hidden="1" outlineLevel="2" x14ac:dyDescent="0.25">
      <c r="A76" s="29"/>
      <c r="B76" s="11" t="str">
        <f>CONCATENATE("          ", "6241", " - ", "OFFICE EXPENSE")</f>
        <v xml:space="preserve">          6241 - OFFICE EXPENSE</v>
      </c>
      <c r="C76" s="11"/>
      <c r="D76" s="7">
        <v>533.92999999999995</v>
      </c>
      <c r="E76" s="2"/>
      <c r="F76" s="6">
        <f t="shared" si="44"/>
        <v>2.4689559756105451E-3</v>
      </c>
      <c r="G76" s="2"/>
      <c r="H76" s="7">
        <v>305</v>
      </c>
      <c r="I76" s="2"/>
      <c r="J76" s="6">
        <f t="shared" si="45"/>
        <v>1.375094115048038E-3</v>
      </c>
      <c r="K76" s="2"/>
      <c r="L76" s="7">
        <f t="shared" si="46"/>
        <v>228.92999999999995</v>
      </c>
      <c r="M76" s="2"/>
      <c r="N76" s="6">
        <f t="shared" si="47"/>
        <v>0.75059016393442601</v>
      </c>
      <c r="O76" s="11"/>
      <c r="P76" s="7">
        <v>533.92999999999995</v>
      </c>
      <c r="Q76" s="2"/>
      <c r="R76" s="6">
        <f t="shared" si="48"/>
        <v>2.4689559756105451E-3</v>
      </c>
      <c r="S76" s="2"/>
      <c r="T76" s="7">
        <v>305</v>
      </c>
      <c r="U76" s="2"/>
      <c r="V76" s="6">
        <f t="shared" si="49"/>
        <v>1.375094115048038E-3</v>
      </c>
      <c r="W76" s="2"/>
      <c r="X76" s="7">
        <f t="shared" si="50"/>
        <v>228.92999999999995</v>
      </c>
      <c r="Y76" s="2"/>
      <c r="Z76" s="6">
        <f t="shared" si="51"/>
        <v>0.75059016393442601</v>
      </c>
    </row>
    <row r="77" spans="1:26" s="24" customFormat="1" hidden="1" outlineLevel="2" x14ac:dyDescent="0.25">
      <c r="A77" s="29"/>
      <c r="B77" s="11" t="str">
        <f>CONCATENATE("          ", "6243", " - ", "PAPER SUPPLIES")</f>
        <v xml:space="preserve">          6243 - PAPER SUPPLIES</v>
      </c>
      <c r="C77" s="11"/>
      <c r="D77" s="7">
        <v>1983.31</v>
      </c>
      <c r="E77" s="2"/>
      <c r="F77" s="6">
        <f t="shared" si="44"/>
        <v>9.1710618919861233E-3</v>
      </c>
      <c r="G77" s="2"/>
      <c r="H77" s="7">
        <v>3200</v>
      </c>
      <c r="I77" s="2"/>
      <c r="J77" s="6">
        <f t="shared" si="45"/>
        <v>1.4427216944766301E-2</v>
      </c>
      <c r="K77" s="2"/>
      <c r="L77" s="7">
        <f t="shared" si="46"/>
        <v>-1216.69</v>
      </c>
      <c r="M77" s="2"/>
      <c r="N77" s="6">
        <f t="shared" si="47"/>
        <v>-0.380215625</v>
      </c>
      <c r="O77" s="11"/>
      <c r="P77" s="7">
        <v>1983.31</v>
      </c>
      <c r="Q77" s="2"/>
      <c r="R77" s="6">
        <f t="shared" si="48"/>
        <v>9.1710618919861233E-3</v>
      </c>
      <c r="S77" s="2"/>
      <c r="T77" s="7">
        <v>3200</v>
      </c>
      <c r="U77" s="2"/>
      <c r="V77" s="6">
        <f t="shared" si="49"/>
        <v>1.4427216944766301E-2</v>
      </c>
      <c r="W77" s="2"/>
      <c r="X77" s="7">
        <f t="shared" si="50"/>
        <v>-1216.69</v>
      </c>
      <c r="Y77" s="2"/>
      <c r="Z77" s="6">
        <f t="shared" si="51"/>
        <v>-0.380215625</v>
      </c>
    </row>
    <row r="78" spans="1:26" s="24" customFormat="1" hidden="1" outlineLevel="2" x14ac:dyDescent="0.25">
      <c r="A78" s="29"/>
      <c r="B78" s="11" t="str">
        <f>CONCATENATE("          ", "6248", " - ", "UNIFORMS")</f>
        <v xml:space="preserve">          6248 - UNIFORMS</v>
      </c>
      <c r="C78" s="11"/>
      <c r="D78" s="7">
        <v>1267.8499999999999</v>
      </c>
      <c r="E78" s="2"/>
      <c r="F78" s="6">
        <f t="shared" si="44"/>
        <v>5.862689554207161E-3</v>
      </c>
      <c r="G78" s="2"/>
      <c r="H78" s="7">
        <v>375</v>
      </c>
      <c r="I78" s="2"/>
      <c r="J78" s="6">
        <f t="shared" si="45"/>
        <v>1.6906894857148011E-3</v>
      </c>
      <c r="K78" s="2"/>
      <c r="L78" s="7">
        <f t="shared" si="46"/>
        <v>892.84999999999991</v>
      </c>
      <c r="M78" s="2"/>
      <c r="N78" s="6">
        <f t="shared" si="47"/>
        <v>2.3809333333333331</v>
      </c>
      <c r="O78" s="11"/>
      <c r="P78" s="7">
        <v>1267.8499999999999</v>
      </c>
      <c r="Q78" s="2"/>
      <c r="R78" s="6">
        <f t="shared" si="48"/>
        <v>5.862689554207161E-3</v>
      </c>
      <c r="S78" s="2"/>
      <c r="T78" s="7">
        <v>375</v>
      </c>
      <c r="U78" s="2"/>
      <c r="V78" s="6">
        <f t="shared" si="49"/>
        <v>1.6906894857148011E-3</v>
      </c>
      <c r="W78" s="2"/>
      <c r="X78" s="7">
        <f t="shared" si="50"/>
        <v>892.84999999999991</v>
      </c>
      <c r="Y78" s="2"/>
      <c r="Z78" s="6">
        <f t="shared" si="51"/>
        <v>2.3809333333333331</v>
      </c>
    </row>
    <row r="79" spans="1:26" s="27" customFormat="1" outlineLevel="1" collapsed="1" x14ac:dyDescent="0.25">
      <c r="A79" s="28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SUM(OSRRefD22_13x_0)</f>
        <v>294.85000000000002</v>
      </c>
      <c r="E79" s="1"/>
      <c r="F79" s="5">
        <f t="shared" ref="F79:F84" si="52">IF(D$12=0,0,D79/D$12)</f>
        <v>1.3634215522798294E-3</v>
      </c>
      <c r="G79" s="1"/>
      <c r="H79" s="1">
        <f>SUM(OSRRefH22_13x_0)</f>
        <v>275</v>
      </c>
      <c r="I79" s="1"/>
      <c r="J79" s="5">
        <f t="shared" ref="J79:J84" si="53">IF(H$12=0,0,H79/H$12)</f>
        <v>1.239838956190854E-3</v>
      </c>
      <c r="K79" s="1"/>
      <c r="L79" s="1">
        <f t="shared" ref="L79:L84" si="54">+D79-H79</f>
        <v>19.850000000000023</v>
      </c>
      <c r="M79" s="1"/>
      <c r="N79" s="5">
        <f t="shared" ref="N79:N84" si="55">IF(H79=0,0,L79/H79)</f>
        <v>7.2181818181818264E-2</v>
      </c>
      <c r="O79" s="14"/>
      <c r="P79" s="1">
        <f>SUM(OSRRefP22_13x_0)</f>
        <v>294.85000000000002</v>
      </c>
      <c r="Q79" s="1"/>
      <c r="R79" s="5">
        <f t="shared" ref="R79:R84" si="56">IF(P$12=0,0,P79/P$12)</f>
        <v>1.3634215522798294E-3</v>
      </c>
      <c r="S79" s="1"/>
      <c r="T79" s="1">
        <f>SUM(OSRRefT22_13x_0)</f>
        <v>275</v>
      </c>
      <c r="U79" s="1"/>
      <c r="V79" s="5">
        <f t="shared" ref="V79:V84" si="57">IF(T$12=0,0,T79/T$12)</f>
        <v>1.239838956190854E-3</v>
      </c>
      <c r="W79" s="1"/>
      <c r="X79" s="1">
        <f t="shared" ref="X79:X84" si="58">+P79-T79</f>
        <v>19.850000000000023</v>
      </c>
      <c r="Y79" s="1"/>
      <c r="Z79" s="5">
        <f t="shared" ref="Z79:Z84" si="59">IF(T79=0,0,X79/T79)</f>
        <v>7.2181818181818264E-2</v>
      </c>
    </row>
    <row r="80" spans="1:26" s="24" customFormat="1" hidden="1" outlineLevel="2" x14ac:dyDescent="0.25">
      <c r="A80" s="29"/>
      <c r="B80" s="11" t="str">
        <f>CONCATENATE("          ", "6309", " - ", "TELEPHONE")</f>
        <v xml:space="preserve">          6309 - TELEPHONE</v>
      </c>
      <c r="C80" s="11"/>
      <c r="D80" s="7">
        <v>294.85000000000002</v>
      </c>
      <c r="E80" s="2"/>
      <c r="F80" s="6">
        <f t="shared" si="52"/>
        <v>1.3634215522798294E-3</v>
      </c>
      <c r="G80" s="2"/>
      <c r="H80" s="7">
        <v>275</v>
      </c>
      <c r="I80" s="2"/>
      <c r="J80" s="6">
        <f t="shared" si="53"/>
        <v>1.239838956190854E-3</v>
      </c>
      <c r="K80" s="2"/>
      <c r="L80" s="7">
        <f t="shared" si="54"/>
        <v>19.850000000000023</v>
      </c>
      <c r="M80" s="2"/>
      <c r="N80" s="6">
        <f t="shared" si="55"/>
        <v>7.2181818181818264E-2</v>
      </c>
      <c r="O80" s="11"/>
      <c r="P80" s="7">
        <v>294.85000000000002</v>
      </c>
      <c r="Q80" s="2"/>
      <c r="R80" s="6">
        <f t="shared" si="56"/>
        <v>1.3634215522798294E-3</v>
      </c>
      <c r="S80" s="2"/>
      <c r="T80" s="7">
        <v>275</v>
      </c>
      <c r="U80" s="2"/>
      <c r="V80" s="6">
        <f t="shared" si="57"/>
        <v>1.239838956190854E-3</v>
      </c>
      <c r="W80" s="2"/>
      <c r="X80" s="7">
        <f t="shared" si="58"/>
        <v>19.850000000000023</v>
      </c>
      <c r="Y80" s="2"/>
      <c r="Z80" s="6">
        <f t="shared" si="59"/>
        <v>7.2181818181818264E-2</v>
      </c>
    </row>
    <row r="81" spans="1:26" s="27" customFormat="1" outlineLevel="1" collapsed="1" x14ac:dyDescent="0.25">
      <c r="A81" s="28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SUM(OSRRefD22_14x_0)</f>
        <v>494</v>
      </c>
      <c r="E81" s="1"/>
      <c r="F81" s="5">
        <f t="shared" si="52"/>
        <v>2.2843148951203515E-3</v>
      </c>
      <c r="G81" s="1"/>
      <c r="H81" s="1">
        <f>SUM(OSRRefH22_14x_0)</f>
        <v>700</v>
      </c>
      <c r="I81" s="1"/>
      <c r="J81" s="5">
        <f t="shared" si="53"/>
        <v>3.1559537066676285E-3</v>
      </c>
      <c r="K81" s="1"/>
      <c r="L81" s="1">
        <f t="shared" si="54"/>
        <v>-206</v>
      </c>
      <c r="M81" s="1"/>
      <c r="N81" s="5">
        <f t="shared" si="55"/>
        <v>-0.29428571428571426</v>
      </c>
      <c r="O81" s="14"/>
      <c r="P81" s="1">
        <f>SUM(OSRRefP22_14x_0)</f>
        <v>494</v>
      </c>
      <c r="Q81" s="1"/>
      <c r="R81" s="5">
        <f t="shared" si="56"/>
        <v>2.2843148951203515E-3</v>
      </c>
      <c r="S81" s="1"/>
      <c r="T81" s="1">
        <f>SUM(OSRRefT22_14x_0)</f>
        <v>700</v>
      </c>
      <c r="U81" s="1"/>
      <c r="V81" s="5">
        <f t="shared" si="57"/>
        <v>3.1559537066676285E-3</v>
      </c>
      <c r="W81" s="1"/>
      <c r="X81" s="1">
        <f t="shared" si="58"/>
        <v>-206</v>
      </c>
      <c r="Y81" s="1"/>
      <c r="Z81" s="5">
        <f t="shared" si="59"/>
        <v>-0.29428571428571426</v>
      </c>
    </row>
    <row r="82" spans="1:26" s="24" customFormat="1" hidden="1" outlineLevel="2" x14ac:dyDescent="0.25">
      <c r="A82" s="29"/>
      <c r="B82" s="11" t="str">
        <f>CONCATENATE("          ", "6376", " - ", "TRAINING")</f>
        <v xml:space="preserve">          6376 - TRAINING</v>
      </c>
      <c r="C82" s="11"/>
      <c r="D82" s="7">
        <v>494</v>
      </c>
      <c r="E82" s="2"/>
      <c r="F82" s="6">
        <f t="shared" si="52"/>
        <v>2.2843148951203515E-3</v>
      </c>
      <c r="G82" s="2"/>
      <c r="H82" s="7">
        <v>700</v>
      </c>
      <c r="I82" s="2"/>
      <c r="J82" s="6">
        <f t="shared" si="53"/>
        <v>3.1559537066676285E-3</v>
      </c>
      <c r="K82" s="2"/>
      <c r="L82" s="7">
        <f t="shared" si="54"/>
        <v>-206</v>
      </c>
      <c r="M82" s="2"/>
      <c r="N82" s="6">
        <f t="shared" si="55"/>
        <v>-0.29428571428571426</v>
      </c>
      <c r="O82" s="11"/>
      <c r="P82" s="7">
        <v>494</v>
      </c>
      <c r="Q82" s="2"/>
      <c r="R82" s="6">
        <f t="shared" si="56"/>
        <v>2.2843148951203515E-3</v>
      </c>
      <c r="S82" s="2"/>
      <c r="T82" s="7">
        <v>700</v>
      </c>
      <c r="U82" s="2"/>
      <c r="V82" s="6">
        <f t="shared" si="57"/>
        <v>3.1559537066676285E-3</v>
      </c>
      <c r="W82" s="2"/>
      <c r="X82" s="7">
        <f t="shared" si="58"/>
        <v>-206</v>
      </c>
      <c r="Y82" s="2"/>
      <c r="Z82" s="6">
        <f t="shared" si="59"/>
        <v>-0.29428571428571426</v>
      </c>
    </row>
    <row r="83" spans="1:26" s="27" customFormat="1" outlineLevel="1" collapsed="1" x14ac:dyDescent="0.25">
      <c r="A83" s="28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SUM(OSRRefD22_15x_0)</f>
        <v>59.14</v>
      </c>
      <c r="E83" s="1"/>
      <c r="F83" s="5">
        <f t="shared" si="52"/>
        <v>2.7347041072351742E-4</v>
      </c>
      <c r="G83" s="1"/>
      <c r="H83" s="1">
        <f>SUM(OSRRefH22_15x_0)</f>
        <v>0</v>
      </c>
      <c r="I83" s="1"/>
      <c r="J83" s="5">
        <f t="shared" si="53"/>
        <v>0</v>
      </c>
      <c r="K83" s="1"/>
      <c r="L83" s="1">
        <f t="shared" si="54"/>
        <v>59.14</v>
      </c>
      <c r="M83" s="1"/>
      <c r="N83" s="5">
        <f t="shared" si="55"/>
        <v>0</v>
      </c>
      <c r="O83" s="14"/>
      <c r="P83" s="1">
        <f>SUM(OSRRefP22_15x_0)</f>
        <v>59.14</v>
      </c>
      <c r="Q83" s="1"/>
      <c r="R83" s="5">
        <f t="shared" si="56"/>
        <v>2.7347041072351742E-4</v>
      </c>
      <c r="S83" s="1"/>
      <c r="T83" s="1">
        <f>SUM(OSRRefT22_15x_0)</f>
        <v>0</v>
      </c>
      <c r="U83" s="1"/>
      <c r="V83" s="5">
        <f t="shared" si="57"/>
        <v>0</v>
      </c>
      <c r="W83" s="1"/>
      <c r="X83" s="1">
        <f t="shared" si="58"/>
        <v>59.14</v>
      </c>
      <c r="Y83" s="1"/>
      <c r="Z83" s="5">
        <f t="shared" si="59"/>
        <v>0</v>
      </c>
    </row>
    <row r="84" spans="1:26" s="24" customFormat="1" hidden="1" outlineLevel="2" x14ac:dyDescent="0.25">
      <c r="A84" s="29"/>
      <c r="B84" s="11" t="str">
        <f>CONCATENATE("          ", "6292", " - ", "TRAVEL/CONFERENCE")</f>
        <v xml:space="preserve">          6292 - TRAVEL/CONFERENCE</v>
      </c>
      <c r="C84" s="11"/>
      <c r="D84" s="7">
        <v>59.14</v>
      </c>
      <c r="E84" s="2"/>
      <c r="F84" s="6">
        <f t="shared" si="52"/>
        <v>2.7347041072351742E-4</v>
      </c>
      <c r="G84" s="2"/>
      <c r="H84" s="7"/>
      <c r="I84" s="2"/>
      <c r="J84" s="6">
        <f t="shared" si="53"/>
        <v>0</v>
      </c>
      <c r="K84" s="2"/>
      <c r="L84" s="7">
        <f t="shared" si="54"/>
        <v>59.14</v>
      </c>
      <c r="M84" s="2"/>
      <c r="N84" s="6">
        <f t="shared" si="55"/>
        <v>0</v>
      </c>
      <c r="O84" s="11"/>
      <c r="P84" s="7">
        <v>59.14</v>
      </c>
      <c r="Q84" s="2"/>
      <c r="R84" s="6">
        <f t="shared" si="56"/>
        <v>2.7347041072351742E-4</v>
      </c>
      <c r="S84" s="2"/>
      <c r="T84" s="7"/>
      <c r="U84" s="2"/>
      <c r="V84" s="6">
        <f t="shared" si="57"/>
        <v>0</v>
      </c>
      <c r="W84" s="2"/>
      <c r="X84" s="7">
        <f t="shared" si="58"/>
        <v>59.14</v>
      </c>
      <c r="Y84" s="2"/>
      <c r="Z84" s="6">
        <f t="shared" si="59"/>
        <v>0</v>
      </c>
    </row>
    <row r="85" spans="1:26" s="57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6" t="s">
        <v>3</v>
      </c>
      <c r="C88" s="26"/>
      <c r="D88" s="21">
        <f>+D23-D25+D86</f>
        <v>-13968.399999999994</v>
      </c>
      <c r="E88" s="13"/>
      <c r="F88" s="19">
        <f>IF(D$12=0,0,D88/D$12)</f>
        <v>-6.4591546925099413E-2</v>
      </c>
      <c r="G88" s="13"/>
      <c r="H88" s="21">
        <f>+H23-H25+H86</f>
        <v>-20152.844285780768</v>
      </c>
      <c r="I88" s="13"/>
      <c r="J88" s="19">
        <f>IF(H$12=0,0,H88/H$12)</f>
        <v>-9.0859205176579069E-2</v>
      </c>
      <c r="K88" s="15"/>
      <c r="L88" s="21">
        <f>+D88-H88</f>
        <v>6184.4442857807735</v>
      </c>
      <c r="M88" s="15"/>
      <c r="N88" s="19">
        <f>IF(H88=0,0,L88/H88)</f>
        <v>-0.30687699453641532</v>
      </c>
      <c r="O88" s="25"/>
      <c r="P88" s="21">
        <f>+P23-P25+P86</f>
        <v>-13968.399999999994</v>
      </c>
      <c r="Q88" s="13"/>
      <c r="R88" s="19">
        <f>IF(P$12=0,0,P88/P$12)</f>
        <v>-6.4591546925099413E-2</v>
      </c>
      <c r="S88" s="13"/>
      <c r="T88" s="21">
        <f>+T23-T25+T86</f>
        <v>-20152.844285780768</v>
      </c>
      <c r="U88" s="13"/>
      <c r="V88" s="19">
        <f>IF(T$12=0,0,T88/T$12)</f>
        <v>-9.0859205176579069E-2</v>
      </c>
      <c r="W88" s="15"/>
      <c r="X88" s="21">
        <f>+P88-T88</f>
        <v>6184.4442857807735</v>
      </c>
      <c r="Y88" s="15"/>
      <c r="Z88" s="19">
        <f>IF(T88=0,0,X88/T88)</f>
        <v>-0.30687699453641532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44966.29</v>
      </c>
      <c r="E90" s="4"/>
      <c r="F90" s="12">
        <f>IF(D$12=0,0,D90/D$12)</f>
        <v>0.20792948588117677</v>
      </c>
      <c r="G90" s="4"/>
      <c r="H90" s="4">
        <v>54055</v>
      </c>
      <c r="I90" s="4"/>
      <c r="J90" s="12">
        <f>IF(H$12=0,0,H90/H$12)</f>
        <v>0.24370725373416952</v>
      </c>
      <c r="K90" s="4"/>
      <c r="L90" s="4">
        <f>+D90-H90</f>
        <v>-9088.7099999999991</v>
      </c>
      <c r="M90" s="4"/>
      <c r="N90" s="12">
        <f>IF(H90=0,0,L90/H90)</f>
        <v>-0.16813819258162979</v>
      </c>
      <c r="O90" s="10"/>
      <c r="P90" s="4">
        <v>44966.29</v>
      </c>
      <c r="Q90" s="4"/>
      <c r="R90" s="12">
        <f>IF(P$12=0,0,P90/P$12)</f>
        <v>0.20792948588117677</v>
      </c>
      <c r="S90" s="4"/>
      <c r="T90" s="4">
        <v>54055</v>
      </c>
      <c r="U90" s="4"/>
      <c r="V90" s="12">
        <f>IF(T$12=0,0,T90/T$12)</f>
        <v>0.24370725373416952</v>
      </c>
      <c r="W90" s="4"/>
      <c r="X90" s="4">
        <f>+P90-T90</f>
        <v>-9088.7099999999991</v>
      </c>
      <c r="Y90" s="4"/>
      <c r="Z90" s="12">
        <f>IF(T90=0,0,X90/T90)</f>
        <v>-0.16813819258162979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4</v>
      </c>
      <c r="C92" s="26"/>
      <c r="D92" s="32">
        <f>+D88-D90</f>
        <v>-58934.689999999995</v>
      </c>
      <c r="E92" s="13"/>
      <c r="F92" s="31">
        <f>IF(D$12=0,0,D92/D$12)</f>
        <v>-0.27252103280627615</v>
      </c>
      <c r="G92" s="13"/>
      <c r="H92" s="32">
        <f>+H88-H90</f>
        <v>-74207.844285780768</v>
      </c>
      <c r="I92" s="13"/>
      <c r="J92" s="31">
        <f>IF(H$12=0,0,H92/H$12)</f>
        <v>-0.3345664589107486</v>
      </c>
      <c r="K92" s="15"/>
      <c r="L92" s="32">
        <f>D92-H92</f>
        <v>15273.154285780773</v>
      </c>
      <c r="M92" s="15"/>
      <c r="N92" s="31">
        <f>IF(H92=0,0,L92/H92)</f>
        <v>-0.20581590036442168</v>
      </c>
      <c r="O92" s="25"/>
      <c r="P92" s="32">
        <f>+P88-P90</f>
        <v>-58934.689999999995</v>
      </c>
      <c r="Q92" s="13"/>
      <c r="R92" s="31">
        <f>IF(P$12=0,0,P92/P$12)</f>
        <v>-0.27252103280627615</v>
      </c>
      <c r="S92" s="13"/>
      <c r="T92" s="32">
        <f>+T88-T90</f>
        <v>-74207.844285780768</v>
      </c>
      <c r="U92" s="13"/>
      <c r="V92" s="31">
        <f>IF(T$12=0,0,T92/T$12)</f>
        <v>-0.3345664589107486</v>
      </c>
      <c r="W92" s="15"/>
      <c r="X92" s="32">
        <f>P92-T92</f>
        <v>15273.154285780773</v>
      </c>
      <c r="Y92" s="15"/>
      <c r="Z92" s="31">
        <f>IF(T92=0,0,X92/T92)</f>
        <v>-0.20581590036442168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5</v>
      </c>
      <c r="C95" s="26"/>
      <c r="D95" s="33">
        <f>SUM(D92:D94)</f>
        <v>-58934.689999999995</v>
      </c>
      <c r="E95" s="13"/>
      <c r="F95" s="34">
        <f>IF(D$12=0,0,D95/D$12)</f>
        <v>-0.27252103280627615</v>
      </c>
      <c r="G95" s="13"/>
      <c r="H95" s="33">
        <f>SUM(H92:H94)</f>
        <v>-74207.844285780768</v>
      </c>
      <c r="I95" s="13"/>
      <c r="J95" s="34">
        <f>IF(H$12=0,0,H95/H$12)</f>
        <v>-0.3345664589107486</v>
      </c>
      <c r="K95" s="15"/>
      <c r="L95" s="33">
        <f>+D95-H95</f>
        <v>15273.154285780773</v>
      </c>
      <c r="M95" s="15"/>
      <c r="N95" s="34">
        <f>IF(H95=0,0,L95/H95)</f>
        <v>-0.20581590036442168</v>
      </c>
      <c r="O95" s="25"/>
      <c r="P95" s="33">
        <f>SUM(P92:P94)</f>
        <v>-58934.689999999995</v>
      </c>
      <c r="Q95" s="13"/>
      <c r="R95" s="34">
        <f>IF(P$12=0,0,P95/P$12)</f>
        <v>-0.27252103280627615</v>
      </c>
      <c r="S95" s="13"/>
      <c r="T95" s="33">
        <f>SUM(T92:T94)</f>
        <v>-74207.844285780768</v>
      </c>
      <c r="U95" s="13"/>
      <c r="V95" s="34">
        <f>IF(T$12=0,0,T95/T$12)</f>
        <v>-0.3345664589107486</v>
      </c>
      <c r="W95" s="15"/>
      <c r="X95" s="33">
        <f>+P95-T95</f>
        <v>15273.154285780773</v>
      </c>
      <c r="Y95" s="15"/>
      <c r="Z95" s="34">
        <f>IF(T95=0,0,X95/T95)</f>
        <v>-0.20581590036442168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61">
        <v>43726.679201388892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6" t="s">
        <v>314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A99" s="9"/>
      <c r="B99" s="53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25"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","445", " - ", "Central Park Coffee House")</f>
        <v>Department 445 - Central Park Coffee House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5"/>
      <c r="L16" s="21">
        <f>+D16-H16</f>
        <v>0</v>
      </c>
      <c r="M16" s="15"/>
      <c r="N16" s="19">
        <f>IF(H16=0,0,L16/H16)</f>
        <v>0</v>
      </c>
      <c r="O16" s="25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5"/>
      <c r="X16" s="21">
        <f>+P16-T16</f>
        <v>0</v>
      </c>
      <c r="Y16" s="15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7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1">
        <f>+D16-D18+D20</f>
        <v>0</v>
      </c>
      <c r="E22" s="13"/>
      <c r="F22" s="19">
        <f>IF(D$12=0,0,D22/D$12)</f>
        <v>0</v>
      </c>
      <c r="G22" s="13"/>
      <c r="H22" s="21">
        <f>+H16-H18+H20</f>
        <v>0</v>
      </c>
      <c r="I22" s="13"/>
      <c r="J22" s="19">
        <f>IF(H$12=0,0,H22/H$12)</f>
        <v>0</v>
      </c>
      <c r="K22" s="15"/>
      <c r="L22" s="21">
        <f>+D22-H22</f>
        <v>0</v>
      </c>
      <c r="M22" s="15"/>
      <c r="N22" s="19">
        <f>IF(H22=0,0,L22/H22)</f>
        <v>0</v>
      </c>
      <c r="O22" s="25"/>
      <c r="P22" s="21">
        <f>+P16-P18+P20</f>
        <v>0</v>
      </c>
      <c r="Q22" s="13"/>
      <c r="R22" s="19">
        <f>IF(P$12=0,0,P22/P$12)</f>
        <v>0</v>
      </c>
      <c r="S22" s="13"/>
      <c r="T22" s="21">
        <f>+T16-T18+T20</f>
        <v>0</v>
      </c>
      <c r="U22" s="13"/>
      <c r="V22" s="19">
        <f>IF(T$12=0,0,T22/T$12)</f>
        <v>0</v>
      </c>
      <c r="W22" s="15"/>
      <c r="X22" s="21">
        <f>+P22-T22</f>
        <v>0</v>
      </c>
      <c r="Y22" s="15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2">
        <f>+D22-D24</f>
        <v>0</v>
      </c>
      <c r="E26" s="13"/>
      <c r="F26" s="31">
        <f>IF(D$12=0,0,D26/D$12)</f>
        <v>0</v>
      </c>
      <c r="G26" s="13"/>
      <c r="H26" s="32">
        <f>+H22-H24</f>
        <v>0</v>
      </c>
      <c r="I26" s="13"/>
      <c r="J26" s="31">
        <f>IF(H$12=0,0,H26/H$12)</f>
        <v>0</v>
      </c>
      <c r="K26" s="15"/>
      <c r="L26" s="32">
        <f>D26-H26</f>
        <v>0</v>
      </c>
      <c r="M26" s="15"/>
      <c r="N26" s="31">
        <f>IF(H26=0,0,L26/H26)</f>
        <v>0</v>
      </c>
      <c r="O26" s="25"/>
      <c r="P26" s="32">
        <f>+P22-P24</f>
        <v>0</v>
      </c>
      <c r="Q26" s="13"/>
      <c r="R26" s="31">
        <f>IF(P$12=0,0,P26/P$12)</f>
        <v>0</v>
      </c>
      <c r="S26" s="13"/>
      <c r="T26" s="32">
        <f>+T22-T24</f>
        <v>0</v>
      </c>
      <c r="U26" s="13"/>
      <c r="V26" s="31">
        <f>IF(T$12=0,0,T26/T$12)</f>
        <v>0</v>
      </c>
      <c r="W26" s="15"/>
      <c r="X26" s="32">
        <f>P26-T26</f>
        <v>0</v>
      </c>
      <c r="Y26" s="15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6" t="s">
        <v>5</v>
      </c>
      <c r="C29" s="26"/>
      <c r="D29" s="33">
        <f>SUM(D26:D28)</f>
        <v>0</v>
      </c>
      <c r="E29" s="13"/>
      <c r="F29" s="34">
        <f>IF(D$12=0,0,D29/D$12)</f>
        <v>0</v>
      </c>
      <c r="G29" s="13"/>
      <c r="H29" s="33">
        <f>SUM(H26:H28)</f>
        <v>0</v>
      </c>
      <c r="I29" s="13"/>
      <c r="J29" s="34">
        <f>IF(H$12=0,0,H29/H$12)</f>
        <v>0</v>
      </c>
      <c r="K29" s="15"/>
      <c r="L29" s="33">
        <f>+D29-H29</f>
        <v>0</v>
      </c>
      <c r="M29" s="15"/>
      <c r="N29" s="34">
        <f>IF(H29=0,0,L29/H29)</f>
        <v>0</v>
      </c>
      <c r="O29" s="25"/>
      <c r="P29" s="33">
        <f>SUM(P26:P28)</f>
        <v>0</v>
      </c>
      <c r="Q29" s="13"/>
      <c r="R29" s="34">
        <f>IF(P$12=0,0,P29/P$12)</f>
        <v>0</v>
      </c>
      <c r="S29" s="13"/>
      <c r="T29" s="33">
        <f>SUM(T26:T28)</f>
        <v>0</v>
      </c>
      <c r="U29" s="13"/>
      <c r="V29" s="34">
        <f>IF(T$12=0,0,T29/T$12)</f>
        <v>0</v>
      </c>
      <c r="W29" s="15"/>
      <c r="X29" s="33">
        <f>+P29-T29</f>
        <v>0</v>
      </c>
      <c r="Y29" s="15"/>
      <c r="Z29" s="34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2"/>
      <c r="K30" s="17"/>
      <c r="L30" s="17"/>
      <c r="M30" s="17"/>
      <c r="P30" s="17"/>
      <c r="Q30" s="17"/>
      <c r="R30" s="42"/>
      <c r="S30" s="17"/>
      <c r="T30" s="17"/>
      <c r="U30" s="17"/>
      <c r="V30" s="42"/>
      <c r="W30" s="17"/>
      <c r="X30" s="17"/>
    </row>
    <row r="31" spans="1:26" x14ac:dyDescent="0.25">
      <c r="A31" s="9"/>
      <c r="B31" s="61">
        <v>43726.679218865742</v>
      </c>
      <c r="D31" s="17"/>
      <c r="E31" s="17"/>
      <c r="G31" s="17"/>
      <c r="H31" s="17"/>
      <c r="I31" s="17"/>
      <c r="J31" s="42"/>
      <c r="K31" s="17"/>
      <c r="L31" s="17"/>
      <c r="M31" s="17"/>
      <c r="P31" s="17"/>
      <c r="Q31" s="17"/>
      <c r="R31" s="42"/>
      <c r="S31" s="17"/>
      <c r="T31" s="17"/>
      <c r="U31" s="17"/>
      <c r="V31" s="42"/>
      <c r="W31" s="17"/>
      <c r="X31" s="17"/>
    </row>
    <row r="32" spans="1:26" x14ac:dyDescent="0.25">
      <c r="A32" s="9"/>
      <c r="B32" s="56" t="s">
        <v>314</v>
      </c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3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","450", " - ", "Beachside Dining Hall")</f>
        <v>Department 450 - Beachside Dining Hall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46676.84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46676.84</v>
      </c>
      <c r="M12" s="4"/>
      <c r="N12" s="12">
        <f t="shared" ref="N12:N14" si="1">IF(H12=0,0,L12/H12)</f>
        <v>0</v>
      </c>
      <c r="O12" s="10"/>
      <c r="P12" s="4">
        <f>SUM(OSRRefP13x_0)</f>
        <v>46676.84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46676.84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"4151", " - ", "NON-TAXABLE SALES-FOOD")</f>
        <v xml:space="preserve">          4151 - NON-TAXABLE SALES-FOOD</v>
      </c>
      <c r="C13" s="11"/>
      <c r="D13" s="2">
        <f>--46016.1</f>
        <v>46016.1</v>
      </c>
      <c r="E13" s="2"/>
      <c r="F13" s="22"/>
      <c r="G13" s="2"/>
      <c r="H13" s="2"/>
      <c r="I13" s="2"/>
      <c r="J13" s="22"/>
      <c r="K13" s="2"/>
      <c r="L13" s="2">
        <f t="shared" si="0"/>
        <v>46016.1</v>
      </c>
      <c r="M13" s="2"/>
      <c r="N13" s="22">
        <f t="shared" si="1"/>
        <v>0</v>
      </c>
      <c r="O13" s="11"/>
      <c r="P13" s="2">
        <f>--46016.1</f>
        <v>46016.1</v>
      </c>
      <c r="Q13" s="2"/>
      <c r="R13" s="22"/>
      <c r="S13" s="2"/>
      <c r="T13" s="2"/>
      <c r="U13" s="2"/>
      <c r="V13" s="22"/>
      <c r="W13" s="2"/>
      <c r="X13" s="2">
        <f t="shared" si="2"/>
        <v>46016.1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"4153", " - ", "NON-TAXABLE SALES-FOOD")</f>
        <v xml:space="preserve">          4153 - NON-TAXABLE SALES-FOOD</v>
      </c>
      <c r="C14" s="11"/>
      <c r="D14" s="2">
        <f>--660.74</f>
        <v>660.74</v>
      </c>
      <c r="E14" s="2"/>
      <c r="F14" s="22"/>
      <c r="G14" s="2"/>
      <c r="H14" s="2"/>
      <c r="I14" s="2"/>
      <c r="J14" s="22"/>
      <c r="K14" s="2"/>
      <c r="L14" s="2">
        <f t="shared" si="0"/>
        <v>660.74</v>
      </c>
      <c r="M14" s="2"/>
      <c r="N14" s="22">
        <f t="shared" si="1"/>
        <v>0</v>
      </c>
      <c r="O14" s="11"/>
      <c r="P14" s="2">
        <f>--660.74</f>
        <v>660.74</v>
      </c>
      <c r="Q14" s="2"/>
      <c r="R14" s="22"/>
      <c r="S14" s="2"/>
      <c r="T14" s="2"/>
      <c r="U14" s="2"/>
      <c r="V14" s="22"/>
      <c r="W14" s="2"/>
      <c r="X14" s="2">
        <f t="shared" si="2"/>
        <v>660.74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8182.29</v>
      </c>
      <c r="E16" s="4"/>
      <c r="F16" s="12">
        <f t="shared" ref="F16:F18" si="4">IF(D$12=0,0,D16/D$12)</f>
        <v>0.17529657106179425</v>
      </c>
      <c r="G16" s="4"/>
      <c r="H16" s="4">
        <f>SUM(OSRRefH16x_0)</f>
        <v>0</v>
      </c>
      <c r="I16" s="4"/>
      <c r="J16" s="12">
        <f t="shared" ref="J16:J18" si="5">IF(H$12=0,0,H16/H$12)</f>
        <v>0</v>
      </c>
      <c r="K16" s="4"/>
      <c r="L16" s="4">
        <f t="shared" ref="L16:L18" si="6">+D16-H16</f>
        <v>8182.29</v>
      </c>
      <c r="M16" s="4"/>
      <c r="N16" s="12">
        <f t="shared" ref="N16:N18" si="7">IF(H16=0,0,L16/H16)</f>
        <v>0</v>
      </c>
      <c r="O16" s="10"/>
      <c r="P16" s="4">
        <f>SUM(OSRRefP16x_0)</f>
        <v>8182.29</v>
      </c>
      <c r="Q16" s="4"/>
      <c r="R16" s="12">
        <f t="shared" ref="R16:R18" si="8">IF(P$12=0,0,P16/P$12)</f>
        <v>0.17529657106179425</v>
      </c>
      <c r="S16" s="4"/>
      <c r="T16" s="4">
        <f>SUM(OSRRefT16x_0)</f>
        <v>0</v>
      </c>
      <c r="U16" s="4"/>
      <c r="V16" s="12">
        <f t="shared" ref="V16:V18" si="9">IF(T$12=0,0,T16/T$12)</f>
        <v>0</v>
      </c>
      <c r="W16" s="4"/>
      <c r="X16" s="4">
        <f t="shared" ref="X16:X18" si="10">+P16-T16</f>
        <v>8182.29</v>
      </c>
      <c r="Y16" s="4"/>
      <c r="Z16" s="12">
        <f t="shared" ref="Z16:Z18" si="11">IF(T16=0,0,X16/T16)</f>
        <v>0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>
        <v>7220.29</v>
      </c>
      <c r="E17" s="2"/>
      <c r="F17" s="22">
        <f t="shared" si="4"/>
        <v>0.15468677828233446</v>
      </c>
      <c r="G17" s="2"/>
      <c r="H17" s="2"/>
      <c r="I17" s="2"/>
      <c r="J17" s="22">
        <f t="shared" si="5"/>
        <v>0</v>
      </c>
      <c r="K17" s="2"/>
      <c r="L17" s="2">
        <f t="shared" si="6"/>
        <v>7220.29</v>
      </c>
      <c r="M17" s="2"/>
      <c r="N17" s="22">
        <f t="shared" si="7"/>
        <v>0</v>
      </c>
      <c r="O17" s="11"/>
      <c r="P17" s="2">
        <v>7220.29</v>
      </c>
      <c r="Q17" s="2"/>
      <c r="R17" s="22">
        <f t="shared" si="8"/>
        <v>0.15468677828233446</v>
      </c>
      <c r="S17" s="2"/>
      <c r="T17" s="2"/>
      <c r="U17" s="2"/>
      <c r="V17" s="22">
        <f t="shared" si="9"/>
        <v>0</v>
      </c>
      <c r="W17" s="2"/>
      <c r="X17" s="2">
        <f t="shared" si="10"/>
        <v>7220.29</v>
      </c>
      <c r="Y17" s="2"/>
      <c r="Z17" s="22">
        <f t="shared" si="11"/>
        <v>0</v>
      </c>
    </row>
    <row r="18" spans="1:26" s="24" customFormat="1" hidden="1" outlineLevel="1" x14ac:dyDescent="0.25">
      <c r="A18" s="51"/>
      <c r="B18" s="11" t="str">
        <f>CONCATENATE("          ", "5059", " - ", "PURCHASES @ COST-FOOD")</f>
        <v xml:space="preserve">          5059 - PURCHASES @ COST-FOOD</v>
      </c>
      <c r="C18" s="11"/>
      <c r="D18" s="2">
        <v>962</v>
      </c>
      <c r="E18" s="2"/>
      <c r="F18" s="22">
        <f t="shared" si="4"/>
        <v>2.0609792779459794E-2</v>
      </c>
      <c r="G18" s="2"/>
      <c r="H18" s="2"/>
      <c r="I18" s="2"/>
      <c r="J18" s="22">
        <f t="shared" si="5"/>
        <v>0</v>
      </c>
      <c r="K18" s="2"/>
      <c r="L18" s="2">
        <f t="shared" si="6"/>
        <v>962</v>
      </c>
      <c r="M18" s="2"/>
      <c r="N18" s="22">
        <f t="shared" si="7"/>
        <v>0</v>
      </c>
      <c r="O18" s="11"/>
      <c r="P18" s="2">
        <v>962</v>
      </c>
      <c r="Q18" s="2"/>
      <c r="R18" s="22">
        <f t="shared" si="8"/>
        <v>2.0609792779459794E-2</v>
      </c>
      <c r="S18" s="2"/>
      <c r="T18" s="2"/>
      <c r="U18" s="2"/>
      <c r="V18" s="22">
        <f t="shared" si="9"/>
        <v>0</v>
      </c>
      <c r="W18" s="2"/>
      <c r="X18" s="2">
        <f t="shared" si="10"/>
        <v>962</v>
      </c>
      <c r="Y18" s="2"/>
      <c r="Z18" s="22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1">
        <f>D12-D16</f>
        <v>38494.549999999996</v>
      </c>
      <c r="E20" s="13"/>
      <c r="F20" s="19">
        <f>IF(D$12=0,0,D20/D$12)</f>
        <v>0.8247034289382057</v>
      </c>
      <c r="G20" s="13"/>
      <c r="H20" s="21">
        <f>H12-H16</f>
        <v>0</v>
      </c>
      <c r="I20" s="13"/>
      <c r="J20" s="19">
        <f>IF(H$12=0,0,H20/H$12)</f>
        <v>0</v>
      </c>
      <c r="K20" s="15"/>
      <c r="L20" s="21">
        <f>+D20-H20</f>
        <v>38494.549999999996</v>
      </c>
      <c r="M20" s="15"/>
      <c r="N20" s="19">
        <f>IF(H20=0,0,L20/H20)</f>
        <v>0</v>
      </c>
      <c r="O20" s="25"/>
      <c r="P20" s="21">
        <f>P12-P16</f>
        <v>38494.549999999996</v>
      </c>
      <c r="Q20" s="13"/>
      <c r="R20" s="19">
        <f>IF(P$12=0,0,P20/P$12)</f>
        <v>0.8247034289382057</v>
      </c>
      <c r="S20" s="13"/>
      <c r="T20" s="21">
        <f>T12-T16</f>
        <v>0</v>
      </c>
      <c r="U20" s="13"/>
      <c r="V20" s="19">
        <f>IF(T$12=0,0,T20/T$12)</f>
        <v>0</v>
      </c>
      <c r="W20" s="15"/>
      <c r="X20" s="21">
        <f>+P20-T20</f>
        <v>38494.549999999996</v>
      </c>
      <c r="Y20" s="15"/>
      <c r="Z20" s="19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88511.87999999999</v>
      </c>
      <c r="E22" s="20"/>
      <c r="F22" s="30">
        <f t="shared" ref="F22:F33" si="12">IF(D$12=0,0,D22/D$12)</f>
        <v>1.8962697560503239</v>
      </c>
      <c r="G22" s="20"/>
      <c r="H22" s="20">
        <f>SUM(OSRRefH22x_0)</f>
        <v>48304.146450122294</v>
      </c>
      <c r="I22" s="20"/>
      <c r="J22" s="30">
        <f t="shared" ref="J22:J33" si="13">IF(H$12=0,0,H22/H$12)</f>
        <v>0</v>
      </c>
      <c r="K22" s="4"/>
      <c r="L22" s="20">
        <f t="shared" ref="L22:L33" si="14">+D22-H22</f>
        <v>40207.733549877696</v>
      </c>
      <c r="M22" s="4"/>
      <c r="N22" s="30">
        <f t="shared" ref="N22:N33" si="15">IF(H22=0,0,L22/H22)</f>
        <v>0.83238679295151685</v>
      </c>
      <c r="O22" s="10"/>
      <c r="P22" s="20">
        <f>SUM(OSRRefP22x_0)</f>
        <v>88511.87999999999</v>
      </c>
      <c r="Q22" s="20"/>
      <c r="R22" s="30">
        <f t="shared" ref="R22:R33" si="16">IF(P$12=0,0,P22/P$12)</f>
        <v>1.8962697560503239</v>
      </c>
      <c r="S22" s="20"/>
      <c r="T22" s="20">
        <f>SUM(OSRRefT22x_0)</f>
        <v>48304.146450122294</v>
      </c>
      <c r="U22" s="20"/>
      <c r="V22" s="30">
        <f t="shared" ref="V22:V33" si="17">IF(T$12=0,0,T22/T$12)</f>
        <v>0</v>
      </c>
      <c r="W22" s="4"/>
      <c r="X22" s="20">
        <f t="shared" ref="X22:X33" si="18">+P22-T22</f>
        <v>40207.733549877696</v>
      </c>
      <c r="Y22" s="4"/>
      <c r="Z22" s="30">
        <f t="shared" ref="Z22:Z33" si="19">IF(T22=0,0,X22/T22)</f>
        <v>0.83238679295151685</v>
      </c>
    </row>
    <row r="23" spans="1:26" s="27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26185.91</v>
      </c>
      <c r="E23" s="1"/>
      <c r="F23" s="5">
        <f t="shared" si="12"/>
        <v>0.56100434391017051</v>
      </c>
      <c r="G23" s="1"/>
      <c r="H23" s="1">
        <f>SUM(OSRRefH22_0x_0)</f>
        <v>15212.847106276144</v>
      </c>
      <c r="I23" s="1"/>
      <c r="J23" s="5">
        <f t="shared" si="13"/>
        <v>0</v>
      </c>
      <c r="K23" s="1"/>
      <c r="L23" s="1">
        <f t="shared" si="14"/>
        <v>10973.062893723856</v>
      </c>
      <c r="M23" s="1"/>
      <c r="N23" s="5">
        <f t="shared" si="15"/>
        <v>0.72130238456132634</v>
      </c>
      <c r="O23" s="14"/>
      <c r="P23" s="1">
        <f>SUM(OSRRefP22_0x_0)</f>
        <v>26185.91</v>
      </c>
      <c r="Q23" s="1"/>
      <c r="R23" s="5">
        <f t="shared" si="16"/>
        <v>0.56100434391017051</v>
      </c>
      <c r="S23" s="1"/>
      <c r="T23" s="1">
        <f>SUM(OSRRefT22_0x_0)</f>
        <v>15212.847106276144</v>
      </c>
      <c r="U23" s="1"/>
      <c r="V23" s="5">
        <f t="shared" si="17"/>
        <v>0</v>
      </c>
      <c r="W23" s="1"/>
      <c r="X23" s="1">
        <f t="shared" si="18"/>
        <v>10973.062893723856</v>
      </c>
      <c r="Y23" s="1"/>
      <c r="Z23" s="5">
        <f t="shared" si="19"/>
        <v>0.72130238456132634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2465.91</v>
      </c>
      <c r="E24" s="2"/>
      <c r="F24" s="6">
        <f t="shared" si="12"/>
        <v>5.2829411759664963E-2</v>
      </c>
      <c r="G24" s="2"/>
      <c r="H24" s="7">
        <v>1680.2777448761499</v>
      </c>
      <c r="I24" s="2"/>
      <c r="J24" s="6">
        <f t="shared" si="13"/>
        <v>0</v>
      </c>
      <c r="K24" s="2"/>
      <c r="L24" s="7">
        <f t="shared" si="14"/>
        <v>785.63225512384997</v>
      </c>
      <c r="M24" s="2"/>
      <c r="N24" s="6">
        <f t="shared" si="15"/>
        <v>0.46756094789659758</v>
      </c>
      <c r="O24" s="11"/>
      <c r="P24" s="7">
        <v>2465.91</v>
      </c>
      <c r="Q24" s="2"/>
      <c r="R24" s="6">
        <f t="shared" si="16"/>
        <v>5.2829411759664963E-2</v>
      </c>
      <c r="S24" s="2"/>
      <c r="T24" s="7">
        <v>1680.2777448761499</v>
      </c>
      <c r="U24" s="2"/>
      <c r="V24" s="6">
        <f t="shared" si="17"/>
        <v>0</v>
      </c>
      <c r="W24" s="2"/>
      <c r="X24" s="7">
        <f t="shared" si="18"/>
        <v>785.63225512384997</v>
      </c>
      <c r="Y24" s="2"/>
      <c r="Z24" s="6">
        <f t="shared" si="19"/>
        <v>0.46756094789659758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1506.57</v>
      </c>
      <c r="E25" s="2"/>
      <c r="F25" s="6">
        <f t="shared" si="12"/>
        <v>3.2276606556913452E-2</v>
      </c>
      <c r="G25" s="2"/>
      <c r="H25" s="7">
        <v>1047.2917280307699</v>
      </c>
      <c r="I25" s="2"/>
      <c r="J25" s="6">
        <f t="shared" si="13"/>
        <v>0</v>
      </c>
      <c r="K25" s="2"/>
      <c r="L25" s="7">
        <f t="shared" si="14"/>
        <v>459.27827196922999</v>
      </c>
      <c r="M25" s="2"/>
      <c r="N25" s="6">
        <f t="shared" si="15"/>
        <v>0.43853900463132101</v>
      </c>
      <c r="O25" s="11"/>
      <c r="P25" s="7">
        <v>1506.57</v>
      </c>
      <c r="Q25" s="2"/>
      <c r="R25" s="6">
        <f t="shared" si="16"/>
        <v>3.2276606556913452E-2</v>
      </c>
      <c r="S25" s="2"/>
      <c r="T25" s="7">
        <v>1047.2917280307699</v>
      </c>
      <c r="U25" s="2"/>
      <c r="V25" s="6">
        <f t="shared" si="17"/>
        <v>0</v>
      </c>
      <c r="W25" s="2"/>
      <c r="X25" s="7">
        <f t="shared" si="18"/>
        <v>459.27827196922999</v>
      </c>
      <c r="Y25" s="2"/>
      <c r="Z25" s="6">
        <f t="shared" si="19"/>
        <v>0.43853900463132101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11103.19</v>
      </c>
      <c r="E26" s="2"/>
      <c r="F26" s="6">
        <f t="shared" si="12"/>
        <v>0.23787364354570706</v>
      </c>
      <c r="G26" s="2"/>
      <c r="H26" s="7">
        <v>10500.692307692299</v>
      </c>
      <c r="I26" s="2"/>
      <c r="J26" s="6">
        <f t="shared" si="13"/>
        <v>0</v>
      </c>
      <c r="K26" s="2"/>
      <c r="L26" s="7">
        <f t="shared" si="14"/>
        <v>602.49769230770107</v>
      </c>
      <c r="M26" s="2"/>
      <c r="N26" s="6">
        <f t="shared" si="15"/>
        <v>5.7376949505161715E-2</v>
      </c>
      <c r="O26" s="11"/>
      <c r="P26" s="7">
        <v>11103.19</v>
      </c>
      <c r="Q26" s="2"/>
      <c r="R26" s="6">
        <f t="shared" si="16"/>
        <v>0.23787364354570706</v>
      </c>
      <c r="S26" s="2"/>
      <c r="T26" s="7">
        <v>10500.692307692299</v>
      </c>
      <c r="U26" s="2"/>
      <c r="V26" s="6">
        <f t="shared" si="17"/>
        <v>0</v>
      </c>
      <c r="W26" s="2"/>
      <c r="X26" s="7">
        <f t="shared" si="18"/>
        <v>602.49769230770107</v>
      </c>
      <c r="Y26" s="2"/>
      <c r="Z26" s="6">
        <f t="shared" si="19"/>
        <v>5.7376949505161715E-2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100.98</v>
      </c>
      <c r="E27" s="2"/>
      <c r="F27" s="6">
        <f t="shared" si="12"/>
        <v>2.1633855248127339E-3</v>
      </c>
      <c r="G27" s="2"/>
      <c r="H27" s="7">
        <v>70.179342599999998</v>
      </c>
      <c r="I27" s="2"/>
      <c r="J27" s="6">
        <f t="shared" si="13"/>
        <v>0</v>
      </c>
      <c r="K27" s="2"/>
      <c r="L27" s="7">
        <f t="shared" si="14"/>
        <v>30.800657400000006</v>
      </c>
      <c r="M27" s="2"/>
      <c r="N27" s="6">
        <f t="shared" si="15"/>
        <v>0.43888495188041282</v>
      </c>
      <c r="O27" s="11"/>
      <c r="P27" s="7">
        <v>100.98</v>
      </c>
      <c r="Q27" s="2"/>
      <c r="R27" s="6">
        <f t="shared" si="16"/>
        <v>2.1633855248127339E-3</v>
      </c>
      <c r="S27" s="2"/>
      <c r="T27" s="7">
        <v>70.179342599999998</v>
      </c>
      <c r="U27" s="2"/>
      <c r="V27" s="6">
        <f t="shared" si="17"/>
        <v>0</v>
      </c>
      <c r="W27" s="2"/>
      <c r="X27" s="7">
        <f t="shared" si="18"/>
        <v>30.800657400000006</v>
      </c>
      <c r="Y27" s="2"/>
      <c r="Z27" s="6">
        <f t="shared" si="19"/>
        <v>0.43888495188041282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959.64</v>
      </c>
      <c r="E28" s="2"/>
      <c r="F28" s="6">
        <f t="shared" si="12"/>
        <v>2.0559232373056961E-2</v>
      </c>
      <c r="G28" s="2"/>
      <c r="H28" s="7">
        <v>504.65048076923097</v>
      </c>
      <c r="I28" s="2"/>
      <c r="J28" s="6">
        <f t="shared" si="13"/>
        <v>0</v>
      </c>
      <c r="K28" s="2"/>
      <c r="L28" s="7">
        <f t="shared" si="14"/>
        <v>454.98951923076902</v>
      </c>
      <c r="M28" s="2"/>
      <c r="N28" s="6">
        <f t="shared" si="15"/>
        <v>0.90159335335861668</v>
      </c>
      <c r="O28" s="11"/>
      <c r="P28" s="7">
        <v>959.64</v>
      </c>
      <c r="Q28" s="2"/>
      <c r="R28" s="6">
        <f t="shared" si="16"/>
        <v>2.0559232373056961E-2</v>
      </c>
      <c r="S28" s="2"/>
      <c r="T28" s="7">
        <v>504.65048076923097</v>
      </c>
      <c r="U28" s="2"/>
      <c r="V28" s="6">
        <f t="shared" si="17"/>
        <v>0</v>
      </c>
      <c r="W28" s="2"/>
      <c r="X28" s="7">
        <f t="shared" si="18"/>
        <v>454.98951923076902</v>
      </c>
      <c r="Y28" s="2"/>
      <c r="Z28" s="6">
        <f t="shared" si="19"/>
        <v>0.90159335335861668</v>
      </c>
    </row>
    <row r="29" spans="1:26" s="24" customFormat="1" hidden="1" outlineLevel="2" x14ac:dyDescent="0.25">
      <c r="A29" s="29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7">
        <v>257.97000000000003</v>
      </c>
      <c r="E30" s="2"/>
      <c r="F30" s="6">
        <f t="shared" si="12"/>
        <v>5.52672374565202E-3</v>
      </c>
      <c r="G30" s="2"/>
      <c r="H30" s="7"/>
      <c r="I30" s="2"/>
      <c r="J30" s="6">
        <f t="shared" si="13"/>
        <v>0</v>
      </c>
      <c r="K30" s="2"/>
      <c r="L30" s="7">
        <f t="shared" si="14"/>
        <v>257.97000000000003</v>
      </c>
      <c r="M30" s="2"/>
      <c r="N30" s="6">
        <f t="shared" si="15"/>
        <v>0</v>
      </c>
      <c r="O30" s="11"/>
      <c r="P30" s="7">
        <v>257.97000000000003</v>
      </c>
      <c r="Q30" s="2"/>
      <c r="R30" s="6">
        <f t="shared" si="16"/>
        <v>5.52672374565202E-3</v>
      </c>
      <c r="S30" s="2"/>
      <c r="T30" s="7"/>
      <c r="U30" s="2"/>
      <c r="V30" s="6">
        <f t="shared" si="17"/>
        <v>0</v>
      </c>
      <c r="W30" s="2"/>
      <c r="X30" s="7">
        <f t="shared" si="18"/>
        <v>257.97000000000003</v>
      </c>
      <c r="Y30" s="2"/>
      <c r="Z30" s="6">
        <f t="shared" si="19"/>
        <v>0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7">
        <v>2812.61</v>
      </c>
      <c r="E31" s="2"/>
      <c r="F31" s="6">
        <f t="shared" si="12"/>
        <v>6.0257078242657393E-2</v>
      </c>
      <c r="G31" s="2"/>
      <c r="H31" s="7">
        <v>658.67414538461503</v>
      </c>
      <c r="I31" s="2"/>
      <c r="J31" s="6">
        <f t="shared" si="13"/>
        <v>0</v>
      </c>
      <c r="K31" s="2"/>
      <c r="L31" s="7">
        <f t="shared" si="14"/>
        <v>2153.9358546153853</v>
      </c>
      <c r="M31" s="2"/>
      <c r="N31" s="6">
        <f t="shared" si="15"/>
        <v>3.2701083983760322</v>
      </c>
      <c r="O31" s="11"/>
      <c r="P31" s="7">
        <v>2812.61</v>
      </c>
      <c r="Q31" s="2"/>
      <c r="R31" s="6">
        <f t="shared" si="16"/>
        <v>6.0257078242657393E-2</v>
      </c>
      <c r="S31" s="2"/>
      <c r="T31" s="7">
        <v>658.67414538461503</v>
      </c>
      <c r="U31" s="2"/>
      <c r="V31" s="6">
        <f t="shared" si="17"/>
        <v>0</v>
      </c>
      <c r="W31" s="2"/>
      <c r="X31" s="7">
        <f t="shared" si="18"/>
        <v>2153.9358546153853</v>
      </c>
      <c r="Y31" s="2"/>
      <c r="Z31" s="6">
        <f t="shared" si="19"/>
        <v>3.2701083983760322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7">
        <v>5970.13</v>
      </c>
      <c r="E32" s="2"/>
      <c r="F32" s="6">
        <f t="shared" si="12"/>
        <v>0.12790347418548473</v>
      </c>
      <c r="G32" s="2"/>
      <c r="H32" s="7">
        <v>751.08135692307701</v>
      </c>
      <c r="I32" s="2"/>
      <c r="J32" s="6">
        <f t="shared" si="13"/>
        <v>0</v>
      </c>
      <c r="K32" s="2"/>
      <c r="L32" s="7">
        <f t="shared" si="14"/>
        <v>5219.0486430769233</v>
      </c>
      <c r="M32" s="2"/>
      <c r="N32" s="6">
        <f t="shared" si="15"/>
        <v>6.9487128058371432</v>
      </c>
      <c r="O32" s="11"/>
      <c r="P32" s="7">
        <v>5970.13</v>
      </c>
      <c r="Q32" s="2"/>
      <c r="R32" s="6">
        <f t="shared" si="16"/>
        <v>0.12790347418548473</v>
      </c>
      <c r="S32" s="2"/>
      <c r="T32" s="7">
        <v>751.08135692307701</v>
      </c>
      <c r="U32" s="2"/>
      <c r="V32" s="6">
        <f t="shared" si="17"/>
        <v>0</v>
      </c>
      <c r="W32" s="2"/>
      <c r="X32" s="7">
        <f t="shared" si="18"/>
        <v>5219.0486430769233</v>
      </c>
      <c r="Y32" s="2"/>
      <c r="Z32" s="6">
        <f t="shared" si="19"/>
        <v>6.9487128058371432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7">
        <v>1008.91</v>
      </c>
      <c r="E33" s="2"/>
      <c r="F33" s="6">
        <f t="shared" si="12"/>
        <v>2.1614787976221184E-2</v>
      </c>
      <c r="G33" s="2"/>
      <c r="H33" s="7"/>
      <c r="I33" s="2"/>
      <c r="J33" s="6">
        <f t="shared" si="13"/>
        <v>0</v>
      </c>
      <c r="K33" s="2"/>
      <c r="L33" s="7">
        <f t="shared" si="14"/>
        <v>1008.91</v>
      </c>
      <c r="M33" s="2"/>
      <c r="N33" s="6">
        <f t="shared" si="15"/>
        <v>0</v>
      </c>
      <c r="O33" s="11"/>
      <c r="P33" s="7">
        <v>1008.91</v>
      </c>
      <c r="Q33" s="2"/>
      <c r="R33" s="6">
        <f t="shared" si="16"/>
        <v>2.1614787976221184E-2</v>
      </c>
      <c r="S33" s="2"/>
      <c r="T33" s="7"/>
      <c r="U33" s="2"/>
      <c r="V33" s="6">
        <f t="shared" si="17"/>
        <v>0</v>
      </c>
      <c r="W33" s="2"/>
      <c r="X33" s="7">
        <f t="shared" si="18"/>
        <v>1008.91</v>
      </c>
      <c r="Y33" s="2"/>
      <c r="Z33" s="6">
        <f t="shared" si="19"/>
        <v>0</v>
      </c>
    </row>
    <row r="34" spans="1:26" s="27" customFormat="1" outlineLevel="1" collapsed="1" x14ac:dyDescent="0.25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36485.919999999998</v>
      </c>
      <c r="E34" s="1"/>
      <c r="F34" s="5">
        <f t="shared" ref="F34:F44" si="20">IF(D$12=0,0,D34/D$12)</f>
        <v>0.78167073863612024</v>
      </c>
      <c r="G34" s="1"/>
      <c r="H34" s="1">
        <f>SUM(OSRRefH22_1x_0)</f>
        <v>25582.299343846149</v>
      </c>
      <c r="I34" s="1"/>
      <c r="J34" s="5">
        <f t="shared" ref="J34:J44" si="21">IF(H$12=0,0,H34/H$12)</f>
        <v>0</v>
      </c>
      <c r="K34" s="1"/>
      <c r="L34" s="1">
        <f t="shared" ref="L34:L44" si="22">+D34-H34</f>
        <v>10903.620656153849</v>
      </c>
      <c r="M34" s="1"/>
      <c r="N34" s="5">
        <f t="shared" ref="N34:N44" si="23">IF(H34=0,0,L34/H34)</f>
        <v>0.42621738216728072</v>
      </c>
      <c r="O34" s="14"/>
      <c r="P34" s="1">
        <f>SUM(OSRRefP22_1x_0)</f>
        <v>36485.919999999998</v>
      </c>
      <c r="Q34" s="1"/>
      <c r="R34" s="5">
        <f t="shared" ref="R34:R44" si="24">IF(P$12=0,0,P34/P$12)</f>
        <v>0.78167073863612024</v>
      </c>
      <c r="S34" s="1"/>
      <c r="T34" s="1">
        <f>SUM(OSRRefT22_1x_0)</f>
        <v>25582.299343846149</v>
      </c>
      <c r="U34" s="1"/>
      <c r="V34" s="5">
        <f t="shared" ref="V34:V44" si="25">IF(T$12=0,0,T34/T$12)</f>
        <v>0</v>
      </c>
      <c r="W34" s="1"/>
      <c r="X34" s="1">
        <f t="shared" ref="X34:X44" si="26">+P34-T34</f>
        <v>10903.620656153849</v>
      </c>
      <c r="Y34" s="1"/>
      <c r="Z34" s="5">
        <f t="shared" ref="Z34:Z44" si="27">IF(T34=0,0,X34/T34)</f>
        <v>0.42621738216728072</v>
      </c>
    </row>
    <row r="35" spans="1:26" s="24" customFormat="1" hidden="1" outlineLevel="2" x14ac:dyDescent="0.25">
      <c r="A35" s="29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7">
        <v>11236.71</v>
      </c>
      <c r="E36" s="2"/>
      <c r="F36" s="6">
        <f t="shared" si="20"/>
        <v>0.24073416280965035</v>
      </c>
      <c r="G36" s="2"/>
      <c r="H36" s="7">
        <v>5574.6274038461497</v>
      </c>
      <c r="I36" s="2"/>
      <c r="J36" s="6">
        <f t="shared" si="21"/>
        <v>0</v>
      </c>
      <c r="K36" s="2"/>
      <c r="L36" s="7">
        <f t="shared" si="22"/>
        <v>5662.0825961538494</v>
      </c>
      <c r="M36" s="2"/>
      <c r="N36" s="6">
        <f t="shared" si="23"/>
        <v>1.0156880784978313</v>
      </c>
      <c r="O36" s="11"/>
      <c r="P36" s="7">
        <v>11236.71</v>
      </c>
      <c r="Q36" s="2"/>
      <c r="R36" s="6">
        <f t="shared" si="24"/>
        <v>0.24073416280965035</v>
      </c>
      <c r="S36" s="2"/>
      <c r="T36" s="7">
        <v>5574.6274038461497</v>
      </c>
      <c r="U36" s="2"/>
      <c r="V36" s="6">
        <f t="shared" si="25"/>
        <v>0</v>
      </c>
      <c r="W36" s="2"/>
      <c r="X36" s="7">
        <f t="shared" si="26"/>
        <v>5662.0825961538494</v>
      </c>
      <c r="Y36" s="2"/>
      <c r="Z36" s="6">
        <f t="shared" si="27"/>
        <v>1.0156880784978313</v>
      </c>
    </row>
    <row r="37" spans="1:26" s="24" customFormat="1" hidden="1" outlineLevel="2" x14ac:dyDescent="0.25">
      <c r="A37" s="29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"6004", " - ", "STAFF HOURLY")</f>
        <v xml:space="preserve">          6004 - STAFF HOURLY</v>
      </c>
      <c r="C38" s="11"/>
      <c r="D38" s="7">
        <v>13901.2</v>
      </c>
      <c r="E38" s="2"/>
      <c r="F38" s="6">
        <f t="shared" si="20"/>
        <v>0.2978179328334995</v>
      </c>
      <c r="G38" s="2"/>
      <c r="H38" s="7">
        <v>15122.50944</v>
      </c>
      <c r="I38" s="2"/>
      <c r="J38" s="6">
        <f t="shared" si="21"/>
        <v>0</v>
      </c>
      <c r="K38" s="2"/>
      <c r="L38" s="7">
        <f t="shared" si="22"/>
        <v>-1221.3094399999991</v>
      </c>
      <c r="M38" s="2"/>
      <c r="N38" s="6">
        <f t="shared" si="23"/>
        <v>-8.0761030095280212E-2</v>
      </c>
      <c r="O38" s="11"/>
      <c r="P38" s="7">
        <v>13901.2</v>
      </c>
      <c r="Q38" s="2"/>
      <c r="R38" s="6">
        <f t="shared" si="24"/>
        <v>0.2978179328334995</v>
      </c>
      <c r="S38" s="2"/>
      <c r="T38" s="7">
        <v>15122.50944</v>
      </c>
      <c r="U38" s="2"/>
      <c r="V38" s="6">
        <f t="shared" si="25"/>
        <v>0</v>
      </c>
      <c r="W38" s="2"/>
      <c r="X38" s="7">
        <f t="shared" si="26"/>
        <v>-1221.3094399999991</v>
      </c>
      <c r="Y38" s="2"/>
      <c r="Z38" s="6">
        <f t="shared" si="27"/>
        <v>-8.0761030095280212E-2</v>
      </c>
    </row>
    <row r="39" spans="1:26" s="24" customFormat="1" hidden="1" outlineLevel="2" x14ac:dyDescent="0.25">
      <c r="A39" s="29"/>
      <c r="B39" s="11" t="str">
        <f>CONCATENATE("          ", "6005", " - ", "TEMPORARY WAGES-HOURLY")</f>
        <v xml:space="preserve">          6005 - TEMPORARY WAGES-HOURLY</v>
      </c>
      <c r="C39" s="11"/>
      <c r="D39" s="7">
        <v>2327.5700000000002</v>
      </c>
      <c r="E39" s="2"/>
      <c r="F39" s="6">
        <f t="shared" si="20"/>
        <v>4.986562929281417E-2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2327.5700000000002</v>
      </c>
      <c r="M39" s="2"/>
      <c r="N39" s="6">
        <f t="shared" si="23"/>
        <v>0</v>
      </c>
      <c r="O39" s="11"/>
      <c r="P39" s="7">
        <v>2327.5700000000002</v>
      </c>
      <c r="Q39" s="2"/>
      <c r="R39" s="6">
        <f t="shared" si="24"/>
        <v>4.986562929281417E-2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2327.5700000000002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"6006", " - ", "TEMPORARY PART TIME")</f>
        <v xml:space="preserve">          6006 - TEMPORARY PART TIME</v>
      </c>
      <c r="C40" s="11"/>
      <c r="D40" s="7">
        <v>612</v>
      </c>
      <c r="E40" s="2"/>
      <c r="F40" s="6">
        <f t="shared" si="20"/>
        <v>1.3111427423107478E-2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612</v>
      </c>
      <c r="M40" s="2"/>
      <c r="N40" s="6">
        <f t="shared" si="23"/>
        <v>0</v>
      </c>
      <c r="O40" s="11"/>
      <c r="P40" s="7">
        <v>612</v>
      </c>
      <c r="Q40" s="2"/>
      <c r="R40" s="6">
        <f t="shared" si="24"/>
        <v>1.3111427423107478E-2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612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"6007", " - ", "STUDENT HOURLY")</f>
        <v xml:space="preserve">          6007 - STUDENT HOURLY</v>
      </c>
      <c r="C41" s="11"/>
      <c r="D41" s="7">
        <v>6323.44</v>
      </c>
      <c r="E41" s="2"/>
      <c r="F41" s="6">
        <f t="shared" si="20"/>
        <v>0.13547275265420711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6323.44</v>
      </c>
      <c r="M41" s="2"/>
      <c r="N41" s="6">
        <f t="shared" si="23"/>
        <v>0</v>
      </c>
      <c r="O41" s="11"/>
      <c r="P41" s="7">
        <v>6323.44</v>
      </c>
      <c r="Q41" s="2"/>
      <c r="R41" s="6">
        <f t="shared" si="24"/>
        <v>0.13547275265420711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6323.44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"6008", " - ", "STUDENT HOURLY-FICA EXEMPT")</f>
        <v xml:space="preserve">          6008 - STUDENT HOURLY-FICA EXEMPT</v>
      </c>
      <c r="C42" s="11"/>
      <c r="D42" s="7">
        <v>2085</v>
      </c>
      <c r="E42" s="2"/>
      <c r="F42" s="6">
        <f t="shared" si="20"/>
        <v>4.4668833622841651E-2</v>
      </c>
      <c r="G42" s="2"/>
      <c r="H42" s="7">
        <v>4885.1624999999995</v>
      </c>
      <c r="I42" s="2"/>
      <c r="J42" s="6">
        <f t="shared" si="21"/>
        <v>0</v>
      </c>
      <c r="K42" s="2"/>
      <c r="L42" s="7">
        <f t="shared" si="22"/>
        <v>-2800.1624999999995</v>
      </c>
      <c r="M42" s="2"/>
      <c r="N42" s="6">
        <f t="shared" si="23"/>
        <v>-0.57319741154976933</v>
      </c>
      <c r="O42" s="11"/>
      <c r="P42" s="7">
        <v>2085</v>
      </c>
      <c r="Q42" s="2"/>
      <c r="R42" s="6">
        <f t="shared" si="24"/>
        <v>4.4668833622841651E-2</v>
      </c>
      <c r="S42" s="2"/>
      <c r="T42" s="7">
        <v>4885.1624999999995</v>
      </c>
      <c r="U42" s="2"/>
      <c r="V42" s="6">
        <f t="shared" si="25"/>
        <v>0</v>
      </c>
      <c r="W42" s="2"/>
      <c r="X42" s="7">
        <f t="shared" si="26"/>
        <v>-2800.1624999999995</v>
      </c>
      <c r="Y42" s="2"/>
      <c r="Z42" s="6">
        <f t="shared" si="27"/>
        <v>-0.57319741154976933</v>
      </c>
    </row>
    <row r="43" spans="1:26" s="24" customFormat="1" hidden="1" outlineLevel="2" x14ac:dyDescent="0.25">
      <c r="A43" s="29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7" customFormat="1" outlineLevel="1" collapsed="1" x14ac:dyDescent="0.25">
      <c r="A45" s="28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422.69</v>
      </c>
      <c r="E45" s="1"/>
      <c r="F45" s="5">
        <f t="shared" ref="F45:F49" si="28">IF(D$12=0,0,D45/D$12)</f>
        <v>9.0556687213616018E-3</v>
      </c>
      <c r="G45" s="1"/>
      <c r="H45" s="1">
        <f>SUM(OSRRefH22_2x_0)</f>
        <v>800</v>
      </c>
      <c r="I45" s="1"/>
      <c r="J45" s="5">
        <f t="shared" ref="J45:J49" si="29">IF(H$12=0,0,H45/H$12)</f>
        <v>0</v>
      </c>
      <c r="K45" s="1"/>
      <c r="L45" s="1">
        <f t="shared" ref="L45:L49" si="30">+D45-H45</f>
        <v>-377.31</v>
      </c>
      <c r="M45" s="1"/>
      <c r="N45" s="5">
        <f t="shared" ref="N45:N49" si="31">IF(H45=0,0,L45/H45)</f>
        <v>-0.47163749999999999</v>
      </c>
      <c r="O45" s="14"/>
      <c r="P45" s="1">
        <f>SUM(OSRRefP22_2x_0)</f>
        <v>422.69</v>
      </c>
      <c r="Q45" s="1"/>
      <c r="R45" s="5">
        <f t="shared" ref="R45:R49" si="32">IF(P$12=0,0,P45/P$12)</f>
        <v>9.0556687213616018E-3</v>
      </c>
      <c r="S45" s="1"/>
      <c r="T45" s="1">
        <f>SUM(OSRRefT22_2x_0)</f>
        <v>800</v>
      </c>
      <c r="U45" s="1"/>
      <c r="V45" s="5">
        <f t="shared" ref="V45:V49" si="33">IF(T$12=0,0,T45/T$12)</f>
        <v>0</v>
      </c>
      <c r="W45" s="1"/>
      <c r="X45" s="1">
        <f t="shared" ref="X45:X49" si="34">+P45-T45</f>
        <v>-377.31</v>
      </c>
      <c r="Y45" s="1"/>
      <c r="Z45" s="5">
        <f t="shared" ref="Z45:Z49" si="35">IF(T45=0,0,X45/T45)</f>
        <v>-0.47163749999999999</v>
      </c>
    </row>
    <row r="46" spans="1:26" s="24" customFormat="1" hidden="1" outlineLevel="2" x14ac:dyDescent="0.25">
      <c r="A46" s="29"/>
      <c r="B46" s="11" t="str">
        <f>CONCATENATE("          ", "6362", " - ", "ADVERTISING EXPENSE")</f>
        <v xml:space="preserve">          6362 - ADVERTISING EXPENSE</v>
      </c>
      <c r="C46" s="11"/>
      <c r="D46" s="7">
        <v>422.69</v>
      </c>
      <c r="E46" s="2"/>
      <c r="F46" s="6">
        <f t="shared" si="28"/>
        <v>9.0556687213616018E-3</v>
      </c>
      <c r="G46" s="2"/>
      <c r="H46" s="7">
        <v>800</v>
      </c>
      <c r="I46" s="2"/>
      <c r="J46" s="6">
        <f t="shared" si="29"/>
        <v>0</v>
      </c>
      <c r="K46" s="2"/>
      <c r="L46" s="7">
        <f t="shared" si="30"/>
        <v>-377.31</v>
      </c>
      <c r="M46" s="2"/>
      <c r="N46" s="6">
        <f t="shared" si="31"/>
        <v>-0.47163749999999999</v>
      </c>
      <c r="O46" s="11"/>
      <c r="P46" s="7">
        <v>422.69</v>
      </c>
      <c r="Q46" s="2"/>
      <c r="R46" s="6">
        <f t="shared" si="32"/>
        <v>9.0556687213616018E-3</v>
      </c>
      <c r="S46" s="2"/>
      <c r="T46" s="7">
        <v>800</v>
      </c>
      <c r="U46" s="2"/>
      <c r="V46" s="6">
        <f t="shared" si="33"/>
        <v>0</v>
      </c>
      <c r="W46" s="2"/>
      <c r="X46" s="7">
        <f t="shared" si="34"/>
        <v>-377.31</v>
      </c>
      <c r="Y46" s="2"/>
      <c r="Z46" s="6">
        <f t="shared" si="35"/>
        <v>-0.47163749999999999</v>
      </c>
    </row>
    <row r="47" spans="1:26" s="27" customFormat="1" outlineLevel="1" collapsed="1" x14ac:dyDescent="0.25">
      <c r="A47" s="28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0</v>
      </c>
      <c r="E47" s="1"/>
      <c r="F47" s="5">
        <f t="shared" si="28"/>
        <v>0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4"/>
      <c r="P47" s="1">
        <f>SUM(OSRRefP22_3x_0)</f>
        <v>0</v>
      </c>
      <c r="Q47" s="1"/>
      <c r="R47" s="5">
        <f t="shared" si="32"/>
        <v>0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"6272", " - ", "CASH (OVER/SHORT)")</f>
        <v xml:space="preserve">          6272 - CASH (OVER/SHORT)</v>
      </c>
      <c r="C48" s="11"/>
      <c r="D48" s="7"/>
      <c r="E48" s="2"/>
      <c r="F48" s="6">
        <f t="shared" si="28"/>
        <v>0</v>
      </c>
      <c r="G48" s="2"/>
      <c r="H48" s="7">
        <v>0</v>
      </c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/>
      <c r="Q48" s="2"/>
      <c r="R48" s="6">
        <f t="shared" si="32"/>
        <v>0</v>
      </c>
      <c r="S48" s="2"/>
      <c r="T48" s="7">
        <v>0</v>
      </c>
      <c r="U48" s="2"/>
      <c r="V48" s="6">
        <f t="shared" si="33"/>
        <v>0</v>
      </c>
      <c r="W48" s="2"/>
      <c r="X48" s="7">
        <f t="shared" si="34"/>
        <v>0</v>
      </c>
      <c r="Y48" s="2"/>
      <c r="Z48" s="6">
        <f t="shared" si="35"/>
        <v>0</v>
      </c>
    </row>
    <row r="49" spans="1:26" s="24" customFormat="1" hidden="1" outlineLevel="2" x14ac:dyDescent="0.25">
      <c r="A49" s="29"/>
      <c r="B49" s="11" t="str">
        <f>CONCATENATE("          ", "6342", " - ", "BAD DEBT")</f>
        <v xml:space="preserve">          6342 - BAD DEBT</v>
      </c>
      <c r="C49" s="11"/>
      <c r="D49" s="7"/>
      <c r="E49" s="2"/>
      <c r="F49" s="6">
        <f t="shared" si="28"/>
        <v>0</v>
      </c>
      <c r="G49" s="2"/>
      <c r="H49" s="7">
        <v>0</v>
      </c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0</v>
      </c>
      <c r="Y49" s="2"/>
      <c r="Z49" s="6">
        <f t="shared" si="35"/>
        <v>0</v>
      </c>
    </row>
    <row r="50" spans="1:26" s="27" customFormat="1" outlineLevel="1" collapsed="1" x14ac:dyDescent="0.25">
      <c r="A50" s="28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0.2</v>
      </c>
      <c r="E50" s="1"/>
      <c r="F50" s="5">
        <f t="shared" ref="F50:F65" si="36">IF(D$12=0,0,D50/D$12)</f>
        <v>4.2847802036298947E-6</v>
      </c>
      <c r="G50" s="1"/>
      <c r="H50" s="1">
        <f>SUM(OSRRefH22_4x_0)</f>
        <v>20</v>
      </c>
      <c r="I50" s="1"/>
      <c r="J50" s="5">
        <f t="shared" ref="J50:J65" si="37">IF(H$12=0,0,H50/H$12)</f>
        <v>0</v>
      </c>
      <c r="K50" s="1"/>
      <c r="L50" s="1">
        <f t="shared" ref="L50:L65" si="38">+D50-H50</f>
        <v>-19.8</v>
      </c>
      <c r="M50" s="1"/>
      <c r="N50" s="5">
        <f t="shared" ref="N50:N65" si="39">IF(H50=0,0,L50/H50)</f>
        <v>-0.99</v>
      </c>
      <c r="O50" s="14"/>
      <c r="P50" s="1">
        <f>SUM(OSRRefP22_4x_0)</f>
        <v>0.2</v>
      </c>
      <c r="Q50" s="1"/>
      <c r="R50" s="5">
        <f t="shared" ref="R50:R65" si="40">IF(P$12=0,0,P50/P$12)</f>
        <v>4.2847802036298947E-6</v>
      </c>
      <c r="S50" s="1"/>
      <c r="T50" s="1">
        <f>SUM(OSRRefT22_4x_0)</f>
        <v>20</v>
      </c>
      <c r="U50" s="1"/>
      <c r="V50" s="5">
        <f t="shared" ref="V50:V65" si="41">IF(T$12=0,0,T50/T$12)</f>
        <v>0</v>
      </c>
      <c r="W50" s="1"/>
      <c r="X50" s="1">
        <f t="shared" ref="X50:X65" si="42">+P50-T50</f>
        <v>-19.8</v>
      </c>
      <c r="Y50" s="1"/>
      <c r="Z50" s="5">
        <f t="shared" ref="Z50:Z65" si="43">IF(T50=0,0,X50/T50)</f>
        <v>-0.99</v>
      </c>
    </row>
    <row r="51" spans="1:26" s="24" customFormat="1" hidden="1" outlineLevel="2" x14ac:dyDescent="0.25">
      <c r="A51" s="29"/>
      <c r="B51" s="11" t="str">
        <f>CONCATENATE("          ", "6381", " - ", "BANK/CREDIT CARD FEES")</f>
        <v xml:space="preserve">          6381 - BANK/CREDIT CARD FEES</v>
      </c>
      <c r="C51" s="11"/>
      <c r="D51" s="7">
        <v>0.2</v>
      </c>
      <c r="E51" s="2"/>
      <c r="F51" s="6">
        <f t="shared" si="36"/>
        <v>4.2847802036298947E-6</v>
      </c>
      <c r="G51" s="2"/>
      <c r="H51" s="7">
        <v>20</v>
      </c>
      <c r="I51" s="2"/>
      <c r="J51" s="6">
        <f t="shared" si="37"/>
        <v>0</v>
      </c>
      <c r="K51" s="2"/>
      <c r="L51" s="7">
        <f t="shared" si="38"/>
        <v>-19.8</v>
      </c>
      <c r="M51" s="2"/>
      <c r="N51" s="6">
        <f t="shared" si="39"/>
        <v>-0.99</v>
      </c>
      <c r="O51" s="11"/>
      <c r="P51" s="7">
        <v>0.2</v>
      </c>
      <c r="Q51" s="2"/>
      <c r="R51" s="6">
        <f t="shared" si="40"/>
        <v>4.2847802036298947E-6</v>
      </c>
      <c r="S51" s="2"/>
      <c r="T51" s="7">
        <v>20</v>
      </c>
      <c r="U51" s="2"/>
      <c r="V51" s="6">
        <f t="shared" si="41"/>
        <v>0</v>
      </c>
      <c r="W51" s="2"/>
      <c r="X51" s="7">
        <f t="shared" si="42"/>
        <v>-19.8</v>
      </c>
      <c r="Y51" s="2"/>
      <c r="Z51" s="6">
        <f t="shared" si="43"/>
        <v>-0.99</v>
      </c>
    </row>
    <row r="52" spans="1:26" s="27" customFormat="1" outlineLevel="1" collapsed="1" x14ac:dyDescent="0.25">
      <c r="A52" s="28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SUM(OSRRefD22_5x_0)</f>
        <v>0</v>
      </c>
      <c r="E52" s="1"/>
      <c r="F52" s="5">
        <f t="shared" si="36"/>
        <v>0</v>
      </c>
      <c r="G52" s="1"/>
      <c r="H52" s="1">
        <f>SUM(OSRRefH22_5x_0)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SUM(OSRRefP22_5x_0)</f>
        <v>0</v>
      </c>
      <c r="Q52" s="1"/>
      <c r="R52" s="5">
        <f t="shared" si="40"/>
        <v>0</v>
      </c>
      <c r="S52" s="1"/>
      <c r="T52" s="1">
        <f>SUM(OSRRefT22_5x_0)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9"/>
      <c r="B53" s="11" t="str">
        <f>CONCATENATE("          ", "6277", " - ", "EMPLOYEE APPRECIATION")</f>
        <v xml:space="preserve">          6277 - EMPLOYEE APPRECIATION</v>
      </c>
      <c r="C53" s="11"/>
      <c r="D53" s="7"/>
      <c r="E53" s="2"/>
      <c r="F53" s="6">
        <f t="shared" si="36"/>
        <v>0</v>
      </c>
      <c r="G53" s="2"/>
      <c r="H53" s="7">
        <v>0</v>
      </c>
      <c r="I53" s="2"/>
      <c r="J53" s="6">
        <f t="shared" si="37"/>
        <v>0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/>
      <c r="Q53" s="2"/>
      <c r="R53" s="6">
        <f t="shared" si="40"/>
        <v>0</v>
      </c>
      <c r="S53" s="2"/>
      <c r="T53" s="7">
        <v>0</v>
      </c>
      <c r="U53" s="2"/>
      <c r="V53" s="6">
        <f t="shared" si="41"/>
        <v>0</v>
      </c>
      <c r="W53" s="2"/>
      <c r="X53" s="7">
        <f t="shared" si="42"/>
        <v>0</v>
      </c>
      <c r="Y53" s="2"/>
      <c r="Z53" s="6">
        <f t="shared" si="43"/>
        <v>0</v>
      </c>
    </row>
    <row r="54" spans="1:26" s="27" customFormat="1" outlineLevel="1" collapsed="1" x14ac:dyDescent="0.25">
      <c r="A54" s="28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SUM(OSRRefD22_6x_0)</f>
        <v>1517.11</v>
      </c>
      <c r="E54" s="1"/>
      <c r="F54" s="5">
        <f t="shared" si="36"/>
        <v>3.2502414473644749E-2</v>
      </c>
      <c r="G54" s="1"/>
      <c r="H54" s="1">
        <f>SUM(OSRRefH22_6x_0)</f>
        <v>275</v>
      </c>
      <c r="I54" s="1"/>
      <c r="J54" s="5">
        <f t="shared" si="37"/>
        <v>0</v>
      </c>
      <c r="K54" s="1"/>
      <c r="L54" s="1">
        <f t="shared" si="38"/>
        <v>1242.1099999999999</v>
      </c>
      <c r="M54" s="1"/>
      <c r="N54" s="5">
        <f t="shared" si="39"/>
        <v>4.5167636363636356</v>
      </c>
      <c r="O54" s="14"/>
      <c r="P54" s="1">
        <f>SUM(OSRRefP22_6x_0)</f>
        <v>1517.11</v>
      </c>
      <c r="Q54" s="1"/>
      <c r="R54" s="5">
        <f t="shared" si="40"/>
        <v>3.2502414473644749E-2</v>
      </c>
      <c r="S54" s="1"/>
      <c r="T54" s="1">
        <f>SUM(OSRRefT22_6x_0)</f>
        <v>275</v>
      </c>
      <c r="U54" s="1"/>
      <c r="V54" s="5">
        <f t="shared" si="41"/>
        <v>0</v>
      </c>
      <c r="W54" s="1"/>
      <c r="X54" s="1">
        <f t="shared" si="42"/>
        <v>1242.1099999999999</v>
      </c>
      <c r="Y54" s="1"/>
      <c r="Z54" s="5">
        <f t="shared" si="43"/>
        <v>4.5167636363636356</v>
      </c>
    </row>
    <row r="55" spans="1:26" s="24" customFormat="1" hidden="1" outlineLevel="2" x14ac:dyDescent="0.25">
      <c r="A55" s="29"/>
      <c r="B55" s="11" t="str">
        <f>CONCATENATE("          ", "6279", " - ", "GENERAL EXPENSE")</f>
        <v xml:space="preserve">          6279 - GENERAL EXPENSE</v>
      </c>
      <c r="C55" s="11"/>
      <c r="D55" s="7">
        <v>1517.11</v>
      </c>
      <c r="E55" s="2"/>
      <c r="F55" s="6">
        <f t="shared" si="36"/>
        <v>3.2502414473644749E-2</v>
      </c>
      <c r="G55" s="2"/>
      <c r="H55" s="7">
        <v>275</v>
      </c>
      <c r="I55" s="2"/>
      <c r="J55" s="6">
        <f t="shared" si="37"/>
        <v>0</v>
      </c>
      <c r="K55" s="2"/>
      <c r="L55" s="7">
        <f t="shared" si="38"/>
        <v>1242.1099999999999</v>
      </c>
      <c r="M55" s="2"/>
      <c r="N55" s="6">
        <f t="shared" si="39"/>
        <v>4.5167636363636356</v>
      </c>
      <c r="O55" s="11"/>
      <c r="P55" s="7">
        <v>1517.11</v>
      </c>
      <c r="Q55" s="2"/>
      <c r="R55" s="6">
        <f t="shared" si="40"/>
        <v>3.2502414473644749E-2</v>
      </c>
      <c r="S55" s="2"/>
      <c r="T55" s="7">
        <v>275</v>
      </c>
      <c r="U55" s="2"/>
      <c r="V55" s="6">
        <f t="shared" si="41"/>
        <v>0</v>
      </c>
      <c r="W55" s="2"/>
      <c r="X55" s="7">
        <f t="shared" si="42"/>
        <v>1242.1099999999999</v>
      </c>
      <c r="Y55" s="2"/>
      <c r="Z55" s="6">
        <f t="shared" si="43"/>
        <v>4.5167636363636356</v>
      </c>
    </row>
    <row r="56" spans="1:26" s="27" customFormat="1" outlineLevel="1" collapsed="1" x14ac:dyDescent="0.25">
      <c r="A56" s="28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SUM(OSRRefD22_7x_0)</f>
        <v>5.9</v>
      </c>
      <c r="E56" s="1"/>
      <c r="F56" s="5">
        <f t="shared" si="36"/>
        <v>1.2640101600708189E-4</v>
      </c>
      <c r="G56" s="1"/>
      <c r="H56" s="1">
        <f>SUM(OSRRefH22_7x_0)</f>
        <v>5</v>
      </c>
      <c r="I56" s="1"/>
      <c r="J56" s="5">
        <f t="shared" si="37"/>
        <v>0</v>
      </c>
      <c r="K56" s="1"/>
      <c r="L56" s="1">
        <f t="shared" si="38"/>
        <v>0.90000000000000036</v>
      </c>
      <c r="M56" s="1"/>
      <c r="N56" s="5">
        <f t="shared" si="39"/>
        <v>0.18000000000000008</v>
      </c>
      <c r="O56" s="14"/>
      <c r="P56" s="1">
        <f>SUM(OSRRefP22_7x_0)</f>
        <v>5.9</v>
      </c>
      <c r="Q56" s="1"/>
      <c r="R56" s="5">
        <f t="shared" si="40"/>
        <v>1.2640101600708189E-4</v>
      </c>
      <c r="S56" s="1"/>
      <c r="T56" s="1">
        <f>SUM(OSRRefT22_7x_0)</f>
        <v>5</v>
      </c>
      <c r="U56" s="1"/>
      <c r="V56" s="5">
        <f t="shared" si="41"/>
        <v>0</v>
      </c>
      <c r="W56" s="1"/>
      <c r="X56" s="1">
        <f t="shared" si="42"/>
        <v>0.90000000000000036</v>
      </c>
      <c r="Y56" s="1"/>
      <c r="Z56" s="5">
        <f t="shared" si="43"/>
        <v>0.18000000000000008</v>
      </c>
    </row>
    <row r="57" spans="1:26" s="24" customFormat="1" hidden="1" outlineLevel="2" x14ac:dyDescent="0.25">
      <c r="A57" s="29"/>
      <c r="B57" s="11" t="str">
        <f>CONCATENATE("          ", "6314", " - ", "LIABILITY INSURANCE")</f>
        <v xml:space="preserve">          6314 - LIABILITY INSURANCE</v>
      </c>
      <c r="C57" s="11"/>
      <c r="D57" s="7">
        <v>5.9</v>
      </c>
      <c r="E57" s="2"/>
      <c r="F57" s="6">
        <f t="shared" si="36"/>
        <v>1.2640101600708189E-4</v>
      </c>
      <c r="G57" s="2"/>
      <c r="H57" s="7">
        <v>5</v>
      </c>
      <c r="I57" s="2"/>
      <c r="J57" s="6">
        <f t="shared" si="37"/>
        <v>0</v>
      </c>
      <c r="K57" s="2"/>
      <c r="L57" s="7">
        <f t="shared" si="38"/>
        <v>0.90000000000000036</v>
      </c>
      <c r="M57" s="2"/>
      <c r="N57" s="6">
        <f t="shared" si="39"/>
        <v>0.18000000000000008</v>
      </c>
      <c r="O57" s="11"/>
      <c r="P57" s="7">
        <v>5.9</v>
      </c>
      <c r="Q57" s="2"/>
      <c r="R57" s="6">
        <f t="shared" si="40"/>
        <v>1.2640101600708189E-4</v>
      </c>
      <c r="S57" s="2"/>
      <c r="T57" s="7">
        <v>5</v>
      </c>
      <c r="U57" s="2"/>
      <c r="V57" s="6">
        <f t="shared" si="41"/>
        <v>0</v>
      </c>
      <c r="W57" s="2"/>
      <c r="X57" s="7">
        <f t="shared" si="42"/>
        <v>0.90000000000000036</v>
      </c>
      <c r="Y57" s="2"/>
      <c r="Z57" s="6">
        <f t="shared" si="43"/>
        <v>0.18000000000000008</v>
      </c>
    </row>
    <row r="58" spans="1:26" s="27" customFormat="1" outlineLevel="1" collapsed="1" x14ac:dyDescent="0.25">
      <c r="A58" s="28"/>
      <c r="B58" s="14" t="str">
        <f>CONCATENATE("     ","R/H Commissions                                   ")</f>
        <v xml:space="preserve">     R/H Commissions                                   </v>
      </c>
      <c r="C58" s="14"/>
      <c r="D58" s="1">
        <f>SUM(OSRRefD22_8x_0)</f>
        <v>3681.29</v>
      </c>
      <c r="E58" s="1"/>
      <c r="F58" s="5">
        <f t="shared" si="36"/>
        <v>7.8867592579103474E-2</v>
      </c>
      <c r="G58" s="1"/>
      <c r="H58" s="1">
        <f>SUM(OSRRefH22_8x_0)</f>
        <v>0</v>
      </c>
      <c r="I58" s="1"/>
      <c r="J58" s="5">
        <f t="shared" si="37"/>
        <v>0</v>
      </c>
      <c r="K58" s="1"/>
      <c r="L58" s="1">
        <f t="shared" si="38"/>
        <v>3681.29</v>
      </c>
      <c r="M58" s="1"/>
      <c r="N58" s="5">
        <f t="shared" si="39"/>
        <v>0</v>
      </c>
      <c r="O58" s="14"/>
      <c r="P58" s="1">
        <f>SUM(OSRRefP22_8x_0)</f>
        <v>3681.29</v>
      </c>
      <c r="Q58" s="1"/>
      <c r="R58" s="5">
        <f t="shared" si="40"/>
        <v>7.8867592579103474E-2</v>
      </c>
      <c r="S58" s="1"/>
      <c r="T58" s="1">
        <f>SUM(OSRRefT22_8x_0)</f>
        <v>0</v>
      </c>
      <c r="U58" s="1"/>
      <c r="V58" s="5">
        <f t="shared" si="41"/>
        <v>0</v>
      </c>
      <c r="W58" s="1"/>
      <c r="X58" s="1">
        <f t="shared" si="42"/>
        <v>3681.29</v>
      </c>
      <c r="Y58" s="1"/>
      <c r="Z58" s="5">
        <f t="shared" si="43"/>
        <v>0</v>
      </c>
    </row>
    <row r="59" spans="1:26" s="24" customFormat="1" hidden="1" outlineLevel="2" x14ac:dyDescent="0.25">
      <c r="A59" s="29"/>
      <c r="B59" s="11" t="str">
        <f>CONCATENATE("          ", "6387", " - ", "COMMISSION DUE HOUSING")</f>
        <v xml:space="preserve">          6387 - COMMISSION DUE HOUSING</v>
      </c>
      <c r="C59" s="11"/>
      <c r="D59" s="7">
        <v>3681.29</v>
      </c>
      <c r="E59" s="2"/>
      <c r="F59" s="6">
        <f t="shared" si="36"/>
        <v>7.8867592579103474E-2</v>
      </c>
      <c r="G59" s="2"/>
      <c r="H59" s="7"/>
      <c r="I59" s="2"/>
      <c r="J59" s="6">
        <f t="shared" si="37"/>
        <v>0</v>
      </c>
      <c r="K59" s="2"/>
      <c r="L59" s="7">
        <f t="shared" si="38"/>
        <v>3681.29</v>
      </c>
      <c r="M59" s="2"/>
      <c r="N59" s="6">
        <f t="shared" si="39"/>
        <v>0</v>
      </c>
      <c r="O59" s="11"/>
      <c r="P59" s="7">
        <v>3681.29</v>
      </c>
      <c r="Q59" s="2"/>
      <c r="R59" s="6">
        <f t="shared" si="40"/>
        <v>7.8867592579103474E-2</v>
      </c>
      <c r="S59" s="2"/>
      <c r="T59" s="7"/>
      <c r="U59" s="2"/>
      <c r="V59" s="6">
        <f t="shared" si="41"/>
        <v>0</v>
      </c>
      <c r="W59" s="2"/>
      <c r="X59" s="7">
        <f t="shared" si="42"/>
        <v>3681.29</v>
      </c>
      <c r="Y59" s="2"/>
      <c r="Z59" s="6">
        <f t="shared" si="43"/>
        <v>0</v>
      </c>
    </row>
    <row r="60" spans="1:26" s="27" customFormat="1" outlineLevel="1" collapsed="1" x14ac:dyDescent="0.25">
      <c r="A60" s="28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SUM(OSRRefD22_9x_0)</f>
        <v>0</v>
      </c>
      <c r="E60" s="1"/>
      <c r="F60" s="5">
        <f t="shared" si="36"/>
        <v>0</v>
      </c>
      <c r="G60" s="1"/>
      <c r="H60" s="1">
        <f>SUM(OSRRefH22_9x_0)</f>
        <v>497</v>
      </c>
      <c r="I60" s="1"/>
      <c r="J60" s="5">
        <f t="shared" si="37"/>
        <v>0</v>
      </c>
      <c r="K60" s="1"/>
      <c r="L60" s="1">
        <f t="shared" si="38"/>
        <v>-497</v>
      </c>
      <c r="M60" s="1"/>
      <c r="N60" s="5">
        <f t="shared" si="39"/>
        <v>-1</v>
      </c>
      <c r="O60" s="14"/>
      <c r="P60" s="1">
        <f>SUM(OSRRefP22_9x_0)</f>
        <v>0</v>
      </c>
      <c r="Q60" s="1"/>
      <c r="R60" s="5">
        <f t="shared" si="40"/>
        <v>0</v>
      </c>
      <c r="S60" s="1"/>
      <c r="T60" s="1">
        <f>SUM(OSRRefT22_9x_0)</f>
        <v>497</v>
      </c>
      <c r="U60" s="1"/>
      <c r="V60" s="5">
        <f t="shared" si="41"/>
        <v>0</v>
      </c>
      <c r="W60" s="1"/>
      <c r="X60" s="1">
        <f t="shared" si="42"/>
        <v>-497</v>
      </c>
      <c r="Y60" s="1"/>
      <c r="Z60" s="5">
        <f t="shared" si="43"/>
        <v>-1</v>
      </c>
    </row>
    <row r="61" spans="1:26" s="24" customFormat="1" hidden="1" outlineLevel="2" x14ac:dyDescent="0.25">
      <c r="A61" s="29"/>
      <c r="B61" s="11" t="str">
        <f>CONCATENATE("          ", "6371", " - ", "COMPUTER SOFTWARE MAINTENANCE")</f>
        <v xml:space="preserve">          6371 - COMPUTER SOFTWARE MAINTENANCE</v>
      </c>
      <c r="C61" s="11"/>
      <c r="D61" s="7"/>
      <c r="E61" s="2"/>
      <c r="F61" s="6">
        <f t="shared" si="36"/>
        <v>0</v>
      </c>
      <c r="G61" s="2"/>
      <c r="H61" s="7">
        <v>497</v>
      </c>
      <c r="I61" s="2"/>
      <c r="J61" s="6">
        <f t="shared" si="37"/>
        <v>0</v>
      </c>
      <c r="K61" s="2"/>
      <c r="L61" s="7">
        <f t="shared" si="38"/>
        <v>-497</v>
      </c>
      <c r="M61" s="2"/>
      <c r="N61" s="6">
        <f t="shared" si="39"/>
        <v>-1</v>
      </c>
      <c r="O61" s="11"/>
      <c r="P61" s="7"/>
      <c r="Q61" s="2"/>
      <c r="R61" s="6">
        <f t="shared" si="40"/>
        <v>0</v>
      </c>
      <c r="S61" s="2"/>
      <c r="T61" s="7">
        <v>497</v>
      </c>
      <c r="U61" s="2"/>
      <c r="V61" s="6">
        <f t="shared" si="41"/>
        <v>0</v>
      </c>
      <c r="W61" s="2"/>
      <c r="X61" s="7">
        <f t="shared" si="42"/>
        <v>-497</v>
      </c>
      <c r="Y61" s="2"/>
      <c r="Z61" s="6">
        <f t="shared" si="43"/>
        <v>-1</v>
      </c>
    </row>
    <row r="62" spans="1:26" s="27" customFormat="1" outlineLevel="1" collapsed="1" x14ac:dyDescent="0.25">
      <c r="A62" s="28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SUM(OSRRefD22_10x_0)</f>
        <v>6968.1400000000012</v>
      </c>
      <c r="E62" s="1"/>
      <c r="F62" s="5">
        <f t="shared" si="36"/>
        <v>0.14928474164060809</v>
      </c>
      <c r="G62" s="1"/>
      <c r="H62" s="1">
        <f>SUM(OSRRefH22_10x_0)</f>
        <v>750</v>
      </c>
      <c r="I62" s="1"/>
      <c r="J62" s="5">
        <f t="shared" si="37"/>
        <v>0</v>
      </c>
      <c r="K62" s="1"/>
      <c r="L62" s="1">
        <f t="shared" si="38"/>
        <v>6218.1400000000012</v>
      </c>
      <c r="M62" s="1"/>
      <c r="N62" s="5">
        <f t="shared" si="39"/>
        <v>8.2908533333333345</v>
      </c>
      <c r="O62" s="14"/>
      <c r="P62" s="1">
        <f>SUM(OSRRefP22_10x_0)</f>
        <v>6968.1400000000012</v>
      </c>
      <c r="Q62" s="1"/>
      <c r="R62" s="5">
        <f t="shared" si="40"/>
        <v>0.14928474164060809</v>
      </c>
      <c r="S62" s="1"/>
      <c r="T62" s="1">
        <f>SUM(OSRRefT22_10x_0)</f>
        <v>750</v>
      </c>
      <c r="U62" s="1"/>
      <c r="V62" s="5">
        <f t="shared" si="41"/>
        <v>0</v>
      </c>
      <c r="W62" s="1"/>
      <c r="X62" s="1">
        <f t="shared" si="42"/>
        <v>6218.1400000000012</v>
      </c>
      <c r="Y62" s="1"/>
      <c r="Z62" s="5">
        <f t="shared" si="43"/>
        <v>8.2908533333333345</v>
      </c>
    </row>
    <row r="63" spans="1:26" s="24" customFormat="1" hidden="1" outlineLevel="2" x14ac:dyDescent="0.25">
      <c r="A63" s="29"/>
      <c r="B63" s="11" t="str">
        <f>CONCATENATE("          ", "6282", " - ", "JANITORIAL/EXTERMINATOR EXPENS")</f>
        <v xml:space="preserve">          6282 - JANITORIAL/EXTERMINATOR EXPENS</v>
      </c>
      <c r="C63" s="11"/>
      <c r="D63" s="7">
        <v>669.64</v>
      </c>
      <c r="E63" s="2"/>
      <c r="F63" s="6">
        <f t="shared" si="36"/>
        <v>1.4346301077793612E-2</v>
      </c>
      <c r="G63" s="2"/>
      <c r="H63" s="7">
        <v>750</v>
      </c>
      <c r="I63" s="2"/>
      <c r="J63" s="6">
        <f t="shared" si="37"/>
        <v>0</v>
      </c>
      <c r="K63" s="2"/>
      <c r="L63" s="7">
        <f t="shared" si="38"/>
        <v>-80.360000000000014</v>
      </c>
      <c r="M63" s="2"/>
      <c r="N63" s="6">
        <f t="shared" si="39"/>
        <v>-0.10714666666666668</v>
      </c>
      <c r="O63" s="11"/>
      <c r="P63" s="7">
        <v>669.64</v>
      </c>
      <c r="Q63" s="2"/>
      <c r="R63" s="6">
        <f t="shared" si="40"/>
        <v>1.4346301077793612E-2</v>
      </c>
      <c r="S63" s="2"/>
      <c r="T63" s="7">
        <v>750</v>
      </c>
      <c r="U63" s="2"/>
      <c r="V63" s="6">
        <f t="shared" si="41"/>
        <v>0</v>
      </c>
      <c r="W63" s="2"/>
      <c r="X63" s="7">
        <f t="shared" si="42"/>
        <v>-80.360000000000014</v>
      </c>
      <c r="Y63" s="2"/>
      <c r="Z63" s="6">
        <f t="shared" si="43"/>
        <v>-0.10714666666666668</v>
      </c>
    </row>
    <row r="64" spans="1:26" s="24" customFormat="1" hidden="1" outlineLevel="2" x14ac:dyDescent="0.25">
      <c r="A64" s="29"/>
      <c r="B64" s="11" t="str">
        <f>CONCATENATE("          ", "6285", " - ", "JANITORIAL SERVICES")</f>
        <v xml:space="preserve">          6285 - JANITORIAL SERVICES</v>
      </c>
      <c r="C64" s="11"/>
      <c r="D64" s="7">
        <v>5024.7700000000004</v>
      </c>
      <c r="E64" s="2"/>
      <c r="F64" s="6">
        <f t="shared" si="36"/>
        <v>0.10765017511896693</v>
      </c>
      <c r="G64" s="2"/>
      <c r="H64" s="7">
        <v>0</v>
      </c>
      <c r="I64" s="2"/>
      <c r="J64" s="6">
        <f t="shared" si="37"/>
        <v>0</v>
      </c>
      <c r="K64" s="2"/>
      <c r="L64" s="7">
        <f t="shared" si="38"/>
        <v>5024.7700000000004</v>
      </c>
      <c r="M64" s="2"/>
      <c r="N64" s="6">
        <f t="shared" si="39"/>
        <v>0</v>
      </c>
      <c r="O64" s="11"/>
      <c r="P64" s="7">
        <v>5024.7700000000004</v>
      </c>
      <c r="Q64" s="2"/>
      <c r="R64" s="6">
        <f t="shared" si="40"/>
        <v>0.10765017511896693</v>
      </c>
      <c r="S64" s="2"/>
      <c r="T64" s="7">
        <v>0</v>
      </c>
      <c r="U64" s="2"/>
      <c r="V64" s="6">
        <f t="shared" si="41"/>
        <v>0</v>
      </c>
      <c r="W64" s="2"/>
      <c r="X64" s="7">
        <f t="shared" si="42"/>
        <v>5024.7700000000004</v>
      </c>
      <c r="Y64" s="2"/>
      <c r="Z64" s="6">
        <f t="shared" si="43"/>
        <v>0</v>
      </c>
    </row>
    <row r="65" spans="1:26" s="24" customFormat="1" hidden="1" outlineLevel="2" x14ac:dyDescent="0.25">
      <c r="A65" s="29"/>
      <c r="B65" s="11" t="str">
        <f>CONCATENATE("          ", "6286", " - ", "LAUNDRY EXPENSE")</f>
        <v xml:space="preserve">          6286 - LAUNDRY EXPENSE</v>
      </c>
      <c r="C65" s="11"/>
      <c r="D65" s="7">
        <v>1273.73</v>
      </c>
      <c r="E65" s="2"/>
      <c r="F65" s="6">
        <f t="shared" si="36"/>
        <v>2.7288265443847531E-2</v>
      </c>
      <c r="G65" s="2"/>
      <c r="H65" s="7">
        <v>0</v>
      </c>
      <c r="I65" s="2"/>
      <c r="J65" s="6">
        <f t="shared" si="37"/>
        <v>0</v>
      </c>
      <c r="K65" s="2"/>
      <c r="L65" s="7">
        <f t="shared" si="38"/>
        <v>1273.73</v>
      </c>
      <c r="M65" s="2"/>
      <c r="N65" s="6">
        <f t="shared" si="39"/>
        <v>0</v>
      </c>
      <c r="O65" s="11"/>
      <c r="P65" s="7">
        <v>1273.73</v>
      </c>
      <c r="Q65" s="2"/>
      <c r="R65" s="6">
        <f t="shared" si="40"/>
        <v>2.7288265443847531E-2</v>
      </c>
      <c r="S65" s="2"/>
      <c r="T65" s="7">
        <v>0</v>
      </c>
      <c r="U65" s="2"/>
      <c r="V65" s="6">
        <f t="shared" si="41"/>
        <v>0</v>
      </c>
      <c r="W65" s="2"/>
      <c r="X65" s="7">
        <f t="shared" si="42"/>
        <v>1273.73</v>
      </c>
      <c r="Y65" s="2"/>
      <c r="Z65" s="6">
        <f t="shared" si="43"/>
        <v>0</v>
      </c>
    </row>
    <row r="66" spans="1:26" s="27" customFormat="1" outlineLevel="1" collapsed="1" x14ac:dyDescent="0.25">
      <c r="A66" s="28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SUM(OSRRefD22_11x_0)</f>
        <v>12088.16</v>
      </c>
      <c r="E66" s="1"/>
      <c r="F66" s="5">
        <f t="shared" ref="F66:F71" si="44">IF(D$12=0,0,D66/D$12)</f>
        <v>0.25897554333155376</v>
      </c>
      <c r="G66" s="1"/>
      <c r="H66" s="1">
        <f>SUM(OSRRefH22_11x_0)</f>
        <v>3500</v>
      </c>
      <c r="I66" s="1"/>
      <c r="J66" s="5">
        <f t="shared" ref="J66:J71" si="45">IF(H$12=0,0,H66/H$12)</f>
        <v>0</v>
      </c>
      <c r="K66" s="1"/>
      <c r="L66" s="1">
        <f t="shared" ref="L66:L71" si="46">+D66-H66</f>
        <v>8588.16</v>
      </c>
      <c r="M66" s="1"/>
      <c r="N66" s="5">
        <f t="shared" ref="N66:N71" si="47">IF(H66=0,0,L66/H66)</f>
        <v>2.4537599999999999</v>
      </c>
      <c r="O66" s="14"/>
      <c r="P66" s="1">
        <f>SUM(OSRRefP22_11x_0)</f>
        <v>12088.16</v>
      </c>
      <c r="Q66" s="1"/>
      <c r="R66" s="5">
        <f t="shared" ref="R66:R71" si="48">IF(P$12=0,0,P66/P$12)</f>
        <v>0.25897554333155376</v>
      </c>
      <c r="S66" s="1"/>
      <c r="T66" s="1">
        <f>SUM(OSRRefT22_11x_0)</f>
        <v>3500</v>
      </c>
      <c r="U66" s="1"/>
      <c r="V66" s="5">
        <f t="shared" ref="V66:V71" si="49">IF(T$12=0,0,T66/T$12)</f>
        <v>0</v>
      </c>
      <c r="W66" s="1"/>
      <c r="X66" s="1">
        <f t="shared" ref="X66:X71" si="50">+P66-T66</f>
        <v>8588.16</v>
      </c>
      <c r="Y66" s="1"/>
      <c r="Z66" s="5">
        <f t="shared" ref="Z66:Z71" si="51">IF(T66=0,0,X66/T66)</f>
        <v>2.4537599999999999</v>
      </c>
    </row>
    <row r="67" spans="1:26" s="24" customFormat="1" hidden="1" outlineLevel="2" x14ac:dyDescent="0.25">
      <c r="A67" s="29"/>
      <c r="B67" s="11" t="str">
        <f>CONCATENATE("          ", "6237", " - ", "JANITORIAL SUPPLIES")</f>
        <v xml:space="preserve">          6237 - JANITORIAL SUPPLIES</v>
      </c>
      <c r="C67" s="11"/>
      <c r="D67" s="7"/>
      <c r="E67" s="2"/>
      <c r="F67" s="6">
        <f t="shared" si="44"/>
        <v>0</v>
      </c>
      <c r="G67" s="2"/>
      <c r="H67" s="7">
        <v>0</v>
      </c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/>
      <c r="Q67" s="2"/>
      <c r="R67" s="6">
        <f t="shared" si="48"/>
        <v>0</v>
      </c>
      <c r="S67" s="2"/>
      <c r="T67" s="7">
        <v>0</v>
      </c>
      <c r="U67" s="2"/>
      <c r="V67" s="6">
        <f t="shared" si="49"/>
        <v>0</v>
      </c>
      <c r="W67" s="2"/>
      <c r="X67" s="7">
        <f t="shared" si="50"/>
        <v>0</v>
      </c>
      <c r="Y67" s="2"/>
      <c r="Z67" s="6">
        <f t="shared" si="51"/>
        <v>0</v>
      </c>
    </row>
    <row r="68" spans="1:26" s="24" customFormat="1" hidden="1" outlineLevel="2" x14ac:dyDescent="0.25">
      <c r="A68" s="29"/>
      <c r="B68" s="11" t="str">
        <f>CONCATENATE("          ", "6239", " - ", "KITCHEN SUPPLIES")</f>
        <v xml:space="preserve">          6239 - KITCHEN SUPPLIES</v>
      </c>
      <c r="C68" s="11"/>
      <c r="D68" s="7">
        <v>478.24</v>
      </c>
      <c r="E68" s="2"/>
      <c r="F68" s="6">
        <f t="shared" si="44"/>
        <v>1.0245766422919805E-2</v>
      </c>
      <c r="G68" s="2"/>
      <c r="H68" s="7">
        <v>0</v>
      </c>
      <c r="I68" s="2"/>
      <c r="J68" s="6">
        <f t="shared" si="45"/>
        <v>0</v>
      </c>
      <c r="K68" s="2"/>
      <c r="L68" s="7">
        <f t="shared" si="46"/>
        <v>478.24</v>
      </c>
      <c r="M68" s="2"/>
      <c r="N68" s="6">
        <f t="shared" si="47"/>
        <v>0</v>
      </c>
      <c r="O68" s="11"/>
      <c r="P68" s="7">
        <v>478.24</v>
      </c>
      <c r="Q68" s="2"/>
      <c r="R68" s="6">
        <f t="shared" si="48"/>
        <v>1.0245766422919805E-2</v>
      </c>
      <c r="S68" s="2"/>
      <c r="T68" s="7">
        <v>0</v>
      </c>
      <c r="U68" s="2"/>
      <c r="V68" s="6">
        <f t="shared" si="49"/>
        <v>0</v>
      </c>
      <c r="W68" s="2"/>
      <c r="X68" s="7">
        <f t="shared" si="50"/>
        <v>478.24</v>
      </c>
      <c r="Y68" s="2"/>
      <c r="Z68" s="6">
        <f t="shared" si="51"/>
        <v>0</v>
      </c>
    </row>
    <row r="69" spans="1:26" s="24" customFormat="1" hidden="1" outlineLevel="2" x14ac:dyDescent="0.25">
      <c r="A69" s="29"/>
      <c r="B69" s="11" t="str">
        <f>CONCATENATE("          ", "6241", " - ", "OFFICE EXPENSE")</f>
        <v xml:space="preserve">          6241 - OFFICE EXPENSE</v>
      </c>
      <c r="C69" s="11"/>
      <c r="D69" s="7">
        <v>19222.28</v>
      </c>
      <c r="E69" s="2"/>
      <c r="F69" s="6">
        <f t="shared" si="44"/>
        <v>0.41181622406315421</v>
      </c>
      <c r="G69" s="2"/>
      <c r="H69" s="7">
        <v>0</v>
      </c>
      <c r="I69" s="2"/>
      <c r="J69" s="6">
        <f t="shared" si="45"/>
        <v>0</v>
      </c>
      <c r="K69" s="2"/>
      <c r="L69" s="7">
        <f t="shared" si="46"/>
        <v>19222.28</v>
      </c>
      <c r="M69" s="2"/>
      <c r="N69" s="6">
        <f t="shared" si="47"/>
        <v>0</v>
      </c>
      <c r="O69" s="11"/>
      <c r="P69" s="7">
        <v>19222.28</v>
      </c>
      <c r="Q69" s="2"/>
      <c r="R69" s="6">
        <f t="shared" si="48"/>
        <v>0.41181622406315421</v>
      </c>
      <c r="S69" s="2"/>
      <c r="T69" s="7">
        <v>0</v>
      </c>
      <c r="U69" s="2"/>
      <c r="V69" s="6">
        <f t="shared" si="49"/>
        <v>0</v>
      </c>
      <c r="W69" s="2"/>
      <c r="X69" s="7">
        <f t="shared" si="50"/>
        <v>19222.28</v>
      </c>
      <c r="Y69" s="2"/>
      <c r="Z69" s="6">
        <f t="shared" si="51"/>
        <v>0</v>
      </c>
    </row>
    <row r="70" spans="1:26" s="24" customFormat="1" hidden="1" outlineLevel="2" x14ac:dyDescent="0.25">
      <c r="A70" s="29"/>
      <c r="B70" s="11" t="str">
        <f>CONCATENATE("          ", "6243", " - ", "PAPER SUPPLIES")</f>
        <v xml:space="preserve">          6243 - PAPER SUPPLIES</v>
      </c>
      <c r="C70" s="11"/>
      <c r="D70" s="7">
        <v>447.26</v>
      </c>
      <c r="E70" s="2"/>
      <c r="F70" s="6">
        <f t="shared" si="44"/>
        <v>9.5820539693775332E-3</v>
      </c>
      <c r="G70" s="2"/>
      <c r="H70" s="7">
        <v>0</v>
      </c>
      <c r="I70" s="2"/>
      <c r="J70" s="6">
        <f t="shared" si="45"/>
        <v>0</v>
      </c>
      <c r="K70" s="2"/>
      <c r="L70" s="7">
        <f t="shared" si="46"/>
        <v>447.26</v>
      </c>
      <c r="M70" s="2"/>
      <c r="N70" s="6">
        <f t="shared" si="47"/>
        <v>0</v>
      </c>
      <c r="O70" s="11"/>
      <c r="P70" s="7">
        <v>447.26</v>
      </c>
      <c r="Q70" s="2"/>
      <c r="R70" s="6">
        <f t="shared" si="48"/>
        <v>9.5820539693775332E-3</v>
      </c>
      <c r="S70" s="2"/>
      <c r="T70" s="7">
        <v>0</v>
      </c>
      <c r="U70" s="2"/>
      <c r="V70" s="6">
        <f t="shared" si="49"/>
        <v>0</v>
      </c>
      <c r="W70" s="2"/>
      <c r="X70" s="7">
        <f t="shared" si="50"/>
        <v>447.26</v>
      </c>
      <c r="Y70" s="2"/>
      <c r="Z70" s="6">
        <f t="shared" si="51"/>
        <v>0</v>
      </c>
    </row>
    <row r="71" spans="1:26" s="24" customFormat="1" hidden="1" outlineLevel="2" x14ac:dyDescent="0.25">
      <c r="A71" s="29"/>
      <c r="B71" s="11" t="str">
        <f>CONCATENATE("          ", "6248", " - ", "UNIFORMS")</f>
        <v xml:space="preserve">          6248 - UNIFORMS</v>
      </c>
      <c r="C71" s="11"/>
      <c r="D71" s="7">
        <v>-8059.62</v>
      </c>
      <c r="E71" s="2"/>
      <c r="F71" s="6">
        <f t="shared" si="44"/>
        <v>-0.17266850112389787</v>
      </c>
      <c r="G71" s="2"/>
      <c r="H71" s="7">
        <v>3500</v>
      </c>
      <c r="I71" s="2"/>
      <c r="J71" s="6">
        <f t="shared" si="45"/>
        <v>0</v>
      </c>
      <c r="K71" s="2"/>
      <c r="L71" s="7">
        <f t="shared" si="46"/>
        <v>-11559.619999999999</v>
      </c>
      <c r="M71" s="2"/>
      <c r="N71" s="6">
        <f t="shared" si="47"/>
        <v>-3.3027485714285709</v>
      </c>
      <c r="O71" s="11"/>
      <c r="P71" s="7">
        <v>-8059.62</v>
      </c>
      <c r="Q71" s="2"/>
      <c r="R71" s="6">
        <f t="shared" si="48"/>
        <v>-0.17266850112389787</v>
      </c>
      <c r="S71" s="2"/>
      <c r="T71" s="7">
        <v>3500</v>
      </c>
      <c r="U71" s="2"/>
      <c r="V71" s="6">
        <f t="shared" si="49"/>
        <v>0</v>
      </c>
      <c r="W71" s="2"/>
      <c r="X71" s="7">
        <f t="shared" si="50"/>
        <v>-11559.619999999999</v>
      </c>
      <c r="Y71" s="2"/>
      <c r="Z71" s="6">
        <f t="shared" si="51"/>
        <v>-3.3027485714285709</v>
      </c>
    </row>
    <row r="72" spans="1:26" s="27" customFormat="1" outlineLevel="1" collapsed="1" x14ac:dyDescent="0.25">
      <c r="A72" s="28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SUM(OSRRefD22_12x_0)</f>
        <v>30</v>
      </c>
      <c r="E72" s="1"/>
      <c r="F72" s="5">
        <f t="shared" ref="F72:F78" si="52">IF(D$12=0,0,D72/D$12)</f>
        <v>6.4271703054448416E-4</v>
      </c>
      <c r="G72" s="1"/>
      <c r="H72" s="1">
        <f>SUM(OSRRefH22_12x_0)</f>
        <v>233</v>
      </c>
      <c r="I72" s="1"/>
      <c r="J72" s="5">
        <f t="shared" ref="J72:J78" si="53">IF(H$12=0,0,H72/H$12)</f>
        <v>0</v>
      </c>
      <c r="K72" s="1"/>
      <c r="L72" s="1">
        <f t="shared" ref="L72:L78" si="54">+D72-H72</f>
        <v>-203</v>
      </c>
      <c r="M72" s="1"/>
      <c r="N72" s="5">
        <f t="shared" ref="N72:N78" si="55">IF(H72=0,0,L72/H72)</f>
        <v>-0.871244635193133</v>
      </c>
      <c r="O72" s="14"/>
      <c r="P72" s="1">
        <f>SUM(OSRRefP22_12x_0)</f>
        <v>30</v>
      </c>
      <c r="Q72" s="1"/>
      <c r="R72" s="5">
        <f t="shared" ref="R72:R78" si="56">IF(P$12=0,0,P72/P$12)</f>
        <v>6.4271703054448416E-4</v>
      </c>
      <c r="S72" s="1"/>
      <c r="T72" s="1">
        <f>SUM(OSRRefT22_12x_0)</f>
        <v>233</v>
      </c>
      <c r="U72" s="1"/>
      <c r="V72" s="5">
        <f t="shared" ref="V72:V78" si="57">IF(T$12=0,0,T72/T$12)</f>
        <v>0</v>
      </c>
      <c r="W72" s="1"/>
      <c r="X72" s="1">
        <f t="shared" ref="X72:X78" si="58">+P72-T72</f>
        <v>-203</v>
      </c>
      <c r="Y72" s="1"/>
      <c r="Z72" s="5">
        <f t="shared" ref="Z72:Z78" si="59">IF(T72=0,0,X72/T72)</f>
        <v>-0.871244635193133</v>
      </c>
    </row>
    <row r="73" spans="1:26" s="24" customFormat="1" hidden="1" outlineLevel="2" x14ac:dyDescent="0.25">
      <c r="A73" s="29"/>
      <c r="B73" s="11" t="str">
        <f>CONCATENATE("          ", "6309", " - ", "TELEPHONE")</f>
        <v xml:space="preserve">          6309 - TELEPHONE</v>
      </c>
      <c r="C73" s="11"/>
      <c r="D73" s="7">
        <v>30</v>
      </c>
      <c r="E73" s="2"/>
      <c r="F73" s="6">
        <f t="shared" si="52"/>
        <v>6.4271703054448416E-4</v>
      </c>
      <c r="G73" s="2"/>
      <c r="H73" s="7">
        <v>233</v>
      </c>
      <c r="I73" s="2"/>
      <c r="J73" s="6">
        <f t="shared" si="53"/>
        <v>0</v>
      </c>
      <c r="K73" s="2"/>
      <c r="L73" s="7">
        <f t="shared" si="54"/>
        <v>-203</v>
      </c>
      <c r="M73" s="2"/>
      <c r="N73" s="6">
        <f t="shared" si="55"/>
        <v>-0.871244635193133</v>
      </c>
      <c r="O73" s="11"/>
      <c r="P73" s="7">
        <v>30</v>
      </c>
      <c r="Q73" s="2"/>
      <c r="R73" s="6">
        <f t="shared" si="56"/>
        <v>6.4271703054448416E-4</v>
      </c>
      <c r="S73" s="2"/>
      <c r="T73" s="7">
        <v>233</v>
      </c>
      <c r="U73" s="2"/>
      <c r="V73" s="6">
        <f t="shared" si="57"/>
        <v>0</v>
      </c>
      <c r="W73" s="2"/>
      <c r="X73" s="7">
        <f t="shared" si="58"/>
        <v>-203</v>
      </c>
      <c r="Y73" s="2"/>
      <c r="Z73" s="6">
        <f t="shared" si="59"/>
        <v>-0.871244635193133</v>
      </c>
    </row>
    <row r="74" spans="1:26" s="27" customFormat="1" outlineLevel="1" collapsed="1" x14ac:dyDescent="0.25">
      <c r="A74" s="28"/>
      <c r="B74" s="14" t="str">
        <f>CONCATENATE("     ","Training                                          ")</f>
        <v xml:space="preserve">     Training                                          </v>
      </c>
      <c r="C74" s="14"/>
      <c r="D74" s="1">
        <f>SUM(OSRRefD22_13x_0)</f>
        <v>1047.05</v>
      </c>
      <c r="E74" s="1"/>
      <c r="F74" s="5">
        <f t="shared" si="52"/>
        <v>2.2431895561053405E-2</v>
      </c>
      <c r="G74" s="1"/>
      <c r="H74" s="1">
        <f>SUM(OSRRefH22_13x_0)</f>
        <v>1379</v>
      </c>
      <c r="I74" s="1"/>
      <c r="J74" s="5">
        <f t="shared" si="53"/>
        <v>0</v>
      </c>
      <c r="K74" s="1"/>
      <c r="L74" s="1">
        <f t="shared" si="54"/>
        <v>-331.95000000000005</v>
      </c>
      <c r="M74" s="1"/>
      <c r="N74" s="5">
        <f t="shared" si="55"/>
        <v>-0.24071791153009431</v>
      </c>
      <c r="O74" s="14"/>
      <c r="P74" s="1">
        <f>SUM(OSRRefP22_13x_0)</f>
        <v>1047.05</v>
      </c>
      <c r="Q74" s="1"/>
      <c r="R74" s="5">
        <f t="shared" si="56"/>
        <v>2.2431895561053405E-2</v>
      </c>
      <c r="S74" s="1"/>
      <c r="T74" s="1">
        <f>SUM(OSRRefT22_13x_0)</f>
        <v>1379</v>
      </c>
      <c r="U74" s="1"/>
      <c r="V74" s="5">
        <f t="shared" si="57"/>
        <v>0</v>
      </c>
      <c r="W74" s="1"/>
      <c r="X74" s="1">
        <f t="shared" si="58"/>
        <v>-331.95000000000005</v>
      </c>
      <c r="Y74" s="1"/>
      <c r="Z74" s="5">
        <f t="shared" si="59"/>
        <v>-0.24071791153009431</v>
      </c>
    </row>
    <row r="75" spans="1:26" s="24" customFormat="1" hidden="1" outlineLevel="2" x14ac:dyDescent="0.25">
      <c r="A75" s="29"/>
      <c r="B75" s="11" t="str">
        <f>CONCATENATE("          ", "6376", " - ", "TRAINING")</f>
        <v xml:space="preserve">          6376 - TRAINING</v>
      </c>
      <c r="C75" s="11"/>
      <c r="D75" s="7">
        <v>1047.05</v>
      </c>
      <c r="E75" s="2"/>
      <c r="F75" s="6">
        <f t="shared" si="52"/>
        <v>2.2431895561053405E-2</v>
      </c>
      <c r="G75" s="2"/>
      <c r="H75" s="7">
        <v>1379</v>
      </c>
      <c r="I75" s="2"/>
      <c r="J75" s="6">
        <f t="shared" si="53"/>
        <v>0</v>
      </c>
      <c r="K75" s="2"/>
      <c r="L75" s="7">
        <f t="shared" si="54"/>
        <v>-331.95000000000005</v>
      </c>
      <c r="M75" s="2"/>
      <c r="N75" s="6">
        <f t="shared" si="55"/>
        <v>-0.24071791153009431</v>
      </c>
      <c r="O75" s="11"/>
      <c r="P75" s="7">
        <v>1047.05</v>
      </c>
      <c r="Q75" s="2"/>
      <c r="R75" s="6">
        <f t="shared" si="56"/>
        <v>2.2431895561053405E-2</v>
      </c>
      <c r="S75" s="2"/>
      <c r="T75" s="7">
        <v>1379</v>
      </c>
      <c r="U75" s="2"/>
      <c r="V75" s="6">
        <f t="shared" si="57"/>
        <v>0</v>
      </c>
      <c r="W75" s="2"/>
      <c r="X75" s="7">
        <f t="shared" si="58"/>
        <v>-331.95000000000005</v>
      </c>
      <c r="Y75" s="2"/>
      <c r="Z75" s="6">
        <f t="shared" si="59"/>
        <v>-0.24071791153009431</v>
      </c>
    </row>
    <row r="76" spans="1:26" s="27" customFormat="1" outlineLevel="1" collapsed="1" x14ac:dyDescent="0.25">
      <c r="A76" s="28"/>
      <c r="B76" s="14" t="str">
        <f>CONCATENATE("     ","Travel                                            ")</f>
        <v xml:space="preserve">     Travel                                            </v>
      </c>
      <c r="C76" s="14"/>
      <c r="D76" s="1">
        <f>SUM(OSRRefD22_14x_0)</f>
        <v>79.510000000000005</v>
      </c>
      <c r="E76" s="1"/>
      <c r="F76" s="5">
        <f t="shared" si="52"/>
        <v>1.7034143699530648E-3</v>
      </c>
      <c r="G76" s="1"/>
      <c r="H76" s="1">
        <f>SUM(OSRRefH22_14x_0)</f>
        <v>50</v>
      </c>
      <c r="I76" s="1"/>
      <c r="J76" s="5">
        <f t="shared" si="53"/>
        <v>0</v>
      </c>
      <c r="K76" s="1"/>
      <c r="L76" s="1">
        <f t="shared" si="54"/>
        <v>29.510000000000005</v>
      </c>
      <c r="M76" s="1"/>
      <c r="N76" s="5">
        <f t="shared" si="55"/>
        <v>0.59020000000000006</v>
      </c>
      <c r="O76" s="14"/>
      <c r="P76" s="1">
        <f>SUM(OSRRefP22_14x_0)</f>
        <v>79.510000000000005</v>
      </c>
      <c r="Q76" s="1"/>
      <c r="R76" s="5">
        <f t="shared" si="56"/>
        <v>1.7034143699530648E-3</v>
      </c>
      <c r="S76" s="1"/>
      <c r="T76" s="1">
        <f>SUM(OSRRefT22_14x_0)</f>
        <v>50</v>
      </c>
      <c r="U76" s="1"/>
      <c r="V76" s="5">
        <f t="shared" si="57"/>
        <v>0</v>
      </c>
      <c r="W76" s="1"/>
      <c r="X76" s="1">
        <f t="shared" si="58"/>
        <v>29.510000000000005</v>
      </c>
      <c r="Y76" s="1"/>
      <c r="Z76" s="5">
        <f t="shared" si="59"/>
        <v>0.59020000000000006</v>
      </c>
    </row>
    <row r="77" spans="1:26" s="24" customFormat="1" hidden="1" outlineLevel="2" x14ac:dyDescent="0.25">
      <c r="A77" s="29"/>
      <c r="B77" s="11" t="str">
        <f>CONCATENATE("          ", "6292", " - ", "TRAVEL/CONFERENCE")</f>
        <v xml:space="preserve">          6292 - TRAVEL/CONFERENCE</v>
      </c>
      <c r="C77" s="11"/>
      <c r="D77" s="7">
        <v>79.510000000000005</v>
      </c>
      <c r="E77" s="2"/>
      <c r="F77" s="6">
        <f t="shared" si="52"/>
        <v>1.7034143699530648E-3</v>
      </c>
      <c r="G77" s="2"/>
      <c r="H77" s="7"/>
      <c r="I77" s="2"/>
      <c r="J77" s="6">
        <f t="shared" si="53"/>
        <v>0</v>
      </c>
      <c r="K77" s="2"/>
      <c r="L77" s="7">
        <f t="shared" si="54"/>
        <v>79.510000000000005</v>
      </c>
      <c r="M77" s="2"/>
      <c r="N77" s="6">
        <f t="shared" si="55"/>
        <v>0</v>
      </c>
      <c r="O77" s="11"/>
      <c r="P77" s="7">
        <v>79.510000000000005</v>
      </c>
      <c r="Q77" s="2"/>
      <c r="R77" s="6">
        <f t="shared" si="56"/>
        <v>1.7034143699530648E-3</v>
      </c>
      <c r="S77" s="2"/>
      <c r="T77" s="7"/>
      <c r="U77" s="2"/>
      <c r="V77" s="6">
        <f t="shared" si="57"/>
        <v>0</v>
      </c>
      <c r="W77" s="2"/>
      <c r="X77" s="7">
        <f t="shared" si="58"/>
        <v>79.510000000000005</v>
      </c>
      <c r="Y77" s="2"/>
      <c r="Z77" s="6">
        <f t="shared" si="59"/>
        <v>0</v>
      </c>
    </row>
    <row r="78" spans="1:26" s="24" customFormat="1" hidden="1" outlineLevel="2" x14ac:dyDescent="0.25">
      <c r="A78" s="29"/>
      <c r="B78" s="11" t="str">
        <f>CONCATENATE("          ", "6298", " - ", "VEHICLE MILEAGE")</f>
        <v xml:space="preserve">          6298 - VEHICLE MILEAGE</v>
      </c>
      <c r="C78" s="11"/>
      <c r="D78" s="7"/>
      <c r="E78" s="2"/>
      <c r="F78" s="6">
        <f t="shared" si="52"/>
        <v>0</v>
      </c>
      <c r="G78" s="2"/>
      <c r="H78" s="7">
        <v>50</v>
      </c>
      <c r="I78" s="2"/>
      <c r="J78" s="6">
        <f t="shared" si="53"/>
        <v>0</v>
      </c>
      <c r="K78" s="2"/>
      <c r="L78" s="7">
        <f t="shared" si="54"/>
        <v>-50</v>
      </c>
      <c r="M78" s="2"/>
      <c r="N78" s="6">
        <f t="shared" si="55"/>
        <v>-1</v>
      </c>
      <c r="O78" s="11"/>
      <c r="P78" s="7"/>
      <c r="Q78" s="2"/>
      <c r="R78" s="6">
        <f t="shared" si="56"/>
        <v>0</v>
      </c>
      <c r="S78" s="2"/>
      <c r="T78" s="7">
        <v>50</v>
      </c>
      <c r="U78" s="2"/>
      <c r="V78" s="6">
        <f t="shared" si="57"/>
        <v>0</v>
      </c>
      <c r="W78" s="2"/>
      <c r="X78" s="7">
        <f t="shared" si="58"/>
        <v>-50</v>
      </c>
      <c r="Y78" s="2"/>
      <c r="Z78" s="6">
        <f t="shared" si="59"/>
        <v>-1</v>
      </c>
    </row>
    <row r="79" spans="1:26" s="57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5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6" t="s">
        <v>3</v>
      </c>
      <c r="C82" s="26"/>
      <c r="D82" s="21">
        <f>+D20-D22+D80</f>
        <v>-50017.329999999994</v>
      </c>
      <c r="E82" s="13"/>
      <c r="F82" s="19">
        <f>IF(D$12=0,0,D82/D$12)</f>
        <v>-1.0715663271121181</v>
      </c>
      <c r="G82" s="13"/>
      <c r="H82" s="21">
        <f>+H20-H22+H80</f>
        <v>-48304.146450122294</v>
      </c>
      <c r="I82" s="13"/>
      <c r="J82" s="19">
        <f>IF(H$12=0,0,H82/H$12)</f>
        <v>0</v>
      </c>
      <c r="K82" s="15"/>
      <c r="L82" s="21">
        <f>+D82-H82</f>
        <v>-1713.1835498777</v>
      </c>
      <c r="M82" s="15"/>
      <c r="N82" s="19">
        <f>IF(H82=0,0,L82/H82)</f>
        <v>3.5466593983742002E-2</v>
      </c>
      <c r="O82" s="25"/>
      <c r="P82" s="21">
        <f>+P20-P22+P80</f>
        <v>-50017.329999999994</v>
      </c>
      <c r="Q82" s="13"/>
      <c r="R82" s="19">
        <f>IF(P$12=0,0,P82/P$12)</f>
        <v>-1.0715663271121181</v>
      </c>
      <c r="S82" s="13"/>
      <c r="T82" s="21">
        <f>+T20-T22+T80</f>
        <v>-48304.146450122294</v>
      </c>
      <c r="U82" s="13"/>
      <c r="V82" s="19">
        <f>IF(T$12=0,0,T82/T$12)</f>
        <v>0</v>
      </c>
      <c r="W82" s="15"/>
      <c r="X82" s="21">
        <f>+P82-T82</f>
        <v>-1713.1835498777</v>
      </c>
      <c r="Y82" s="15"/>
      <c r="Z82" s="19">
        <f>IF(T82=0,0,X82/T82)</f>
        <v>3.5466593983742002E-2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>
        <v>9705.49</v>
      </c>
      <c r="E84" s="4"/>
      <c r="F84" s="12">
        <f>IF(D$12=0,0,D84/D$12)</f>
        <v>0.20792945709263952</v>
      </c>
      <c r="G84" s="4"/>
      <c r="H84" s="4">
        <v>0</v>
      </c>
      <c r="I84" s="4"/>
      <c r="J84" s="12">
        <f>IF(H$12=0,0,H84/H$12)</f>
        <v>0</v>
      </c>
      <c r="K84" s="4"/>
      <c r="L84" s="4">
        <f>+D84-H84</f>
        <v>9705.49</v>
      </c>
      <c r="M84" s="4"/>
      <c r="N84" s="12">
        <f>IF(H84=0,0,L84/H84)</f>
        <v>0</v>
      </c>
      <c r="O84" s="10"/>
      <c r="P84" s="4">
        <v>9705.49</v>
      </c>
      <c r="Q84" s="4"/>
      <c r="R84" s="12">
        <f>IF(P$12=0,0,P84/P$12)</f>
        <v>0.20792945709263952</v>
      </c>
      <c r="S84" s="4"/>
      <c r="T84" s="4">
        <v>0</v>
      </c>
      <c r="U84" s="4"/>
      <c r="V84" s="12">
        <f>IF(T$12=0,0,T84/T$12)</f>
        <v>0</v>
      </c>
      <c r="W84" s="4"/>
      <c r="X84" s="4">
        <f>+P84-T84</f>
        <v>9705.49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4</v>
      </c>
      <c r="C86" s="26"/>
      <c r="D86" s="32">
        <f>+D82-D84</f>
        <v>-59722.819999999992</v>
      </c>
      <c r="E86" s="13"/>
      <c r="F86" s="31">
        <f>IF(D$12=0,0,D86/D$12)</f>
        <v>-1.2794957842047576</v>
      </c>
      <c r="G86" s="13"/>
      <c r="H86" s="32">
        <f>+H82-H84</f>
        <v>-48304.146450122294</v>
      </c>
      <c r="I86" s="13"/>
      <c r="J86" s="31">
        <f>IF(H$12=0,0,H86/H$12)</f>
        <v>0</v>
      </c>
      <c r="K86" s="15"/>
      <c r="L86" s="32">
        <f>D86-H86</f>
        <v>-11418.673549877698</v>
      </c>
      <c r="M86" s="15"/>
      <c r="N86" s="31">
        <f>IF(H86=0,0,L86/H86)</f>
        <v>0.23639116699160281</v>
      </c>
      <c r="O86" s="25"/>
      <c r="P86" s="32">
        <f>+P82-P84</f>
        <v>-59722.819999999992</v>
      </c>
      <c r="Q86" s="13"/>
      <c r="R86" s="31">
        <f>IF(P$12=0,0,P86/P$12)</f>
        <v>-1.2794957842047576</v>
      </c>
      <c r="S86" s="13"/>
      <c r="T86" s="32">
        <f>+T82-T84</f>
        <v>-48304.146450122294</v>
      </c>
      <c r="U86" s="13"/>
      <c r="V86" s="31">
        <f>IF(T$12=0,0,T86/T$12)</f>
        <v>0</v>
      </c>
      <c r="W86" s="15"/>
      <c r="X86" s="32">
        <f>P86-T86</f>
        <v>-11418.673549877698</v>
      </c>
      <c r="Y86" s="15"/>
      <c r="Z86" s="31">
        <f>IF(T86=0,0,X86/T86)</f>
        <v>0.23639116699160281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6" t="s">
        <v>5</v>
      </c>
      <c r="C89" s="26"/>
      <c r="D89" s="33">
        <f>SUM(D86:D88)</f>
        <v>-59722.819999999992</v>
      </c>
      <c r="E89" s="13"/>
      <c r="F89" s="34">
        <f>IF(D$12=0,0,D89/D$12)</f>
        <v>-1.2794957842047576</v>
      </c>
      <c r="G89" s="13"/>
      <c r="H89" s="33">
        <f>SUM(H86:H88)</f>
        <v>-48304.146450122294</v>
      </c>
      <c r="I89" s="13"/>
      <c r="J89" s="34">
        <f>IF(H$12=0,0,H89/H$12)</f>
        <v>0</v>
      </c>
      <c r="K89" s="15"/>
      <c r="L89" s="33">
        <f>+D89-H89</f>
        <v>-11418.673549877698</v>
      </c>
      <c r="M89" s="15"/>
      <c r="N89" s="34">
        <f>IF(H89=0,0,L89/H89)</f>
        <v>0.23639116699160281</v>
      </c>
      <c r="O89" s="25"/>
      <c r="P89" s="33">
        <f>SUM(P86:P88)</f>
        <v>-59722.819999999992</v>
      </c>
      <c r="Q89" s="13"/>
      <c r="R89" s="34">
        <f>IF(P$12=0,0,P89/P$12)</f>
        <v>-1.2794957842047576</v>
      </c>
      <c r="S89" s="13"/>
      <c r="T89" s="33">
        <f>SUM(T86:T88)</f>
        <v>-48304.146450122294</v>
      </c>
      <c r="U89" s="13"/>
      <c r="V89" s="34">
        <f>IF(T$12=0,0,T89/T$12)</f>
        <v>0</v>
      </c>
      <c r="W89" s="15"/>
      <c r="X89" s="33">
        <f>+P89-T89</f>
        <v>-11418.673549877698</v>
      </c>
      <c r="Y89" s="15"/>
      <c r="Z89" s="34">
        <f>IF(T89=0,0,X89/T89)</f>
        <v>0.23639116699160281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61">
        <v>43726.679233530092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56" t="s">
        <v>314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3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">
        <v>298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36911</v>
      </c>
      <c r="E12" s="4"/>
      <c r="F12" s="12"/>
      <c r="G12" s="4"/>
      <c r="H12" s="4">
        <f>SUM(OSRRefH13x_0)</f>
        <v>34840</v>
      </c>
      <c r="I12" s="4"/>
      <c r="J12" s="12"/>
      <c r="K12" s="4"/>
      <c r="L12" s="4">
        <f t="shared" ref="L12:L13" si="0">+D12-H12</f>
        <v>2071</v>
      </c>
      <c r="M12" s="4"/>
      <c r="N12" s="12">
        <f t="shared" ref="N12:N13" si="1">IF(H12=0,0,L12/H12)</f>
        <v>5.9443168771526979E-2</v>
      </c>
      <c r="O12" s="10"/>
      <c r="P12" s="4">
        <f>SUM(OSRRefP13x_0)</f>
        <v>36911</v>
      </c>
      <c r="Q12" s="4"/>
      <c r="R12" s="12"/>
      <c r="S12" s="4"/>
      <c r="T12" s="4">
        <f>SUM(OSRRefT13x_0)</f>
        <v>34840</v>
      </c>
      <c r="U12" s="4"/>
      <c r="V12" s="12"/>
      <c r="W12" s="4"/>
      <c r="X12" s="4">
        <f t="shared" ref="X12:X13" si="2">+P12-T12</f>
        <v>2071</v>
      </c>
      <c r="Y12" s="4"/>
      <c r="Z12" s="12">
        <f t="shared" ref="Z12:Z13" si="3">IF(T12=0,0,X12/T12)</f>
        <v>5.9443168771526979E-2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--36911</f>
        <v>36911</v>
      </c>
      <c r="E13" s="2"/>
      <c r="F13" s="22"/>
      <c r="G13" s="2"/>
      <c r="H13" s="2">
        <v>34840</v>
      </c>
      <c r="I13" s="2"/>
      <c r="J13" s="22"/>
      <c r="K13" s="2"/>
      <c r="L13" s="2">
        <f t="shared" si="0"/>
        <v>2071</v>
      </c>
      <c r="M13" s="2"/>
      <c r="N13" s="22">
        <f t="shared" si="1"/>
        <v>5.9443168771526979E-2</v>
      </c>
      <c r="O13" s="11"/>
      <c r="P13" s="2">
        <f>--36911</f>
        <v>36911</v>
      </c>
      <c r="Q13" s="2"/>
      <c r="R13" s="22"/>
      <c r="S13" s="2"/>
      <c r="T13" s="2">
        <v>34840</v>
      </c>
      <c r="U13" s="2"/>
      <c r="V13" s="22"/>
      <c r="W13" s="2"/>
      <c r="X13" s="2">
        <f t="shared" si="2"/>
        <v>2071</v>
      </c>
      <c r="Y13" s="2"/>
      <c r="Z13" s="22">
        <f t="shared" si="3"/>
        <v>5.9443168771526979E-2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1">
        <f>D12-D15</f>
        <v>36911</v>
      </c>
      <c r="E17" s="13"/>
      <c r="F17" s="19">
        <f>IF(D$12=0,0,D17/D$12)</f>
        <v>1</v>
      </c>
      <c r="G17" s="13"/>
      <c r="H17" s="21">
        <f>H12-H15</f>
        <v>34840</v>
      </c>
      <c r="I17" s="13"/>
      <c r="J17" s="19">
        <f>IF(H$12=0,0,H17/H$12)</f>
        <v>1</v>
      </c>
      <c r="K17" s="15"/>
      <c r="L17" s="21">
        <f>+D17-H17</f>
        <v>2071</v>
      </c>
      <c r="M17" s="15"/>
      <c r="N17" s="19">
        <f>IF(H17=0,0,L17/H17)</f>
        <v>5.9443168771526979E-2</v>
      </c>
      <c r="O17" s="25"/>
      <c r="P17" s="21">
        <f>P12-P15</f>
        <v>36911</v>
      </c>
      <c r="Q17" s="13"/>
      <c r="R17" s="19">
        <f>IF(P$12=0,0,P17/P$12)</f>
        <v>1</v>
      </c>
      <c r="S17" s="13"/>
      <c r="T17" s="21">
        <f>T12-T15</f>
        <v>34840</v>
      </c>
      <c r="U17" s="13"/>
      <c r="V17" s="19">
        <f>IF(T$12=0,0,T17/T$12)</f>
        <v>1</v>
      </c>
      <c r="W17" s="15"/>
      <c r="X17" s="21">
        <f>+P17-T17</f>
        <v>2071</v>
      </c>
      <c r="Y17" s="15"/>
      <c r="Z17" s="19">
        <f>IF(T17=0,0,X17/T17)</f>
        <v>5.9443168771526979E-2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0">
        <f>SUM(OSRRefD22x_0)</f>
        <v>37761.609999999993</v>
      </c>
      <c r="E19" s="20"/>
      <c r="F19" s="30">
        <f t="shared" ref="F19:F29" si="4">IF(D$12=0,0,D19/D$12)</f>
        <v>1.0230448917666819</v>
      </c>
      <c r="G19" s="20"/>
      <c r="H19" s="20">
        <f>SUM(OSRRefH22x_0)</f>
        <v>31769.753276057687</v>
      </c>
      <c r="I19" s="20"/>
      <c r="J19" s="30">
        <f t="shared" ref="J19:J29" si="5">IF(H$12=0,0,H19/H$12)</f>
        <v>0.91187581159752262</v>
      </c>
      <c r="K19" s="4"/>
      <c r="L19" s="20">
        <f t="shared" ref="L19:L29" si="6">+D19-H19</f>
        <v>5991.8567239423064</v>
      </c>
      <c r="M19" s="4"/>
      <c r="N19" s="30">
        <f t="shared" ref="N19:N29" si="7">IF(H19=0,0,L19/H19)</f>
        <v>0.18860255765529937</v>
      </c>
      <c r="O19" s="10"/>
      <c r="P19" s="20">
        <f>SUM(OSRRefP22x_0)</f>
        <v>37761.609999999993</v>
      </c>
      <c r="Q19" s="20"/>
      <c r="R19" s="30">
        <f t="shared" ref="R19:R29" si="8">IF(P$12=0,0,P19/P$12)</f>
        <v>1.0230448917666819</v>
      </c>
      <c r="S19" s="20"/>
      <c r="T19" s="20">
        <f>SUM(OSRRefT22x_0)</f>
        <v>31769.753276057687</v>
      </c>
      <c r="U19" s="20"/>
      <c r="V19" s="30">
        <f t="shared" ref="V19:V29" si="9">IF(T$12=0,0,T19/T$12)</f>
        <v>0.91187581159752262</v>
      </c>
      <c r="W19" s="4"/>
      <c r="X19" s="20">
        <f t="shared" ref="X19:X29" si="10">+P19-T19</f>
        <v>5991.8567239423064</v>
      </c>
      <c r="Y19" s="4"/>
      <c r="Z19" s="30">
        <f t="shared" ref="Z19:Z29" si="11">IF(T19=0,0,X19/T19)</f>
        <v>0.18860255765529937</v>
      </c>
    </row>
    <row r="20" spans="1:26" s="27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4399.3499999999995</v>
      </c>
      <c r="E20" s="1"/>
      <c r="F20" s="5">
        <f t="shared" si="4"/>
        <v>0.11918804692368128</v>
      </c>
      <c r="G20" s="1"/>
      <c r="H20" s="1">
        <f>SUM(OSRRefH22_0x_0)</f>
        <v>2436.9426991346122</v>
      </c>
      <c r="I20" s="1"/>
      <c r="J20" s="5">
        <f t="shared" si="5"/>
        <v>6.9946690560694955E-2</v>
      </c>
      <c r="K20" s="1"/>
      <c r="L20" s="1">
        <f t="shared" si="6"/>
        <v>1962.4073008653872</v>
      </c>
      <c r="M20" s="1"/>
      <c r="N20" s="5">
        <f t="shared" si="7"/>
        <v>0.80527428960978931</v>
      </c>
      <c r="O20" s="14"/>
      <c r="P20" s="1">
        <f>SUM(OSRRefP22_0x_0)</f>
        <v>4399.3499999999995</v>
      </c>
      <c r="Q20" s="1"/>
      <c r="R20" s="5">
        <f t="shared" si="8"/>
        <v>0.11918804692368128</v>
      </c>
      <c r="S20" s="1"/>
      <c r="T20" s="1">
        <f>SUM(OSRRefT22_0x_0)</f>
        <v>2436.9426991346122</v>
      </c>
      <c r="U20" s="1"/>
      <c r="V20" s="5">
        <f t="shared" si="9"/>
        <v>6.9946690560694955E-2</v>
      </c>
      <c r="W20" s="1"/>
      <c r="X20" s="1">
        <f t="shared" si="10"/>
        <v>1962.4073008653872</v>
      </c>
      <c r="Y20" s="1"/>
      <c r="Z20" s="5">
        <f t="shared" si="11"/>
        <v>0.80527428960978931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1065.93</v>
      </c>
      <c r="E21" s="2"/>
      <c r="F21" s="6">
        <f t="shared" si="4"/>
        <v>2.8878383137817997E-2</v>
      </c>
      <c r="G21" s="2"/>
      <c r="H21" s="7">
        <v>1303.1197260576898</v>
      </c>
      <c r="I21" s="2"/>
      <c r="J21" s="6">
        <f t="shared" si="5"/>
        <v>3.7402977211759177E-2</v>
      </c>
      <c r="K21" s="2"/>
      <c r="L21" s="7">
        <f t="shared" si="6"/>
        <v>-237.18972605768977</v>
      </c>
      <c r="M21" s="2"/>
      <c r="N21" s="6">
        <f t="shared" si="7"/>
        <v>-0.18201683338434035</v>
      </c>
      <c r="O21" s="11"/>
      <c r="P21" s="7">
        <v>1065.93</v>
      </c>
      <c r="Q21" s="2"/>
      <c r="R21" s="6">
        <f t="shared" si="8"/>
        <v>2.8878383137817997E-2</v>
      </c>
      <c r="S21" s="2"/>
      <c r="T21" s="7">
        <v>1303.1197260576898</v>
      </c>
      <c r="U21" s="2"/>
      <c r="V21" s="6">
        <f t="shared" si="9"/>
        <v>3.7402977211759177E-2</v>
      </c>
      <c r="W21" s="2"/>
      <c r="X21" s="7">
        <f t="shared" si="10"/>
        <v>-237.18972605768977</v>
      </c>
      <c r="Y21" s="2"/>
      <c r="Z21" s="6">
        <f t="shared" si="11"/>
        <v>-0.18201683338434035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49</v>
      </c>
      <c r="E22" s="2"/>
      <c r="F22" s="6">
        <f t="shared" si="4"/>
        <v>1.3275175421960932E-3</v>
      </c>
      <c r="G22" s="2"/>
      <c r="H22" s="7">
        <v>323.52377884615396</v>
      </c>
      <c r="I22" s="2"/>
      <c r="J22" s="6">
        <f t="shared" si="5"/>
        <v>9.2859867636668758E-3</v>
      </c>
      <c r="K22" s="2"/>
      <c r="L22" s="7">
        <f t="shared" si="6"/>
        <v>-274.52377884615396</v>
      </c>
      <c r="M22" s="2"/>
      <c r="N22" s="6">
        <f t="shared" si="7"/>
        <v>-0.84854281754881122</v>
      </c>
      <c r="O22" s="11"/>
      <c r="P22" s="7">
        <v>49</v>
      </c>
      <c r="Q22" s="2"/>
      <c r="R22" s="6">
        <f t="shared" si="8"/>
        <v>1.3275175421960932E-3</v>
      </c>
      <c r="S22" s="2"/>
      <c r="T22" s="7">
        <v>323.52377884615396</v>
      </c>
      <c r="U22" s="2"/>
      <c r="V22" s="6">
        <f t="shared" si="9"/>
        <v>9.2859867636668758E-3</v>
      </c>
      <c r="W22" s="2"/>
      <c r="X22" s="7">
        <f t="shared" si="10"/>
        <v>-274.52377884615396</v>
      </c>
      <c r="Y22" s="2"/>
      <c r="Z22" s="6">
        <f t="shared" si="11"/>
        <v>-0.84854281754881122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1243.31</v>
      </c>
      <c r="E23" s="2"/>
      <c r="F23" s="6">
        <f t="shared" si="4"/>
        <v>3.368399664056785E-2</v>
      </c>
      <c r="G23" s="2"/>
      <c r="H23" s="7">
        <v>138.1</v>
      </c>
      <c r="I23" s="2"/>
      <c r="J23" s="6">
        <f t="shared" si="5"/>
        <v>3.9638346727898961E-3</v>
      </c>
      <c r="K23" s="2"/>
      <c r="L23" s="7">
        <f t="shared" si="6"/>
        <v>1105.21</v>
      </c>
      <c r="M23" s="2"/>
      <c r="N23" s="6">
        <f t="shared" si="7"/>
        <v>8.0029688631426517</v>
      </c>
      <c r="O23" s="11"/>
      <c r="P23" s="7">
        <v>1243.31</v>
      </c>
      <c r="Q23" s="2"/>
      <c r="R23" s="6">
        <f t="shared" si="8"/>
        <v>3.368399664056785E-2</v>
      </c>
      <c r="S23" s="2"/>
      <c r="T23" s="7">
        <v>138.1</v>
      </c>
      <c r="U23" s="2"/>
      <c r="V23" s="6">
        <f t="shared" si="9"/>
        <v>3.9638346727898961E-3</v>
      </c>
      <c r="W23" s="2"/>
      <c r="X23" s="7">
        <f t="shared" si="10"/>
        <v>1105.21</v>
      </c>
      <c r="Y23" s="2"/>
      <c r="Z23" s="6">
        <f t="shared" si="11"/>
        <v>8.0029688631426517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37.47</v>
      </c>
      <c r="E24" s="2"/>
      <c r="F24" s="6">
        <f t="shared" si="4"/>
        <v>1.015144536858931E-3</v>
      </c>
      <c r="G24" s="2"/>
      <c r="H24" s="7">
        <v>44.271675000000002</v>
      </c>
      <c r="I24" s="2"/>
      <c r="J24" s="6">
        <f t="shared" si="5"/>
        <v>1.2707139781859931E-3</v>
      </c>
      <c r="K24" s="2"/>
      <c r="L24" s="7">
        <f t="shared" si="6"/>
        <v>-6.801675000000003</v>
      </c>
      <c r="M24" s="2"/>
      <c r="N24" s="6">
        <f t="shared" si="7"/>
        <v>-0.15363491442327409</v>
      </c>
      <c r="O24" s="11"/>
      <c r="P24" s="7">
        <v>37.47</v>
      </c>
      <c r="Q24" s="2"/>
      <c r="R24" s="6">
        <f t="shared" si="8"/>
        <v>1.015144536858931E-3</v>
      </c>
      <c r="S24" s="2"/>
      <c r="T24" s="7">
        <v>44.271675000000002</v>
      </c>
      <c r="U24" s="2"/>
      <c r="V24" s="6">
        <f t="shared" si="9"/>
        <v>1.2707139781859931E-3</v>
      </c>
      <c r="W24" s="2"/>
      <c r="X24" s="7">
        <f t="shared" si="10"/>
        <v>-6.801675000000003</v>
      </c>
      <c r="Y24" s="2"/>
      <c r="Z24" s="6">
        <f t="shared" si="11"/>
        <v>-0.15363491442327409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609.02</v>
      </c>
      <c r="E25" s="2"/>
      <c r="F25" s="6">
        <f t="shared" si="4"/>
        <v>1.6499688439760504E-2</v>
      </c>
      <c r="G25" s="2"/>
      <c r="H25" s="7">
        <v>71.170788461538493</v>
      </c>
      <c r="I25" s="2"/>
      <c r="J25" s="6">
        <f t="shared" si="5"/>
        <v>2.0427895654861793E-3</v>
      </c>
      <c r="K25" s="2"/>
      <c r="L25" s="7">
        <f t="shared" si="6"/>
        <v>537.84921153846153</v>
      </c>
      <c r="M25" s="2"/>
      <c r="N25" s="6">
        <f t="shared" si="7"/>
        <v>7.5571624702334352</v>
      </c>
      <c r="O25" s="11"/>
      <c r="P25" s="7">
        <v>609.02</v>
      </c>
      <c r="Q25" s="2"/>
      <c r="R25" s="6">
        <f t="shared" si="8"/>
        <v>1.6499688439760504E-2</v>
      </c>
      <c r="S25" s="2"/>
      <c r="T25" s="7">
        <v>71.170788461538493</v>
      </c>
      <c r="U25" s="2"/>
      <c r="V25" s="6">
        <f t="shared" si="9"/>
        <v>2.0427895654861793E-3</v>
      </c>
      <c r="W25" s="2"/>
      <c r="X25" s="7">
        <f t="shared" si="10"/>
        <v>537.84921153846153</v>
      </c>
      <c r="Y25" s="2"/>
      <c r="Z25" s="6">
        <f t="shared" si="11"/>
        <v>7.5571624702334352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843.36</v>
      </c>
      <c r="E27" s="2"/>
      <c r="F27" s="6">
        <f t="shared" si="4"/>
        <v>2.2848473354826475E-2</v>
      </c>
      <c r="G27" s="2"/>
      <c r="H27" s="7">
        <v>41.3783653846154</v>
      </c>
      <c r="I27" s="2"/>
      <c r="J27" s="6">
        <f t="shared" si="5"/>
        <v>1.1876683520268484E-3</v>
      </c>
      <c r="K27" s="2"/>
      <c r="L27" s="7">
        <f t="shared" si="6"/>
        <v>801.98163461538456</v>
      </c>
      <c r="M27" s="2"/>
      <c r="N27" s="6">
        <f t="shared" si="7"/>
        <v>19.381665446686874</v>
      </c>
      <c r="O27" s="11"/>
      <c r="P27" s="7">
        <v>843.36</v>
      </c>
      <c r="Q27" s="2"/>
      <c r="R27" s="6">
        <f t="shared" si="8"/>
        <v>2.2848473354826475E-2</v>
      </c>
      <c r="S27" s="2"/>
      <c r="T27" s="7">
        <v>41.3783653846154</v>
      </c>
      <c r="U27" s="2"/>
      <c r="V27" s="6">
        <f t="shared" si="9"/>
        <v>1.1876683520268484E-3</v>
      </c>
      <c r="W27" s="2"/>
      <c r="X27" s="7">
        <f t="shared" si="10"/>
        <v>801.98163461538456</v>
      </c>
      <c r="Y27" s="2"/>
      <c r="Z27" s="6">
        <f t="shared" si="11"/>
        <v>19.381665446686874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418.38</v>
      </c>
      <c r="E28" s="2"/>
      <c r="F28" s="6">
        <f t="shared" si="4"/>
        <v>1.1334832434775542E-2</v>
      </c>
      <c r="G28" s="2"/>
      <c r="H28" s="7">
        <v>365.37836538461499</v>
      </c>
      <c r="I28" s="2"/>
      <c r="J28" s="6">
        <f t="shared" si="5"/>
        <v>1.0487323920339122E-2</v>
      </c>
      <c r="K28" s="2"/>
      <c r="L28" s="7">
        <f t="shared" si="6"/>
        <v>53.001634615385001</v>
      </c>
      <c r="M28" s="2"/>
      <c r="N28" s="6">
        <f t="shared" si="7"/>
        <v>0.14505958654556053</v>
      </c>
      <c r="O28" s="11"/>
      <c r="P28" s="7">
        <v>418.38</v>
      </c>
      <c r="Q28" s="2"/>
      <c r="R28" s="6">
        <f t="shared" si="8"/>
        <v>1.1334832434775542E-2</v>
      </c>
      <c r="S28" s="2"/>
      <c r="T28" s="7">
        <v>365.37836538461499</v>
      </c>
      <c r="U28" s="2"/>
      <c r="V28" s="6">
        <f t="shared" si="9"/>
        <v>1.0487323920339122E-2</v>
      </c>
      <c r="W28" s="2"/>
      <c r="X28" s="7">
        <f t="shared" si="10"/>
        <v>53.001634615385001</v>
      </c>
      <c r="Y28" s="2"/>
      <c r="Z28" s="6">
        <f t="shared" si="11"/>
        <v>0.14505958654556053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132.88</v>
      </c>
      <c r="E29" s="2"/>
      <c r="F29" s="6">
        <f t="shared" si="4"/>
        <v>3.6000108368778954E-3</v>
      </c>
      <c r="G29" s="2"/>
      <c r="H29" s="7">
        <v>150</v>
      </c>
      <c r="I29" s="2"/>
      <c r="J29" s="6">
        <f t="shared" si="5"/>
        <v>4.3053960964408722E-3</v>
      </c>
      <c r="K29" s="2"/>
      <c r="L29" s="7">
        <f t="shared" si="6"/>
        <v>-17.120000000000005</v>
      </c>
      <c r="M29" s="2"/>
      <c r="N29" s="6">
        <f t="shared" si="7"/>
        <v>-0.11413333333333336</v>
      </c>
      <c r="O29" s="11"/>
      <c r="P29" s="7">
        <v>132.88</v>
      </c>
      <c r="Q29" s="2"/>
      <c r="R29" s="6">
        <f t="shared" si="8"/>
        <v>3.6000108368778954E-3</v>
      </c>
      <c r="S29" s="2"/>
      <c r="T29" s="7">
        <v>150</v>
      </c>
      <c r="U29" s="2"/>
      <c r="V29" s="6">
        <f t="shared" si="9"/>
        <v>4.3053960964408722E-3</v>
      </c>
      <c r="W29" s="2"/>
      <c r="X29" s="7">
        <f t="shared" si="10"/>
        <v>-17.120000000000005</v>
      </c>
      <c r="Y29" s="2"/>
      <c r="Z29" s="6">
        <f t="shared" si="11"/>
        <v>-0.11413333333333336</v>
      </c>
    </row>
    <row r="30" spans="1:26" s="27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17820.689999999999</v>
      </c>
      <c r="E30" s="1"/>
      <c r="F30" s="5">
        <f t="shared" ref="F30:F40" si="12">IF(D$12=0,0,D30/D$12)</f>
        <v>0.48280160385792847</v>
      </c>
      <c r="G30" s="1"/>
      <c r="H30" s="1">
        <f>SUM(OSRRefH22_1x_0)</f>
        <v>16620.810576923075</v>
      </c>
      <c r="I30" s="1"/>
      <c r="J30" s="5">
        <f t="shared" ref="J30:J40" si="13">IF(H$12=0,0,H30/H$12)</f>
        <v>0.47706115318378517</v>
      </c>
      <c r="K30" s="1"/>
      <c r="L30" s="1">
        <f t="shared" ref="L30:L40" si="14">+D30-H30</f>
        <v>1199.8794230769236</v>
      </c>
      <c r="M30" s="1"/>
      <c r="N30" s="5">
        <f t="shared" ref="N30:N40" si="15">IF(H30=0,0,L30/H30)</f>
        <v>7.2191390276890519E-2</v>
      </c>
      <c r="O30" s="14"/>
      <c r="P30" s="1">
        <f>SUM(OSRRefP22_1x_0)</f>
        <v>17820.689999999999</v>
      </c>
      <c r="Q30" s="1"/>
      <c r="R30" s="5">
        <f t="shared" ref="R30:R40" si="16">IF(P$12=0,0,P30/P$12)</f>
        <v>0.48280160385792847</v>
      </c>
      <c r="S30" s="1"/>
      <c r="T30" s="1">
        <f>SUM(OSRRefT22_1x_0)</f>
        <v>16620.810576923075</v>
      </c>
      <c r="U30" s="1"/>
      <c r="V30" s="5">
        <f t="shared" ref="V30:V40" si="17">IF(T$12=0,0,T30/T$12)</f>
        <v>0.47706115318378517</v>
      </c>
      <c r="W30" s="1"/>
      <c r="X30" s="1">
        <f t="shared" ref="X30:X40" si="18">+P30-T30</f>
        <v>1199.8794230769236</v>
      </c>
      <c r="Y30" s="1"/>
      <c r="Z30" s="5">
        <f t="shared" ref="Z30:Z40" si="19">IF(T30=0,0,X30/T30)</f>
        <v>7.2191390276890519E-2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6554.73</v>
      </c>
      <c r="E32" s="2"/>
      <c r="F32" s="6">
        <f t="shared" si="12"/>
        <v>0.1775820216195714</v>
      </c>
      <c r="G32" s="2"/>
      <c r="H32" s="7">
        <v>744.81057692307706</v>
      </c>
      <c r="I32" s="2"/>
      <c r="J32" s="6">
        <f t="shared" si="13"/>
        <v>2.1378030336483268E-2</v>
      </c>
      <c r="K32" s="2"/>
      <c r="L32" s="7">
        <f t="shared" si="14"/>
        <v>5809.9194230769226</v>
      </c>
      <c r="M32" s="2"/>
      <c r="N32" s="6">
        <f t="shared" si="15"/>
        <v>7.8005329181529097</v>
      </c>
      <c r="O32" s="11"/>
      <c r="P32" s="7">
        <v>6554.73</v>
      </c>
      <c r="Q32" s="2"/>
      <c r="R32" s="6">
        <f t="shared" si="16"/>
        <v>0.1775820216195714</v>
      </c>
      <c r="S32" s="2"/>
      <c r="T32" s="7">
        <v>744.81057692307706</v>
      </c>
      <c r="U32" s="2"/>
      <c r="V32" s="6">
        <f t="shared" si="17"/>
        <v>2.1378030336483268E-2</v>
      </c>
      <c r="W32" s="2"/>
      <c r="X32" s="7">
        <f t="shared" si="18"/>
        <v>5809.9194230769226</v>
      </c>
      <c r="Y32" s="2"/>
      <c r="Z32" s="6">
        <f t="shared" si="19"/>
        <v>7.8005329181529097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3381</v>
      </c>
      <c r="I34" s="2"/>
      <c r="J34" s="6">
        <f t="shared" si="13"/>
        <v>9.7043628013777264E-2</v>
      </c>
      <c r="K34" s="2"/>
      <c r="L34" s="7">
        <f t="shared" si="14"/>
        <v>-3381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3381</v>
      </c>
      <c r="U34" s="2"/>
      <c r="V34" s="6">
        <f t="shared" si="17"/>
        <v>9.7043628013777264E-2</v>
      </c>
      <c r="W34" s="2"/>
      <c r="X34" s="7">
        <f t="shared" si="18"/>
        <v>-3381</v>
      </c>
      <c r="Y34" s="2"/>
      <c r="Z34" s="6">
        <f t="shared" si="19"/>
        <v>-1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5355.94</v>
      </c>
      <c r="E35" s="2"/>
      <c r="F35" s="6">
        <f t="shared" si="12"/>
        <v>0.14510416948877028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5355.94</v>
      </c>
      <c r="M35" s="2"/>
      <c r="N35" s="6">
        <f t="shared" si="15"/>
        <v>0</v>
      </c>
      <c r="O35" s="11"/>
      <c r="P35" s="7">
        <v>5355.94</v>
      </c>
      <c r="Q35" s="2"/>
      <c r="R35" s="6">
        <f t="shared" si="16"/>
        <v>0.14510416948877028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5355.94</v>
      </c>
      <c r="Y35" s="2"/>
      <c r="Z35" s="6">
        <f t="shared" si="19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5428.71</v>
      </c>
      <c r="E37" s="2"/>
      <c r="F37" s="6">
        <f t="shared" si="12"/>
        <v>0.14707566849990517</v>
      </c>
      <c r="G37" s="2"/>
      <c r="H37" s="7">
        <v>12495</v>
      </c>
      <c r="I37" s="2"/>
      <c r="J37" s="6">
        <f t="shared" si="13"/>
        <v>0.3586394948335247</v>
      </c>
      <c r="K37" s="2"/>
      <c r="L37" s="7">
        <f t="shared" si="14"/>
        <v>-7066.29</v>
      </c>
      <c r="M37" s="2"/>
      <c r="N37" s="6">
        <f t="shared" si="15"/>
        <v>-0.56552941176470584</v>
      </c>
      <c r="O37" s="11"/>
      <c r="P37" s="7">
        <v>5428.71</v>
      </c>
      <c r="Q37" s="2"/>
      <c r="R37" s="6">
        <f t="shared" si="16"/>
        <v>0.14707566849990517</v>
      </c>
      <c r="S37" s="2"/>
      <c r="T37" s="7">
        <v>12495</v>
      </c>
      <c r="U37" s="2"/>
      <c r="V37" s="6">
        <f t="shared" si="17"/>
        <v>0.3586394948335247</v>
      </c>
      <c r="W37" s="2"/>
      <c r="X37" s="7">
        <f t="shared" si="18"/>
        <v>-7066.29</v>
      </c>
      <c r="Y37" s="2"/>
      <c r="Z37" s="6">
        <f t="shared" si="19"/>
        <v>-0.56552941176470584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>
        <v>481.31</v>
      </c>
      <c r="E38" s="2"/>
      <c r="F38" s="6">
        <f t="shared" si="12"/>
        <v>1.3039744249681667E-2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481.31</v>
      </c>
      <c r="M38" s="2"/>
      <c r="N38" s="6">
        <f t="shared" si="15"/>
        <v>0</v>
      </c>
      <c r="O38" s="11"/>
      <c r="P38" s="7">
        <v>481.31</v>
      </c>
      <c r="Q38" s="2"/>
      <c r="R38" s="6">
        <f t="shared" si="16"/>
        <v>1.3039744249681667E-2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481.31</v>
      </c>
      <c r="Y38" s="2"/>
      <c r="Z38" s="6">
        <f t="shared" si="19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7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9" si="20">IF(D$12=0,0,D41/D$12)</f>
        <v>0</v>
      </c>
      <c r="G41" s="1"/>
      <c r="H41" s="1">
        <f>SUM(OSRRefH22_2x_0)</f>
        <v>400</v>
      </c>
      <c r="I41" s="1"/>
      <c r="J41" s="5">
        <f t="shared" ref="J41:J59" si="21">IF(H$12=0,0,H41/H$12)</f>
        <v>1.1481056257175661E-2</v>
      </c>
      <c r="K41" s="1"/>
      <c r="L41" s="1">
        <f t="shared" ref="L41:L59" si="22">+D41-H41</f>
        <v>-400</v>
      </c>
      <c r="M41" s="1"/>
      <c r="N41" s="5">
        <f t="shared" ref="N41:N59" si="23">IF(H41=0,0,L41/H41)</f>
        <v>-1</v>
      </c>
      <c r="O41" s="14"/>
      <c r="P41" s="1">
        <f>SUM(OSRRefP22_2x_0)</f>
        <v>0</v>
      </c>
      <c r="Q41" s="1"/>
      <c r="R41" s="5">
        <f t="shared" ref="R41:R59" si="24">IF(P$12=0,0,P41/P$12)</f>
        <v>0</v>
      </c>
      <c r="S41" s="1"/>
      <c r="T41" s="1">
        <f>SUM(OSRRefT22_2x_0)</f>
        <v>400</v>
      </c>
      <c r="U41" s="1"/>
      <c r="V41" s="5">
        <f t="shared" ref="V41:V59" si="25">IF(T$12=0,0,T41/T$12)</f>
        <v>1.1481056257175661E-2</v>
      </c>
      <c r="W41" s="1"/>
      <c r="X41" s="1">
        <f t="shared" ref="X41:X59" si="26">+P41-T41</f>
        <v>-400</v>
      </c>
      <c r="Y41" s="1"/>
      <c r="Z41" s="5">
        <f t="shared" ref="Z41:Z59" si="27">IF(T41=0,0,X41/T41)</f>
        <v>-1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0"/>
        <v>0</v>
      </c>
      <c r="G42" s="2"/>
      <c r="H42" s="7">
        <v>400</v>
      </c>
      <c r="I42" s="2"/>
      <c r="J42" s="6">
        <f t="shared" si="21"/>
        <v>1.1481056257175661E-2</v>
      </c>
      <c r="K42" s="2"/>
      <c r="L42" s="7">
        <f t="shared" si="22"/>
        <v>-400</v>
      </c>
      <c r="M42" s="2"/>
      <c r="N42" s="6">
        <f t="shared" si="23"/>
        <v>-1</v>
      </c>
      <c r="O42" s="11"/>
      <c r="P42" s="7"/>
      <c r="Q42" s="2"/>
      <c r="R42" s="6">
        <f t="shared" si="24"/>
        <v>0</v>
      </c>
      <c r="S42" s="2"/>
      <c r="T42" s="7">
        <v>400</v>
      </c>
      <c r="U42" s="2"/>
      <c r="V42" s="6">
        <f t="shared" si="25"/>
        <v>1.1481056257175661E-2</v>
      </c>
      <c r="W42" s="2"/>
      <c r="X42" s="7">
        <f t="shared" si="26"/>
        <v>-400</v>
      </c>
      <c r="Y42" s="2"/>
      <c r="Z42" s="6">
        <f t="shared" si="27"/>
        <v>-1</v>
      </c>
    </row>
    <row r="43" spans="1:26" s="27" customFormat="1" outlineLevel="1" collapsed="1" x14ac:dyDescent="0.25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319.7</v>
      </c>
      <c r="E43" s="1"/>
      <c r="F43" s="5">
        <f t="shared" si="20"/>
        <v>8.661374657961041E-3</v>
      </c>
      <c r="G43" s="1"/>
      <c r="H43" s="1">
        <f>SUM(OSRRefH22_3x_0)</f>
        <v>1500</v>
      </c>
      <c r="I43" s="1"/>
      <c r="J43" s="5">
        <f t="shared" si="21"/>
        <v>4.3053960964408729E-2</v>
      </c>
      <c r="K43" s="1"/>
      <c r="L43" s="1">
        <f t="shared" si="22"/>
        <v>-1180.3</v>
      </c>
      <c r="M43" s="1"/>
      <c r="N43" s="5">
        <f t="shared" si="23"/>
        <v>-0.7868666666666666</v>
      </c>
      <c r="O43" s="14"/>
      <c r="P43" s="1">
        <f>SUM(OSRRefP22_3x_0)</f>
        <v>319.7</v>
      </c>
      <c r="Q43" s="1"/>
      <c r="R43" s="5">
        <f t="shared" si="24"/>
        <v>8.661374657961041E-3</v>
      </c>
      <c r="S43" s="1"/>
      <c r="T43" s="1">
        <f>SUM(OSRRefT22_3x_0)</f>
        <v>1500</v>
      </c>
      <c r="U43" s="1"/>
      <c r="V43" s="5">
        <f t="shared" si="25"/>
        <v>4.3053960964408729E-2</v>
      </c>
      <c r="W43" s="1"/>
      <c r="X43" s="1">
        <f t="shared" si="26"/>
        <v>-1180.3</v>
      </c>
      <c r="Y43" s="1"/>
      <c r="Z43" s="5">
        <f t="shared" si="27"/>
        <v>-0.7868666666666666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7">
        <v>319.7</v>
      </c>
      <c r="E44" s="2"/>
      <c r="F44" s="6">
        <f t="shared" si="20"/>
        <v>8.661374657961041E-3</v>
      </c>
      <c r="G44" s="2"/>
      <c r="H44" s="7">
        <v>1500</v>
      </c>
      <c r="I44" s="2"/>
      <c r="J44" s="6">
        <f t="shared" si="21"/>
        <v>4.3053960964408729E-2</v>
      </c>
      <c r="K44" s="2"/>
      <c r="L44" s="7">
        <f t="shared" si="22"/>
        <v>-1180.3</v>
      </c>
      <c r="M44" s="2"/>
      <c r="N44" s="6">
        <f t="shared" si="23"/>
        <v>-0.7868666666666666</v>
      </c>
      <c r="O44" s="11"/>
      <c r="P44" s="7">
        <v>319.7</v>
      </c>
      <c r="Q44" s="2"/>
      <c r="R44" s="6">
        <f t="shared" si="24"/>
        <v>8.661374657961041E-3</v>
      </c>
      <c r="S44" s="2"/>
      <c r="T44" s="7">
        <v>1500</v>
      </c>
      <c r="U44" s="2"/>
      <c r="V44" s="6">
        <f t="shared" si="25"/>
        <v>4.3053960964408729E-2</v>
      </c>
      <c r="W44" s="2"/>
      <c r="X44" s="7">
        <f t="shared" si="26"/>
        <v>-1180.3</v>
      </c>
      <c r="Y44" s="2"/>
      <c r="Z44" s="6">
        <f t="shared" si="27"/>
        <v>-0.7868666666666666</v>
      </c>
    </row>
    <row r="45" spans="1:26" s="27" customFormat="1" outlineLevel="1" collapsed="1" x14ac:dyDescent="0.25">
      <c r="A45" s="28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2.1526980482204361E-3</v>
      </c>
      <c r="K45" s="1"/>
      <c r="L45" s="1">
        <f t="shared" si="22"/>
        <v>-75</v>
      </c>
      <c r="M45" s="1"/>
      <c r="N45" s="5">
        <f t="shared" si="23"/>
        <v>-1</v>
      </c>
      <c r="O45" s="14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75</v>
      </c>
      <c r="U45" s="1"/>
      <c r="V45" s="5">
        <f t="shared" si="25"/>
        <v>2.1526980482204361E-3</v>
      </c>
      <c r="W45" s="1"/>
      <c r="X45" s="1">
        <f t="shared" si="26"/>
        <v>-75</v>
      </c>
      <c r="Y45" s="1"/>
      <c r="Z45" s="5">
        <f t="shared" si="27"/>
        <v>-1</v>
      </c>
    </row>
    <row r="46" spans="1:26" s="24" customFormat="1" hidden="1" outlineLevel="2" x14ac:dyDescent="0.25">
      <c r="A46" s="29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0"/>
        <v>0</v>
      </c>
      <c r="G46" s="2"/>
      <c r="H46" s="7">
        <v>75</v>
      </c>
      <c r="I46" s="2"/>
      <c r="J46" s="6">
        <f t="shared" si="21"/>
        <v>2.1526980482204361E-3</v>
      </c>
      <c r="K46" s="2"/>
      <c r="L46" s="7">
        <f t="shared" si="22"/>
        <v>-75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75</v>
      </c>
      <c r="U46" s="2"/>
      <c r="V46" s="6">
        <f t="shared" si="25"/>
        <v>2.1526980482204361E-3</v>
      </c>
      <c r="W46" s="2"/>
      <c r="X46" s="7">
        <f t="shared" si="26"/>
        <v>-75</v>
      </c>
      <c r="Y46" s="2"/>
      <c r="Z46" s="6">
        <f t="shared" si="27"/>
        <v>-1</v>
      </c>
    </row>
    <row r="47" spans="1:26" s="27" customFormat="1" outlineLevel="1" collapsed="1" x14ac:dyDescent="0.25">
      <c r="A47" s="28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2.8702640642939151E-4</v>
      </c>
      <c r="K47" s="1"/>
      <c r="L47" s="1">
        <f t="shared" si="22"/>
        <v>-10</v>
      </c>
      <c r="M47" s="1"/>
      <c r="N47" s="5">
        <f t="shared" si="23"/>
        <v>-1</v>
      </c>
      <c r="O47" s="14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10</v>
      </c>
      <c r="U47" s="1"/>
      <c r="V47" s="5">
        <f t="shared" si="25"/>
        <v>2.8702640642939151E-4</v>
      </c>
      <c r="W47" s="1"/>
      <c r="X47" s="1">
        <f t="shared" si="26"/>
        <v>-10</v>
      </c>
      <c r="Y47" s="1"/>
      <c r="Z47" s="5">
        <f t="shared" si="27"/>
        <v>-1</v>
      </c>
    </row>
    <row r="48" spans="1:26" s="24" customFormat="1" hidden="1" outlineLevel="2" x14ac:dyDescent="0.25">
      <c r="A48" s="29"/>
      <c r="B48" s="11" t="str">
        <f>CONCATENATE("          ", "6307", " - ", "POSTAGE")</f>
        <v xml:space="preserve">          6307 - POSTAGE</v>
      </c>
      <c r="C48" s="11"/>
      <c r="D48" s="7"/>
      <c r="E48" s="2"/>
      <c r="F48" s="6">
        <f t="shared" si="20"/>
        <v>0</v>
      </c>
      <c r="G48" s="2"/>
      <c r="H48" s="7">
        <v>10</v>
      </c>
      <c r="I48" s="2"/>
      <c r="J48" s="6">
        <f t="shared" si="21"/>
        <v>2.8702640642939151E-4</v>
      </c>
      <c r="K48" s="2"/>
      <c r="L48" s="7">
        <f t="shared" si="22"/>
        <v>-10</v>
      </c>
      <c r="M48" s="2"/>
      <c r="N48" s="6">
        <f t="shared" si="23"/>
        <v>-1</v>
      </c>
      <c r="O48" s="11"/>
      <c r="P48" s="7"/>
      <c r="Q48" s="2"/>
      <c r="R48" s="6">
        <f t="shared" si="24"/>
        <v>0</v>
      </c>
      <c r="S48" s="2"/>
      <c r="T48" s="7">
        <v>10</v>
      </c>
      <c r="U48" s="2"/>
      <c r="V48" s="6">
        <f t="shared" si="25"/>
        <v>2.8702640642939151E-4</v>
      </c>
      <c r="W48" s="2"/>
      <c r="X48" s="7">
        <f t="shared" si="26"/>
        <v>-10</v>
      </c>
      <c r="Y48" s="2"/>
      <c r="Z48" s="6">
        <f t="shared" si="27"/>
        <v>-1</v>
      </c>
    </row>
    <row r="49" spans="1:26" s="27" customFormat="1" outlineLevel="1" collapsed="1" x14ac:dyDescent="0.25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1.4351320321469576E-3</v>
      </c>
      <c r="K49" s="1"/>
      <c r="L49" s="1">
        <f t="shared" si="22"/>
        <v>-50</v>
      </c>
      <c r="M49" s="1"/>
      <c r="N49" s="5">
        <f t="shared" si="23"/>
        <v>-1</v>
      </c>
      <c r="O49" s="14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50</v>
      </c>
      <c r="U49" s="1"/>
      <c r="V49" s="5">
        <f t="shared" si="25"/>
        <v>1.4351320321469576E-3</v>
      </c>
      <c r="W49" s="1"/>
      <c r="X49" s="1">
        <f t="shared" si="26"/>
        <v>-50</v>
      </c>
      <c r="Y49" s="1"/>
      <c r="Z49" s="5">
        <f t="shared" si="27"/>
        <v>-1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0"/>
        <v>0</v>
      </c>
      <c r="G50" s="2"/>
      <c r="H50" s="7">
        <v>50</v>
      </c>
      <c r="I50" s="2"/>
      <c r="J50" s="6">
        <f t="shared" si="21"/>
        <v>1.4351320321469576E-3</v>
      </c>
      <c r="K50" s="2"/>
      <c r="L50" s="7">
        <f t="shared" si="22"/>
        <v>-50</v>
      </c>
      <c r="M50" s="2"/>
      <c r="N50" s="6">
        <f t="shared" si="23"/>
        <v>-1</v>
      </c>
      <c r="O50" s="11"/>
      <c r="P50" s="7"/>
      <c r="Q50" s="2"/>
      <c r="R50" s="6">
        <f t="shared" si="24"/>
        <v>0</v>
      </c>
      <c r="S50" s="2"/>
      <c r="T50" s="7">
        <v>50</v>
      </c>
      <c r="U50" s="2"/>
      <c r="V50" s="6">
        <f t="shared" si="25"/>
        <v>1.4351320321469576E-3</v>
      </c>
      <c r="W50" s="2"/>
      <c r="X50" s="7">
        <f t="shared" si="26"/>
        <v>-50</v>
      </c>
      <c r="Y50" s="2"/>
      <c r="Z50" s="6">
        <f t="shared" si="27"/>
        <v>-1</v>
      </c>
    </row>
    <row r="51" spans="1:26" s="27" customFormat="1" outlineLevel="1" collapsed="1" x14ac:dyDescent="0.25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29.01</v>
      </c>
      <c r="E51" s="1"/>
      <c r="F51" s="5">
        <f t="shared" si="20"/>
        <v>7.8594456936956463E-4</v>
      </c>
      <c r="G51" s="1"/>
      <c r="H51" s="1">
        <f>SUM(OSRRefH22_7x_0)</f>
        <v>27</v>
      </c>
      <c r="I51" s="1"/>
      <c r="J51" s="5">
        <f t="shared" si="21"/>
        <v>7.7497129735935703E-4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4"/>
      <c r="P51" s="1">
        <f>SUM(OSRRefP22_7x_0)</f>
        <v>29.01</v>
      </c>
      <c r="Q51" s="1"/>
      <c r="R51" s="5">
        <f t="shared" si="24"/>
        <v>7.8594456936956463E-4</v>
      </c>
      <c r="S51" s="1"/>
      <c r="T51" s="1">
        <f>SUM(OSRRefT22_7x_0)</f>
        <v>27</v>
      </c>
      <c r="U51" s="1"/>
      <c r="V51" s="5">
        <f t="shared" si="25"/>
        <v>7.7497129735935703E-4</v>
      </c>
      <c r="W51" s="1"/>
      <c r="X51" s="1">
        <f t="shared" si="26"/>
        <v>2.0100000000000016</v>
      </c>
      <c r="Y51" s="1"/>
      <c r="Z51" s="5">
        <f t="shared" si="27"/>
        <v>7.4444444444444507E-2</v>
      </c>
    </row>
    <row r="52" spans="1:26" s="24" customFormat="1" hidden="1" outlineLevel="2" x14ac:dyDescent="0.25">
      <c r="A52" s="29"/>
      <c r="B52" s="11" t="str">
        <f>CONCATENATE("          ", "6314", " - ", "LIABILITY INSURANCE")</f>
        <v xml:space="preserve">          6314 - LIABILITY INSURANCE</v>
      </c>
      <c r="C52" s="11"/>
      <c r="D52" s="7">
        <v>29.01</v>
      </c>
      <c r="E52" s="2"/>
      <c r="F52" s="6">
        <f t="shared" si="20"/>
        <v>7.8594456936956463E-4</v>
      </c>
      <c r="G52" s="2"/>
      <c r="H52" s="7">
        <v>27</v>
      </c>
      <c r="I52" s="2"/>
      <c r="J52" s="6">
        <f t="shared" si="21"/>
        <v>7.7497129735935703E-4</v>
      </c>
      <c r="K52" s="2"/>
      <c r="L52" s="7">
        <f t="shared" si="22"/>
        <v>2.0100000000000016</v>
      </c>
      <c r="M52" s="2"/>
      <c r="N52" s="6">
        <f t="shared" si="23"/>
        <v>7.4444444444444507E-2</v>
      </c>
      <c r="O52" s="11"/>
      <c r="P52" s="7">
        <v>29.01</v>
      </c>
      <c r="Q52" s="2"/>
      <c r="R52" s="6">
        <f t="shared" si="24"/>
        <v>7.8594456936956463E-4</v>
      </c>
      <c r="S52" s="2"/>
      <c r="T52" s="7">
        <v>27</v>
      </c>
      <c r="U52" s="2"/>
      <c r="V52" s="6">
        <f t="shared" si="25"/>
        <v>7.7497129735935703E-4</v>
      </c>
      <c r="W52" s="2"/>
      <c r="X52" s="7">
        <f t="shared" si="26"/>
        <v>2.0100000000000016</v>
      </c>
      <c r="Y52" s="2"/>
      <c r="Z52" s="6">
        <f t="shared" si="27"/>
        <v>7.4444444444444507E-2</v>
      </c>
    </row>
    <row r="53" spans="1:26" s="27" customFormat="1" outlineLevel="1" collapsed="1" x14ac:dyDescent="0.25">
      <c r="A53" s="28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1.1481056257175661E-2</v>
      </c>
      <c r="K53" s="1"/>
      <c r="L53" s="1">
        <f t="shared" si="22"/>
        <v>-400</v>
      </c>
      <c r="M53" s="1"/>
      <c r="N53" s="5">
        <f t="shared" si="23"/>
        <v>-1</v>
      </c>
      <c r="O53" s="14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400</v>
      </c>
      <c r="U53" s="1"/>
      <c r="V53" s="5">
        <f t="shared" si="25"/>
        <v>1.1481056257175661E-2</v>
      </c>
      <c r="W53" s="1"/>
      <c r="X53" s="1">
        <f t="shared" si="26"/>
        <v>-400</v>
      </c>
      <c r="Y53" s="1"/>
      <c r="Z53" s="5">
        <f t="shared" si="27"/>
        <v>-1</v>
      </c>
    </row>
    <row r="54" spans="1:26" s="24" customFormat="1" hidden="1" outlineLevel="2" x14ac:dyDescent="0.25">
      <c r="A54" s="29"/>
      <c r="B54" s="11" t="str">
        <f>CONCATENATE("          ", "6336", " - ", "PROFESSIONAL SERVICES")</f>
        <v xml:space="preserve">          6336 - PROFESSIONAL SERVICES</v>
      </c>
      <c r="C54" s="11"/>
      <c r="D54" s="7"/>
      <c r="E54" s="2"/>
      <c r="F54" s="6">
        <f t="shared" si="20"/>
        <v>0</v>
      </c>
      <c r="G54" s="2"/>
      <c r="H54" s="7">
        <v>400</v>
      </c>
      <c r="I54" s="2"/>
      <c r="J54" s="6">
        <f t="shared" si="21"/>
        <v>1.1481056257175661E-2</v>
      </c>
      <c r="K54" s="2"/>
      <c r="L54" s="7">
        <f t="shared" si="22"/>
        <v>-400</v>
      </c>
      <c r="M54" s="2"/>
      <c r="N54" s="6">
        <f t="shared" si="23"/>
        <v>-1</v>
      </c>
      <c r="O54" s="11"/>
      <c r="P54" s="7"/>
      <c r="Q54" s="2"/>
      <c r="R54" s="6">
        <f t="shared" si="24"/>
        <v>0</v>
      </c>
      <c r="S54" s="2"/>
      <c r="T54" s="7">
        <v>400</v>
      </c>
      <c r="U54" s="2"/>
      <c r="V54" s="6">
        <f t="shared" si="25"/>
        <v>1.1481056257175661E-2</v>
      </c>
      <c r="W54" s="2"/>
      <c r="X54" s="7">
        <f t="shared" si="26"/>
        <v>-400</v>
      </c>
      <c r="Y54" s="2"/>
      <c r="Z54" s="6">
        <f t="shared" si="27"/>
        <v>-1</v>
      </c>
    </row>
    <row r="55" spans="1:26" s="27" customFormat="1" outlineLevel="1" collapsed="1" x14ac:dyDescent="0.25">
      <c r="A55" s="28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SUM(OSRRefD22_9x_0)</f>
        <v>800</v>
      </c>
      <c r="E55" s="1"/>
      <c r="F55" s="5">
        <f t="shared" si="20"/>
        <v>2.1673755790956626E-2</v>
      </c>
      <c r="G55" s="1"/>
      <c r="H55" s="1">
        <f>SUM(OSRRefH22_9x_0)</f>
        <v>800</v>
      </c>
      <c r="I55" s="1"/>
      <c r="J55" s="5">
        <f t="shared" si="21"/>
        <v>2.2962112514351322E-2</v>
      </c>
      <c r="K55" s="1"/>
      <c r="L55" s="1">
        <f t="shared" si="22"/>
        <v>0</v>
      </c>
      <c r="M55" s="1"/>
      <c r="N55" s="5">
        <f t="shared" si="23"/>
        <v>0</v>
      </c>
      <c r="O55" s="14"/>
      <c r="P55" s="1">
        <f>SUM(OSRRefP22_9x_0)</f>
        <v>800</v>
      </c>
      <c r="Q55" s="1"/>
      <c r="R55" s="5">
        <f t="shared" si="24"/>
        <v>2.1673755790956626E-2</v>
      </c>
      <c r="S55" s="1"/>
      <c r="T55" s="1">
        <f>SUM(OSRRefT22_9x_0)</f>
        <v>800</v>
      </c>
      <c r="U55" s="1"/>
      <c r="V55" s="5">
        <f t="shared" si="25"/>
        <v>2.2962112514351322E-2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9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0"/>
        <v>2.1673755790956626E-2</v>
      </c>
      <c r="G56" s="2"/>
      <c r="H56" s="7">
        <v>800</v>
      </c>
      <c r="I56" s="2"/>
      <c r="J56" s="6">
        <f t="shared" si="21"/>
        <v>2.2962112514351322E-2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>
        <v>800</v>
      </c>
      <c r="Q56" s="2"/>
      <c r="R56" s="6">
        <f t="shared" si="24"/>
        <v>2.1673755790956626E-2</v>
      </c>
      <c r="S56" s="2"/>
      <c r="T56" s="7">
        <v>800</v>
      </c>
      <c r="U56" s="2"/>
      <c r="V56" s="6">
        <f t="shared" si="25"/>
        <v>2.2962112514351322E-2</v>
      </c>
      <c r="W56" s="2"/>
      <c r="X56" s="7">
        <f t="shared" si="26"/>
        <v>0</v>
      </c>
      <c r="Y56" s="2"/>
      <c r="Z56" s="6">
        <f t="shared" si="27"/>
        <v>0</v>
      </c>
    </row>
    <row r="57" spans="1:26" s="27" customFormat="1" outlineLevel="1" collapsed="1" x14ac:dyDescent="0.25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2000</v>
      </c>
      <c r="I57" s="1"/>
      <c r="J57" s="5">
        <f t="shared" si="21"/>
        <v>5.7405281285878303E-2</v>
      </c>
      <c r="K57" s="1"/>
      <c r="L57" s="1">
        <f t="shared" si="22"/>
        <v>-2000</v>
      </c>
      <c r="M57" s="1"/>
      <c r="N57" s="5">
        <f t="shared" si="23"/>
        <v>-1</v>
      </c>
      <c r="O57" s="14"/>
      <c r="P57" s="1">
        <f>SUM(OSRRefP22_10x_0)</f>
        <v>0</v>
      </c>
      <c r="Q57" s="1"/>
      <c r="R57" s="5">
        <f t="shared" si="24"/>
        <v>0</v>
      </c>
      <c r="S57" s="1"/>
      <c r="T57" s="1">
        <f>SUM(OSRRefT22_10x_0)</f>
        <v>2000</v>
      </c>
      <c r="U57" s="1"/>
      <c r="V57" s="5">
        <f t="shared" si="25"/>
        <v>5.7405281285878303E-2</v>
      </c>
      <c r="W57" s="1"/>
      <c r="X57" s="1">
        <f t="shared" si="26"/>
        <v>-2000</v>
      </c>
      <c r="Y57" s="1"/>
      <c r="Z57" s="5">
        <f t="shared" si="27"/>
        <v>-1</v>
      </c>
    </row>
    <row r="58" spans="1:26" s="24" customFormat="1" hidden="1" outlineLevel="2" x14ac:dyDescent="0.25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0"/>
        <v>0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/>
      <c r="Q58" s="2"/>
      <c r="R58" s="6">
        <f t="shared" si="24"/>
        <v>0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0</v>
      </c>
      <c r="Y58" s="2"/>
      <c r="Z58" s="6">
        <f t="shared" si="27"/>
        <v>0</v>
      </c>
    </row>
    <row r="59" spans="1:26" s="24" customFormat="1" hidden="1" outlineLevel="2" x14ac:dyDescent="0.25">
      <c r="A59" s="29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0"/>
        <v>0</v>
      </c>
      <c r="G59" s="2"/>
      <c r="H59" s="7">
        <v>2000</v>
      </c>
      <c r="I59" s="2"/>
      <c r="J59" s="6">
        <f t="shared" si="21"/>
        <v>5.7405281285878303E-2</v>
      </c>
      <c r="K59" s="2"/>
      <c r="L59" s="7">
        <f t="shared" si="22"/>
        <v>-2000</v>
      </c>
      <c r="M59" s="2"/>
      <c r="N59" s="6">
        <f t="shared" si="23"/>
        <v>-1</v>
      </c>
      <c r="O59" s="11"/>
      <c r="P59" s="7"/>
      <c r="Q59" s="2"/>
      <c r="R59" s="6">
        <f t="shared" si="24"/>
        <v>0</v>
      </c>
      <c r="S59" s="2"/>
      <c r="T59" s="7">
        <v>2000</v>
      </c>
      <c r="U59" s="2"/>
      <c r="V59" s="6">
        <f t="shared" si="25"/>
        <v>5.7405281285878303E-2</v>
      </c>
      <c r="W59" s="2"/>
      <c r="X59" s="7">
        <f t="shared" si="26"/>
        <v>-2000</v>
      </c>
      <c r="Y59" s="2"/>
      <c r="Z59" s="6">
        <f t="shared" si="27"/>
        <v>-1</v>
      </c>
    </row>
    <row r="60" spans="1:26" s="27" customFormat="1" outlineLevel="1" collapsed="1" x14ac:dyDescent="0.25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SUM(OSRRefD22_11x_0)</f>
        <v>14416.21</v>
      </c>
      <c r="E60" s="1"/>
      <c r="F60" s="5">
        <f t="shared" ref="F60:F62" si="28">IF(D$12=0,0,D60/D$12)</f>
        <v>0.39056676871393348</v>
      </c>
      <c r="G60" s="1"/>
      <c r="H60" s="1">
        <f>SUM(OSRRefH22_11x_0)</f>
        <v>7100</v>
      </c>
      <c r="I60" s="1"/>
      <c r="J60" s="5">
        <f t="shared" ref="J60:J62" si="29">IF(H$12=0,0,H60/H$12)</f>
        <v>0.20378874856486798</v>
      </c>
      <c r="K60" s="1"/>
      <c r="L60" s="1">
        <f t="shared" ref="L60:L62" si="30">+D60-H60</f>
        <v>7316.2099999999991</v>
      </c>
      <c r="M60" s="1"/>
      <c r="N60" s="5">
        <f t="shared" ref="N60:N62" si="31">IF(H60=0,0,L60/H60)</f>
        <v>1.0304521126760562</v>
      </c>
      <c r="O60" s="14"/>
      <c r="P60" s="1">
        <f>SUM(OSRRefP22_11x_0)</f>
        <v>14416.21</v>
      </c>
      <c r="Q60" s="1"/>
      <c r="R60" s="5">
        <f t="shared" ref="R60:R62" si="32">IF(P$12=0,0,P60/P$12)</f>
        <v>0.39056676871393348</v>
      </c>
      <c r="S60" s="1"/>
      <c r="T60" s="1">
        <f>SUM(OSRRefT22_11x_0)</f>
        <v>7100</v>
      </c>
      <c r="U60" s="1"/>
      <c r="V60" s="5">
        <f t="shared" ref="V60:V62" si="33">IF(T$12=0,0,T60/T$12)</f>
        <v>0.20378874856486798</v>
      </c>
      <c r="W60" s="1"/>
      <c r="X60" s="1">
        <f t="shared" ref="X60:X62" si="34">+P60-T60</f>
        <v>7316.2099999999991</v>
      </c>
      <c r="Y60" s="1"/>
      <c r="Z60" s="5">
        <f t="shared" ref="Z60:Z62" si="35">IF(T60=0,0,X60/T60)</f>
        <v>1.0304521126760562</v>
      </c>
    </row>
    <row r="61" spans="1:26" s="24" customFormat="1" hidden="1" outlineLevel="2" x14ac:dyDescent="0.25">
      <c r="A61" s="29"/>
      <c r="B61" s="11" t="str">
        <f>CONCATENATE("          ", "6234", " - ", "EXPENDABLE SUPPLIES &amp; EQUIPMEN")</f>
        <v xml:space="preserve">          6234 - EXPENDABLE SUPPLIES &amp; EQUIPMEN</v>
      </c>
      <c r="C61" s="11"/>
      <c r="D61" s="7"/>
      <c r="E61" s="2"/>
      <c r="F61" s="6">
        <f t="shared" si="28"/>
        <v>0</v>
      </c>
      <c r="G61" s="2"/>
      <c r="H61" s="7">
        <v>7100</v>
      </c>
      <c r="I61" s="2"/>
      <c r="J61" s="6">
        <f t="shared" si="29"/>
        <v>0.20378874856486798</v>
      </c>
      <c r="K61" s="2"/>
      <c r="L61" s="7">
        <f t="shared" si="30"/>
        <v>-7100</v>
      </c>
      <c r="M61" s="2"/>
      <c r="N61" s="6">
        <f t="shared" si="31"/>
        <v>-1</v>
      </c>
      <c r="O61" s="11"/>
      <c r="P61" s="7"/>
      <c r="Q61" s="2"/>
      <c r="R61" s="6">
        <f t="shared" si="32"/>
        <v>0</v>
      </c>
      <c r="S61" s="2"/>
      <c r="T61" s="7">
        <v>7100</v>
      </c>
      <c r="U61" s="2"/>
      <c r="V61" s="6">
        <f t="shared" si="33"/>
        <v>0.20378874856486798</v>
      </c>
      <c r="W61" s="2"/>
      <c r="X61" s="7">
        <f t="shared" si="34"/>
        <v>-7100</v>
      </c>
      <c r="Y61" s="2"/>
      <c r="Z61" s="6">
        <f t="shared" si="35"/>
        <v>-1</v>
      </c>
    </row>
    <row r="62" spans="1:26" s="24" customFormat="1" hidden="1" outlineLevel="2" x14ac:dyDescent="0.25">
      <c r="A62" s="29"/>
      <c r="B62" s="11" t="str">
        <f>CONCATENATE("          ", "6241", " - ", "OFFICE EXPENSE")</f>
        <v xml:space="preserve">          6241 - OFFICE EXPENSE</v>
      </c>
      <c r="C62" s="11"/>
      <c r="D62" s="7">
        <v>14416.21</v>
      </c>
      <c r="E62" s="2"/>
      <c r="F62" s="6">
        <f t="shared" si="28"/>
        <v>0.39056676871393348</v>
      </c>
      <c r="G62" s="2"/>
      <c r="H62" s="7"/>
      <c r="I62" s="2"/>
      <c r="J62" s="6">
        <f t="shared" si="29"/>
        <v>0</v>
      </c>
      <c r="K62" s="2"/>
      <c r="L62" s="7">
        <f t="shared" si="30"/>
        <v>14416.21</v>
      </c>
      <c r="M62" s="2"/>
      <c r="N62" s="6">
        <f t="shared" si="31"/>
        <v>0</v>
      </c>
      <c r="O62" s="11"/>
      <c r="P62" s="7">
        <v>14416.21</v>
      </c>
      <c r="Q62" s="2"/>
      <c r="R62" s="6">
        <f t="shared" si="32"/>
        <v>0.39056676871393348</v>
      </c>
      <c r="S62" s="2"/>
      <c r="T62" s="7"/>
      <c r="U62" s="2"/>
      <c r="V62" s="6">
        <f t="shared" si="33"/>
        <v>0</v>
      </c>
      <c r="W62" s="2"/>
      <c r="X62" s="7">
        <f t="shared" si="34"/>
        <v>14416.21</v>
      </c>
      <c r="Y62" s="2"/>
      <c r="Z62" s="6">
        <f t="shared" si="35"/>
        <v>0</v>
      </c>
    </row>
    <row r="63" spans="1:26" s="27" customFormat="1" outlineLevel="1" collapsed="1" x14ac:dyDescent="0.25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SUM(OSRRefD22_12x_0)</f>
        <v>-23.35</v>
      </c>
      <c r="E63" s="1"/>
      <c r="F63" s="5">
        <f t="shared" ref="F63:F64" si="36">IF(D$12=0,0,D63/D$12)</f>
        <v>-6.3260274714854649E-4</v>
      </c>
      <c r="G63" s="1"/>
      <c r="H63" s="1">
        <f>SUM(OSRRefH22_12x_0)</f>
        <v>350</v>
      </c>
      <c r="I63" s="1"/>
      <c r="J63" s="5">
        <f t="shared" ref="J63:J64" si="37">IF(H$12=0,0,H63/H$12)</f>
        <v>1.0045924225028703E-2</v>
      </c>
      <c r="K63" s="1"/>
      <c r="L63" s="1">
        <f t="shared" ref="L63:L64" si="38">+D63-H63</f>
        <v>-373.35</v>
      </c>
      <c r="M63" s="1"/>
      <c r="N63" s="5">
        <f t="shared" ref="N63:N64" si="39">IF(H63=0,0,L63/H63)</f>
        <v>-1.0667142857142857</v>
      </c>
      <c r="O63" s="14"/>
      <c r="P63" s="1">
        <f>SUM(OSRRefP22_12x_0)</f>
        <v>-23.35</v>
      </c>
      <c r="Q63" s="1"/>
      <c r="R63" s="5">
        <f t="shared" ref="R63:R64" si="40">IF(P$12=0,0,P63/P$12)</f>
        <v>-6.3260274714854649E-4</v>
      </c>
      <c r="S63" s="1"/>
      <c r="T63" s="1">
        <f>SUM(OSRRefT22_12x_0)</f>
        <v>350</v>
      </c>
      <c r="U63" s="1"/>
      <c r="V63" s="5">
        <f t="shared" ref="V63:V64" si="41">IF(T$12=0,0,T63/T$12)</f>
        <v>1.0045924225028703E-2</v>
      </c>
      <c r="W63" s="1"/>
      <c r="X63" s="1">
        <f t="shared" ref="X63:X64" si="42">+P63-T63</f>
        <v>-373.35</v>
      </c>
      <c r="Y63" s="1"/>
      <c r="Z63" s="5">
        <f t="shared" ref="Z63:Z64" si="43">IF(T63=0,0,X63/T63)</f>
        <v>-1.0667142857142857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7">
        <v>-23.35</v>
      </c>
      <c r="E64" s="2"/>
      <c r="F64" s="6">
        <f t="shared" si="36"/>
        <v>-6.3260274714854649E-4</v>
      </c>
      <c r="G64" s="2"/>
      <c r="H64" s="7">
        <v>350</v>
      </c>
      <c r="I64" s="2"/>
      <c r="J64" s="6">
        <f t="shared" si="37"/>
        <v>1.0045924225028703E-2</v>
      </c>
      <c r="K64" s="2"/>
      <c r="L64" s="7">
        <f t="shared" si="38"/>
        <v>-373.35</v>
      </c>
      <c r="M64" s="2"/>
      <c r="N64" s="6">
        <f t="shared" si="39"/>
        <v>-1.0667142857142857</v>
      </c>
      <c r="O64" s="11"/>
      <c r="P64" s="7">
        <v>-23.35</v>
      </c>
      <c r="Q64" s="2"/>
      <c r="R64" s="6">
        <f t="shared" si="40"/>
        <v>-6.3260274714854649E-4</v>
      </c>
      <c r="S64" s="2"/>
      <c r="T64" s="7">
        <v>350</v>
      </c>
      <c r="U64" s="2"/>
      <c r="V64" s="6">
        <f t="shared" si="41"/>
        <v>1.0045924225028703E-2</v>
      </c>
      <c r="W64" s="2"/>
      <c r="X64" s="7">
        <f t="shared" si="42"/>
        <v>-373.35</v>
      </c>
      <c r="Y64" s="2"/>
      <c r="Z64" s="6">
        <f t="shared" si="43"/>
        <v>-1.0667142857142857</v>
      </c>
    </row>
    <row r="65" spans="1:26" s="57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25">
      <c r="A66" s="10"/>
      <c r="B66" s="25" t="s">
        <v>0</v>
      </c>
      <c r="C66" s="10"/>
      <c r="D66" s="4">
        <f>SUM(OSRRefD25x_0)</f>
        <v>851.09</v>
      </c>
      <c r="E66" s="4"/>
      <c r="F66" s="12">
        <f t="shared" ref="F66:F67" si="44">IF(D$12=0,0,D66/D$12)</f>
        <v>2.3057896020156593E-2</v>
      </c>
      <c r="G66" s="4"/>
      <c r="H66" s="4">
        <f>SUM(OSRRefH25x_0)</f>
        <v>1500</v>
      </c>
      <c r="I66" s="4"/>
      <c r="J66" s="12">
        <f t="shared" ref="J66:J67" si="45">IF(H$12=0,0,H66/H$12)</f>
        <v>4.3053960964408729E-2</v>
      </c>
      <c r="K66" s="4"/>
      <c r="L66" s="4">
        <f t="shared" ref="L66:L67" si="46">+D66-H66</f>
        <v>-648.91</v>
      </c>
      <c r="M66" s="4"/>
      <c r="N66" s="12">
        <f t="shared" ref="N66:N67" si="47">IF(H66=0,0,L66/H66)</f>
        <v>-0.43260666666666664</v>
      </c>
      <c r="O66" s="10"/>
      <c r="P66" s="4">
        <f>SUM(OSRRefP25x_0)</f>
        <v>851.09</v>
      </c>
      <c r="Q66" s="4"/>
      <c r="R66" s="12">
        <f t="shared" ref="R66:R67" si="48">IF(P$12=0,0,P66/P$12)</f>
        <v>2.3057896020156593E-2</v>
      </c>
      <c r="S66" s="4"/>
      <c r="T66" s="4">
        <f>SUM(OSRRefT25x_0)</f>
        <v>1500</v>
      </c>
      <c r="U66" s="4"/>
      <c r="V66" s="12">
        <f t="shared" ref="V66:V67" si="49">IF(T$12=0,0,T66/T$12)</f>
        <v>4.3053960964408729E-2</v>
      </c>
      <c r="W66" s="4"/>
      <c r="X66" s="4">
        <f t="shared" ref="X66:X67" si="50">+P66-T66</f>
        <v>-648.91</v>
      </c>
      <c r="Y66" s="4"/>
      <c r="Z66" s="12">
        <f t="shared" ref="Z66:Z67" si="51">IF(T66=0,0,X66/T66)</f>
        <v>-0.43260666666666664</v>
      </c>
    </row>
    <row r="67" spans="1:26" s="24" customFormat="1" hidden="1" outlineLevel="1" x14ac:dyDescent="0.25">
      <c r="A67" s="51"/>
      <c r="B67" s="11" t="str">
        <f>CONCATENATE("          ", "9150", " - ", "MISC. INCOME")</f>
        <v xml:space="preserve">          9150 - MISC. INCOME</v>
      </c>
      <c r="C67" s="11"/>
      <c r="D67" s="2">
        <f>--851.09</f>
        <v>851.09</v>
      </c>
      <c r="E67" s="2"/>
      <c r="F67" s="22">
        <f t="shared" si="44"/>
        <v>2.3057896020156593E-2</v>
      </c>
      <c r="G67" s="2"/>
      <c r="H67" s="2">
        <v>1500</v>
      </c>
      <c r="I67" s="2"/>
      <c r="J67" s="22">
        <f t="shared" si="45"/>
        <v>4.3053960964408729E-2</v>
      </c>
      <c r="K67" s="2"/>
      <c r="L67" s="2">
        <f t="shared" si="46"/>
        <v>-648.91</v>
      </c>
      <c r="M67" s="2"/>
      <c r="N67" s="22">
        <f t="shared" si="47"/>
        <v>-0.43260666666666664</v>
      </c>
      <c r="O67" s="11"/>
      <c r="P67" s="2">
        <f>--851.09</f>
        <v>851.09</v>
      </c>
      <c r="Q67" s="2"/>
      <c r="R67" s="22">
        <f t="shared" si="48"/>
        <v>2.3057896020156593E-2</v>
      </c>
      <c r="S67" s="2"/>
      <c r="T67" s="2">
        <v>1500</v>
      </c>
      <c r="U67" s="2"/>
      <c r="V67" s="22">
        <f t="shared" si="49"/>
        <v>4.3053960964408729E-2</v>
      </c>
      <c r="W67" s="2"/>
      <c r="X67" s="2">
        <f t="shared" si="50"/>
        <v>-648.91</v>
      </c>
      <c r="Y67" s="2"/>
      <c r="Z67" s="22">
        <f t="shared" si="51"/>
        <v>-0.43260666666666664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6" t="s">
        <v>3</v>
      </c>
      <c r="C69" s="26"/>
      <c r="D69" s="21">
        <f>+D17-D19+D66</f>
        <v>0.48000000000672571</v>
      </c>
      <c r="E69" s="13"/>
      <c r="F69" s="19">
        <f>IF(D$12=0,0,D69/D$12)</f>
        <v>1.300425347475619E-5</v>
      </c>
      <c r="G69" s="13"/>
      <c r="H69" s="21">
        <f>+H17-H19+H66</f>
        <v>4570.2467239423131</v>
      </c>
      <c r="I69" s="13"/>
      <c r="J69" s="19">
        <f>IF(H$12=0,0,H69/H$12)</f>
        <v>0.13117814936688613</v>
      </c>
      <c r="K69" s="15"/>
      <c r="L69" s="21">
        <f>+D69-H69</f>
        <v>-4569.7667239423063</v>
      </c>
      <c r="M69" s="15"/>
      <c r="N69" s="19">
        <f>IF(H69=0,0,L69/H69)</f>
        <v>-0.99989497284741935</v>
      </c>
      <c r="O69" s="25"/>
      <c r="P69" s="21">
        <f>+P17-P19+P66</f>
        <v>0.48000000000672571</v>
      </c>
      <c r="Q69" s="13"/>
      <c r="R69" s="19">
        <f>IF(P$12=0,0,P69/P$12)</f>
        <v>1.300425347475619E-5</v>
      </c>
      <c r="S69" s="13"/>
      <c r="T69" s="21">
        <f>+T17-T19+T66</f>
        <v>4570.2467239423131</v>
      </c>
      <c r="U69" s="13"/>
      <c r="V69" s="19">
        <f>IF(T$12=0,0,T69/T$12)</f>
        <v>0.13117814936688613</v>
      </c>
      <c r="W69" s="15"/>
      <c r="X69" s="21">
        <f>+P69-T69</f>
        <v>-4569.7667239423063</v>
      </c>
      <c r="Y69" s="15"/>
      <c r="Z69" s="19">
        <f>IF(T69=0,0,X69/T69)</f>
        <v>-0.99989497284741935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2"/>
      <c r="B71" s="10" t="s">
        <v>14</v>
      </c>
      <c r="C71" s="10"/>
      <c r="D71" s="4">
        <v>7674.88</v>
      </c>
      <c r="E71" s="4"/>
      <c r="F71" s="12">
        <f>IF(D$12=0,0,D71/D$12)</f>
        <v>0.20792934355612147</v>
      </c>
      <c r="G71" s="4"/>
      <c r="H71" s="4">
        <v>8491</v>
      </c>
      <c r="I71" s="4"/>
      <c r="J71" s="12">
        <f>IF(H$12=0,0,H71/H$12)</f>
        <v>0.24371412169919632</v>
      </c>
      <c r="K71" s="4"/>
      <c r="L71" s="4">
        <f>+D71-H71</f>
        <v>-816.11999999999989</v>
      </c>
      <c r="M71" s="4"/>
      <c r="N71" s="12">
        <f>IF(H71=0,0,L71/H71)</f>
        <v>-9.6115887410199025E-2</v>
      </c>
      <c r="O71" s="10"/>
      <c r="P71" s="4">
        <v>7674.88</v>
      </c>
      <c r="Q71" s="4"/>
      <c r="R71" s="12">
        <f>IF(P$12=0,0,P71/P$12)</f>
        <v>0.20792934355612147</v>
      </c>
      <c r="S71" s="4"/>
      <c r="T71" s="4">
        <v>8491</v>
      </c>
      <c r="U71" s="4"/>
      <c r="V71" s="12">
        <f>IF(T$12=0,0,T71/T$12)</f>
        <v>0.24371412169919632</v>
      </c>
      <c r="W71" s="4"/>
      <c r="X71" s="4">
        <f>+P71-T71</f>
        <v>-816.11999999999989</v>
      </c>
      <c r="Y71" s="4"/>
      <c r="Z71" s="12">
        <f>IF(T71=0,0,X71/T71)</f>
        <v>-9.6115887410199025E-2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6" t="s">
        <v>4</v>
      </c>
      <c r="C73" s="26"/>
      <c r="D73" s="32">
        <f>+D69-D71</f>
        <v>-7674.3999999999933</v>
      </c>
      <c r="E73" s="13"/>
      <c r="F73" s="31">
        <f>IF(D$12=0,0,D73/D$12)</f>
        <v>-0.20791633930264672</v>
      </c>
      <c r="G73" s="13"/>
      <c r="H73" s="32">
        <f>+H69-H71</f>
        <v>-3920.7532760576869</v>
      </c>
      <c r="I73" s="13"/>
      <c r="J73" s="31">
        <f>IF(H$12=0,0,H73/H$12)</f>
        <v>-0.11253597233231019</v>
      </c>
      <c r="K73" s="15"/>
      <c r="L73" s="32">
        <f>D73-H73</f>
        <v>-3753.6467239423064</v>
      </c>
      <c r="M73" s="15"/>
      <c r="N73" s="31">
        <f>IF(H73=0,0,L73/H73)</f>
        <v>0.95737896767546515</v>
      </c>
      <c r="O73" s="25"/>
      <c r="P73" s="32">
        <f>+P69-P71</f>
        <v>-7674.3999999999933</v>
      </c>
      <c r="Q73" s="13"/>
      <c r="R73" s="31">
        <f>IF(P$12=0,0,P73/P$12)</f>
        <v>-0.20791633930264672</v>
      </c>
      <c r="S73" s="13"/>
      <c r="T73" s="32">
        <f>+T69-T71</f>
        <v>-3920.7532760576869</v>
      </c>
      <c r="U73" s="13"/>
      <c r="V73" s="31">
        <f>IF(T$12=0,0,T73/T$12)</f>
        <v>-0.11253597233231019</v>
      </c>
      <c r="W73" s="15"/>
      <c r="X73" s="32">
        <f>P73-T73</f>
        <v>-3753.6467239423064</v>
      </c>
      <c r="Y73" s="15"/>
      <c r="Z73" s="31">
        <f>IF(T73=0,0,X73/T73)</f>
        <v>0.95737896767546515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6" t="s">
        <v>5</v>
      </c>
      <c r="C76" s="26"/>
      <c r="D76" s="33">
        <f>SUM(D73:D75)</f>
        <v>-7674.3999999999933</v>
      </c>
      <c r="E76" s="13"/>
      <c r="F76" s="34">
        <f>IF(D$12=0,0,D76/D$12)</f>
        <v>-0.20791633930264672</v>
      </c>
      <c r="G76" s="13"/>
      <c r="H76" s="33">
        <f>SUM(H73:H75)</f>
        <v>-3920.7532760576869</v>
      </c>
      <c r="I76" s="13"/>
      <c r="J76" s="34">
        <f>IF(H$12=0,0,H76/H$12)</f>
        <v>-0.11253597233231019</v>
      </c>
      <c r="K76" s="15"/>
      <c r="L76" s="33">
        <f>+D76-H76</f>
        <v>-3753.6467239423064</v>
      </c>
      <c r="M76" s="15"/>
      <c r="N76" s="34">
        <f>IF(H76=0,0,L76/H76)</f>
        <v>0.95737896767546515</v>
      </c>
      <c r="O76" s="25"/>
      <c r="P76" s="33">
        <f>SUM(P73:P75)</f>
        <v>-7674.3999999999933</v>
      </c>
      <c r="Q76" s="13"/>
      <c r="R76" s="34">
        <f>IF(P$12=0,0,P76/P$12)</f>
        <v>-0.20791633930264672</v>
      </c>
      <c r="S76" s="13"/>
      <c r="T76" s="33">
        <f>SUM(T73:T75)</f>
        <v>-3920.7532760576869</v>
      </c>
      <c r="U76" s="13"/>
      <c r="V76" s="34">
        <f>IF(T$12=0,0,T76/T$12)</f>
        <v>-0.11253597233231019</v>
      </c>
      <c r="W76" s="15"/>
      <c r="X76" s="33">
        <f>+P76-T76</f>
        <v>-3753.6467239423064</v>
      </c>
      <c r="Y76" s="15"/>
      <c r="Z76" s="34">
        <f>IF(T76=0,0,X76/T76)</f>
        <v>0.95737896767546515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61">
        <v>43726.678357986108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6" t="s">
        <v>314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3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4:24" x14ac:dyDescent="0.25"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2" t="s">
        <v>13</v>
      </c>
    </row>
    <row r="3" spans="1:26" x14ac:dyDescent="0.25">
      <c r="D3" s="62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0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62" t="str">
        <f>CONCATENATE("Period ",RIGHT(202001,2),", ",2020)</f>
        <v>Period 01,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0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43680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0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6"/>
      <c r="C6" s="46"/>
      <c r="D6" s="23" t="str">
        <f>CONCATENATE("Department ","501", " - ", "ID Card Services")</f>
        <v>Department 501 - ID Card Services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5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294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295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59"/>
      <c r="C10" s="10"/>
      <c r="D10" s="43" t="s">
        <v>10</v>
      </c>
      <c r="E10" s="35"/>
      <c r="F10" s="37" t="s">
        <v>15</v>
      </c>
      <c r="G10" s="35"/>
      <c r="H10" s="50" t="s">
        <v>11</v>
      </c>
      <c r="I10" s="35"/>
      <c r="J10" s="44" t="s">
        <v>16</v>
      </c>
      <c r="K10" s="10"/>
      <c r="L10" s="43" t="s">
        <v>12</v>
      </c>
      <c r="M10" s="10"/>
      <c r="N10" s="37" t="s">
        <v>17</v>
      </c>
      <c r="O10" s="10"/>
      <c r="P10" s="63" t="s">
        <v>10</v>
      </c>
      <c r="Q10" s="35"/>
      <c r="R10" s="37" t="s">
        <v>15</v>
      </c>
      <c r="S10" s="35"/>
      <c r="T10" s="50" t="s">
        <v>11</v>
      </c>
      <c r="U10" s="35"/>
      <c r="V10" s="44" t="s">
        <v>16</v>
      </c>
      <c r="W10" s="10"/>
      <c r="X10" s="43" t="s">
        <v>12</v>
      </c>
      <c r="Y10" s="10"/>
      <c r="Z10" s="37" t="s">
        <v>17</v>
      </c>
    </row>
    <row r="11" spans="1:26" ht="15.75" x14ac:dyDescent="0.25">
      <c r="A11" s="9"/>
      <c r="B11" s="58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36911</v>
      </c>
      <c r="E12" s="4"/>
      <c r="F12" s="12"/>
      <c r="G12" s="4"/>
      <c r="H12" s="4">
        <f>SUM(OSRRefH13x_0)</f>
        <v>34840</v>
      </c>
      <c r="I12" s="4"/>
      <c r="J12" s="12"/>
      <c r="K12" s="4"/>
      <c r="L12" s="4">
        <f t="shared" ref="L12:L13" si="0">+D12-H12</f>
        <v>2071</v>
      </c>
      <c r="M12" s="4"/>
      <c r="N12" s="12">
        <f t="shared" ref="N12:N13" si="1">IF(H12=0,0,L12/H12)</f>
        <v>5.9443168771526979E-2</v>
      </c>
      <c r="O12" s="10"/>
      <c r="P12" s="4">
        <f>SUM(OSRRefP13x_0)</f>
        <v>36911</v>
      </c>
      <c r="Q12" s="4"/>
      <c r="R12" s="12"/>
      <c r="S12" s="4"/>
      <c r="T12" s="4">
        <f>SUM(OSRRefT13x_0)</f>
        <v>34840</v>
      </c>
      <c r="U12" s="4"/>
      <c r="V12" s="12"/>
      <c r="W12" s="4"/>
      <c r="X12" s="4">
        <f t="shared" ref="X12:X13" si="2">+P12-T12</f>
        <v>2071</v>
      </c>
      <c r="Y12" s="4"/>
      <c r="Z12" s="12">
        <f t="shared" ref="Z12:Z13" si="3">IF(T12=0,0,X12/T12)</f>
        <v>5.9443168771526979E-2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--36911</f>
        <v>36911</v>
      </c>
      <c r="E13" s="2"/>
      <c r="F13" s="22"/>
      <c r="G13" s="2"/>
      <c r="H13" s="2">
        <v>34840</v>
      </c>
      <c r="I13" s="2"/>
      <c r="J13" s="22"/>
      <c r="K13" s="2"/>
      <c r="L13" s="2">
        <f t="shared" si="0"/>
        <v>2071</v>
      </c>
      <c r="M13" s="2"/>
      <c r="N13" s="22">
        <f t="shared" si="1"/>
        <v>5.9443168771526979E-2</v>
      </c>
      <c r="O13" s="11"/>
      <c r="P13" s="2">
        <f>--36911</f>
        <v>36911</v>
      </c>
      <c r="Q13" s="2"/>
      <c r="R13" s="22"/>
      <c r="S13" s="2"/>
      <c r="T13" s="2">
        <v>34840</v>
      </c>
      <c r="U13" s="2"/>
      <c r="V13" s="22"/>
      <c r="W13" s="2"/>
      <c r="X13" s="2">
        <f t="shared" si="2"/>
        <v>2071</v>
      </c>
      <c r="Y13" s="2"/>
      <c r="Z13" s="22">
        <f t="shared" si="3"/>
        <v>5.9443168771526979E-2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1">
        <f>D12-D15</f>
        <v>36911</v>
      </c>
      <c r="E17" s="13"/>
      <c r="F17" s="19">
        <f>IF(D$12=0,0,D17/D$12)</f>
        <v>1</v>
      </c>
      <c r="G17" s="13"/>
      <c r="H17" s="21">
        <f>H12-H15</f>
        <v>34840</v>
      </c>
      <c r="I17" s="13"/>
      <c r="J17" s="19">
        <f>IF(H$12=0,0,H17/H$12)</f>
        <v>1</v>
      </c>
      <c r="K17" s="15"/>
      <c r="L17" s="21">
        <f>+D17-H17</f>
        <v>2071</v>
      </c>
      <c r="M17" s="15"/>
      <c r="N17" s="19">
        <f>IF(H17=0,0,L17/H17)</f>
        <v>5.9443168771526979E-2</v>
      </c>
      <c r="O17" s="25"/>
      <c r="P17" s="21">
        <f>P12-P15</f>
        <v>36911</v>
      </c>
      <c r="Q17" s="13"/>
      <c r="R17" s="19">
        <f>IF(P$12=0,0,P17/P$12)</f>
        <v>1</v>
      </c>
      <c r="S17" s="13"/>
      <c r="T17" s="21">
        <f>T12-T15</f>
        <v>34840</v>
      </c>
      <c r="U17" s="13"/>
      <c r="V17" s="19">
        <f>IF(T$12=0,0,T17/T$12)</f>
        <v>1</v>
      </c>
      <c r="W17" s="15"/>
      <c r="X17" s="21">
        <f>+P17-T17</f>
        <v>2071</v>
      </c>
      <c r="Y17" s="15"/>
      <c r="Z17" s="19">
        <f>IF(T17=0,0,X17/T17)</f>
        <v>5.9443168771526979E-2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0">
        <f>SUM(OSRRefD22x_0)</f>
        <v>37761.609999999993</v>
      </c>
      <c r="E19" s="20"/>
      <c r="F19" s="30">
        <f t="shared" ref="F19:F29" si="4">IF(D$12=0,0,D19/D$12)</f>
        <v>1.0230448917666819</v>
      </c>
      <c r="G19" s="20"/>
      <c r="H19" s="20">
        <f>SUM(OSRRefH22x_0)</f>
        <v>31769.753276057687</v>
      </c>
      <c r="I19" s="20"/>
      <c r="J19" s="30">
        <f t="shared" ref="J19:J29" si="5">IF(H$12=0,0,H19/H$12)</f>
        <v>0.91187581159752262</v>
      </c>
      <c r="K19" s="4"/>
      <c r="L19" s="20">
        <f t="shared" ref="L19:L29" si="6">+D19-H19</f>
        <v>5991.8567239423064</v>
      </c>
      <c r="M19" s="4"/>
      <c r="N19" s="30">
        <f t="shared" ref="N19:N29" si="7">IF(H19=0,0,L19/H19)</f>
        <v>0.18860255765529937</v>
      </c>
      <c r="O19" s="10"/>
      <c r="P19" s="20">
        <f>SUM(OSRRefP22x_0)</f>
        <v>37761.609999999993</v>
      </c>
      <c r="Q19" s="20"/>
      <c r="R19" s="30">
        <f t="shared" ref="R19:R29" si="8">IF(P$12=0,0,P19/P$12)</f>
        <v>1.0230448917666819</v>
      </c>
      <c r="S19" s="20"/>
      <c r="T19" s="20">
        <f>SUM(OSRRefT22x_0)</f>
        <v>31769.753276057687</v>
      </c>
      <c r="U19" s="20"/>
      <c r="V19" s="30">
        <f t="shared" ref="V19:V29" si="9">IF(T$12=0,0,T19/T$12)</f>
        <v>0.91187581159752262</v>
      </c>
      <c r="W19" s="4"/>
      <c r="X19" s="20">
        <f t="shared" ref="X19:X29" si="10">+P19-T19</f>
        <v>5991.8567239423064</v>
      </c>
      <c r="Y19" s="4"/>
      <c r="Z19" s="30">
        <f t="shared" ref="Z19:Z29" si="11">IF(T19=0,0,X19/T19)</f>
        <v>0.18860255765529937</v>
      </c>
    </row>
    <row r="20" spans="1:26" s="27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4399.3499999999995</v>
      </c>
      <c r="E20" s="1"/>
      <c r="F20" s="5">
        <f t="shared" si="4"/>
        <v>0.11918804692368128</v>
      </c>
      <c r="G20" s="1"/>
      <c r="H20" s="1">
        <f>SUM(OSRRefH22_0x_0)</f>
        <v>2436.9426991346122</v>
      </c>
      <c r="I20" s="1"/>
      <c r="J20" s="5">
        <f t="shared" si="5"/>
        <v>6.9946690560694955E-2</v>
      </c>
      <c r="K20" s="1"/>
      <c r="L20" s="1">
        <f t="shared" si="6"/>
        <v>1962.4073008653872</v>
      </c>
      <c r="M20" s="1"/>
      <c r="N20" s="5">
        <f t="shared" si="7"/>
        <v>0.80527428960978931</v>
      </c>
      <c r="O20" s="14"/>
      <c r="P20" s="1">
        <f>SUM(OSRRefP22_0x_0)</f>
        <v>4399.3499999999995</v>
      </c>
      <c r="Q20" s="1"/>
      <c r="R20" s="5">
        <f t="shared" si="8"/>
        <v>0.11918804692368128</v>
      </c>
      <c r="S20" s="1"/>
      <c r="T20" s="1">
        <f>SUM(OSRRefT22_0x_0)</f>
        <v>2436.9426991346122</v>
      </c>
      <c r="U20" s="1"/>
      <c r="V20" s="5">
        <f t="shared" si="9"/>
        <v>6.9946690560694955E-2</v>
      </c>
      <c r="W20" s="1"/>
      <c r="X20" s="1">
        <f t="shared" si="10"/>
        <v>1962.4073008653872</v>
      </c>
      <c r="Y20" s="1"/>
      <c r="Z20" s="5">
        <f t="shared" si="11"/>
        <v>0.80527428960978931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1065.93</v>
      </c>
      <c r="E21" s="2"/>
      <c r="F21" s="6">
        <f t="shared" si="4"/>
        <v>2.8878383137817997E-2</v>
      </c>
      <c r="G21" s="2"/>
      <c r="H21" s="7">
        <v>1303.1197260576898</v>
      </c>
      <c r="I21" s="2"/>
      <c r="J21" s="6">
        <f t="shared" si="5"/>
        <v>3.7402977211759177E-2</v>
      </c>
      <c r="K21" s="2"/>
      <c r="L21" s="7">
        <f t="shared" si="6"/>
        <v>-237.18972605768977</v>
      </c>
      <c r="M21" s="2"/>
      <c r="N21" s="6">
        <f t="shared" si="7"/>
        <v>-0.18201683338434035</v>
      </c>
      <c r="O21" s="11"/>
      <c r="P21" s="7">
        <v>1065.93</v>
      </c>
      <c r="Q21" s="2"/>
      <c r="R21" s="6">
        <f t="shared" si="8"/>
        <v>2.8878383137817997E-2</v>
      </c>
      <c r="S21" s="2"/>
      <c r="T21" s="7">
        <v>1303.1197260576898</v>
      </c>
      <c r="U21" s="2"/>
      <c r="V21" s="6">
        <f t="shared" si="9"/>
        <v>3.7402977211759177E-2</v>
      </c>
      <c r="W21" s="2"/>
      <c r="X21" s="7">
        <f t="shared" si="10"/>
        <v>-237.18972605768977</v>
      </c>
      <c r="Y21" s="2"/>
      <c r="Z21" s="6">
        <f t="shared" si="11"/>
        <v>-0.18201683338434035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49</v>
      </c>
      <c r="E22" s="2"/>
      <c r="F22" s="6">
        <f t="shared" si="4"/>
        <v>1.3275175421960932E-3</v>
      </c>
      <c r="G22" s="2"/>
      <c r="H22" s="7">
        <v>323.52377884615396</v>
      </c>
      <c r="I22" s="2"/>
      <c r="J22" s="6">
        <f t="shared" si="5"/>
        <v>9.2859867636668758E-3</v>
      </c>
      <c r="K22" s="2"/>
      <c r="L22" s="7">
        <f t="shared" si="6"/>
        <v>-274.52377884615396</v>
      </c>
      <c r="M22" s="2"/>
      <c r="N22" s="6">
        <f t="shared" si="7"/>
        <v>-0.84854281754881122</v>
      </c>
      <c r="O22" s="11"/>
      <c r="P22" s="7">
        <v>49</v>
      </c>
      <c r="Q22" s="2"/>
      <c r="R22" s="6">
        <f t="shared" si="8"/>
        <v>1.3275175421960932E-3</v>
      </c>
      <c r="S22" s="2"/>
      <c r="T22" s="7">
        <v>323.52377884615396</v>
      </c>
      <c r="U22" s="2"/>
      <c r="V22" s="6">
        <f t="shared" si="9"/>
        <v>9.2859867636668758E-3</v>
      </c>
      <c r="W22" s="2"/>
      <c r="X22" s="7">
        <f t="shared" si="10"/>
        <v>-274.52377884615396</v>
      </c>
      <c r="Y22" s="2"/>
      <c r="Z22" s="6">
        <f t="shared" si="11"/>
        <v>-0.84854281754881122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1243.31</v>
      </c>
      <c r="E23" s="2"/>
      <c r="F23" s="6">
        <f t="shared" si="4"/>
        <v>3.368399664056785E-2</v>
      </c>
      <c r="G23" s="2"/>
      <c r="H23" s="7">
        <v>138.1</v>
      </c>
      <c r="I23" s="2"/>
      <c r="J23" s="6">
        <f t="shared" si="5"/>
        <v>3.9638346727898961E-3</v>
      </c>
      <c r="K23" s="2"/>
      <c r="L23" s="7">
        <f t="shared" si="6"/>
        <v>1105.21</v>
      </c>
      <c r="M23" s="2"/>
      <c r="N23" s="6">
        <f t="shared" si="7"/>
        <v>8.0029688631426517</v>
      </c>
      <c r="O23" s="11"/>
      <c r="P23" s="7">
        <v>1243.31</v>
      </c>
      <c r="Q23" s="2"/>
      <c r="R23" s="6">
        <f t="shared" si="8"/>
        <v>3.368399664056785E-2</v>
      </c>
      <c r="S23" s="2"/>
      <c r="T23" s="7">
        <v>138.1</v>
      </c>
      <c r="U23" s="2"/>
      <c r="V23" s="6">
        <f t="shared" si="9"/>
        <v>3.9638346727898961E-3</v>
      </c>
      <c r="W23" s="2"/>
      <c r="X23" s="7">
        <f t="shared" si="10"/>
        <v>1105.21</v>
      </c>
      <c r="Y23" s="2"/>
      <c r="Z23" s="6">
        <f t="shared" si="11"/>
        <v>8.0029688631426517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37.47</v>
      </c>
      <c r="E24" s="2"/>
      <c r="F24" s="6">
        <f t="shared" si="4"/>
        <v>1.015144536858931E-3</v>
      </c>
      <c r="G24" s="2"/>
      <c r="H24" s="7">
        <v>44.271675000000002</v>
      </c>
      <c r="I24" s="2"/>
      <c r="J24" s="6">
        <f t="shared" si="5"/>
        <v>1.2707139781859931E-3</v>
      </c>
      <c r="K24" s="2"/>
      <c r="L24" s="7">
        <f t="shared" si="6"/>
        <v>-6.801675000000003</v>
      </c>
      <c r="M24" s="2"/>
      <c r="N24" s="6">
        <f t="shared" si="7"/>
        <v>-0.15363491442327409</v>
      </c>
      <c r="O24" s="11"/>
      <c r="P24" s="7">
        <v>37.47</v>
      </c>
      <c r="Q24" s="2"/>
      <c r="R24" s="6">
        <f t="shared" si="8"/>
        <v>1.015144536858931E-3</v>
      </c>
      <c r="S24" s="2"/>
      <c r="T24" s="7">
        <v>44.271675000000002</v>
      </c>
      <c r="U24" s="2"/>
      <c r="V24" s="6">
        <f t="shared" si="9"/>
        <v>1.2707139781859931E-3</v>
      </c>
      <c r="W24" s="2"/>
      <c r="X24" s="7">
        <f t="shared" si="10"/>
        <v>-6.801675000000003</v>
      </c>
      <c r="Y24" s="2"/>
      <c r="Z24" s="6">
        <f t="shared" si="11"/>
        <v>-0.15363491442327409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609.02</v>
      </c>
      <c r="E25" s="2"/>
      <c r="F25" s="6">
        <f t="shared" si="4"/>
        <v>1.6499688439760504E-2</v>
      </c>
      <c r="G25" s="2"/>
      <c r="H25" s="7">
        <v>71.170788461538493</v>
      </c>
      <c r="I25" s="2"/>
      <c r="J25" s="6">
        <f t="shared" si="5"/>
        <v>2.0427895654861793E-3</v>
      </c>
      <c r="K25" s="2"/>
      <c r="L25" s="7">
        <f t="shared" si="6"/>
        <v>537.84921153846153</v>
      </c>
      <c r="M25" s="2"/>
      <c r="N25" s="6">
        <f t="shared" si="7"/>
        <v>7.5571624702334352</v>
      </c>
      <c r="O25" s="11"/>
      <c r="P25" s="7">
        <v>609.02</v>
      </c>
      <c r="Q25" s="2"/>
      <c r="R25" s="6">
        <f t="shared" si="8"/>
        <v>1.6499688439760504E-2</v>
      </c>
      <c r="S25" s="2"/>
      <c r="T25" s="7">
        <v>71.170788461538493</v>
      </c>
      <c r="U25" s="2"/>
      <c r="V25" s="6">
        <f t="shared" si="9"/>
        <v>2.0427895654861793E-3</v>
      </c>
      <c r="W25" s="2"/>
      <c r="X25" s="7">
        <f t="shared" si="10"/>
        <v>537.84921153846153</v>
      </c>
      <c r="Y25" s="2"/>
      <c r="Z25" s="6">
        <f t="shared" si="11"/>
        <v>7.5571624702334352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843.36</v>
      </c>
      <c r="E27" s="2"/>
      <c r="F27" s="6">
        <f t="shared" si="4"/>
        <v>2.2848473354826475E-2</v>
      </c>
      <c r="G27" s="2"/>
      <c r="H27" s="7">
        <v>41.3783653846154</v>
      </c>
      <c r="I27" s="2"/>
      <c r="J27" s="6">
        <f t="shared" si="5"/>
        <v>1.1876683520268484E-3</v>
      </c>
      <c r="K27" s="2"/>
      <c r="L27" s="7">
        <f t="shared" si="6"/>
        <v>801.98163461538456</v>
      </c>
      <c r="M27" s="2"/>
      <c r="N27" s="6">
        <f t="shared" si="7"/>
        <v>19.381665446686874</v>
      </c>
      <c r="O27" s="11"/>
      <c r="P27" s="7">
        <v>843.36</v>
      </c>
      <c r="Q27" s="2"/>
      <c r="R27" s="6">
        <f t="shared" si="8"/>
        <v>2.2848473354826475E-2</v>
      </c>
      <c r="S27" s="2"/>
      <c r="T27" s="7">
        <v>41.3783653846154</v>
      </c>
      <c r="U27" s="2"/>
      <c r="V27" s="6">
        <f t="shared" si="9"/>
        <v>1.1876683520268484E-3</v>
      </c>
      <c r="W27" s="2"/>
      <c r="X27" s="7">
        <f t="shared" si="10"/>
        <v>801.98163461538456</v>
      </c>
      <c r="Y27" s="2"/>
      <c r="Z27" s="6">
        <f t="shared" si="11"/>
        <v>19.381665446686874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418.38</v>
      </c>
      <c r="E28" s="2"/>
      <c r="F28" s="6">
        <f t="shared" si="4"/>
        <v>1.1334832434775542E-2</v>
      </c>
      <c r="G28" s="2"/>
      <c r="H28" s="7">
        <v>365.37836538461499</v>
      </c>
      <c r="I28" s="2"/>
      <c r="J28" s="6">
        <f t="shared" si="5"/>
        <v>1.0487323920339122E-2</v>
      </c>
      <c r="K28" s="2"/>
      <c r="L28" s="7">
        <f t="shared" si="6"/>
        <v>53.001634615385001</v>
      </c>
      <c r="M28" s="2"/>
      <c r="N28" s="6">
        <f t="shared" si="7"/>
        <v>0.14505958654556053</v>
      </c>
      <c r="O28" s="11"/>
      <c r="P28" s="7">
        <v>418.38</v>
      </c>
      <c r="Q28" s="2"/>
      <c r="R28" s="6">
        <f t="shared" si="8"/>
        <v>1.1334832434775542E-2</v>
      </c>
      <c r="S28" s="2"/>
      <c r="T28" s="7">
        <v>365.37836538461499</v>
      </c>
      <c r="U28" s="2"/>
      <c r="V28" s="6">
        <f t="shared" si="9"/>
        <v>1.0487323920339122E-2</v>
      </c>
      <c r="W28" s="2"/>
      <c r="X28" s="7">
        <f t="shared" si="10"/>
        <v>53.001634615385001</v>
      </c>
      <c r="Y28" s="2"/>
      <c r="Z28" s="6">
        <f t="shared" si="11"/>
        <v>0.14505958654556053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132.88</v>
      </c>
      <c r="E29" s="2"/>
      <c r="F29" s="6">
        <f t="shared" si="4"/>
        <v>3.6000108368778954E-3</v>
      </c>
      <c r="G29" s="2"/>
      <c r="H29" s="7">
        <v>150</v>
      </c>
      <c r="I29" s="2"/>
      <c r="J29" s="6">
        <f t="shared" si="5"/>
        <v>4.3053960964408722E-3</v>
      </c>
      <c r="K29" s="2"/>
      <c r="L29" s="7">
        <f t="shared" si="6"/>
        <v>-17.120000000000005</v>
      </c>
      <c r="M29" s="2"/>
      <c r="N29" s="6">
        <f t="shared" si="7"/>
        <v>-0.11413333333333336</v>
      </c>
      <c r="O29" s="11"/>
      <c r="P29" s="7">
        <v>132.88</v>
      </c>
      <c r="Q29" s="2"/>
      <c r="R29" s="6">
        <f t="shared" si="8"/>
        <v>3.6000108368778954E-3</v>
      </c>
      <c r="S29" s="2"/>
      <c r="T29" s="7">
        <v>150</v>
      </c>
      <c r="U29" s="2"/>
      <c r="V29" s="6">
        <f t="shared" si="9"/>
        <v>4.3053960964408722E-3</v>
      </c>
      <c r="W29" s="2"/>
      <c r="X29" s="7">
        <f t="shared" si="10"/>
        <v>-17.120000000000005</v>
      </c>
      <c r="Y29" s="2"/>
      <c r="Z29" s="6">
        <f t="shared" si="11"/>
        <v>-0.11413333333333336</v>
      </c>
    </row>
    <row r="30" spans="1:26" s="27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17820.689999999999</v>
      </c>
      <c r="E30" s="1"/>
      <c r="F30" s="5">
        <f t="shared" ref="F30:F40" si="12">IF(D$12=0,0,D30/D$12)</f>
        <v>0.48280160385792847</v>
      </c>
      <c r="G30" s="1"/>
      <c r="H30" s="1">
        <f>SUM(OSRRefH22_1x_0)</f>
        <v>16620.810576923075</v>
      </c>
      <c r="I30" s="1"/>
      <c r="J30" s="5">
        <f t="shared" ref="J30:J40" si="13">IF(H$12=0,0,H30/H$12)</f>
        <v>0.47706115318378517</v>
      </c>
      <c r="K30" s="1"/>
      <c r="L30" s="1">
        <f t="shared" ref="L30:L40" si="14">+D30-H30</f>
        <v>1199.8794230769236</v>
      </c>
      <c r="M30" s="1"/>
      <c r="N30" s="5">
        <f t="shared" ref="N30:N40" si="15">IF(H30=0,0,L30/H30)</f>
        <v>7.2191390276890519E-2</v>
      </c>
      <c r="O30" s="14"/>
      <c r="P30" s="1">
        <f>SUM(OSRRefP22_1x_0)</f>
        <v>17820.689999999999</v>
      </c>
      <c r="Q30" s="1"/>
      <c r="R30" s="5">
        <f t="shared" ref="R30:R40" si="16">IF(P$12=0,0,P30/P$12)</f>
        <v>0.48280160385792847</v>
      </c>
      <c r="S30" s="1"/>
      <c r="T30" s="1">
        <f>SUM(OSRRefT22_1x_0)</f>
        <v>16620.810576923075</v>
      </c>
      <c r="U30" s="1"/>
      <c r="V30" s="5">
        <f t="shared" ref="V30:V40" si="17">IF(T$12=0,0,T30/T$12)</f>
        <v>0.47706115318378517</v>
      </c>
      <c r="W30" s="1"/>
      <c r="X30" s="1">
        <f t="shared" ref="X30:X40" si="18">+P30-T30</f>
        <v>1199.8794230769236</v>
      </c>
      <c r="Y30" s="1"/>
      <c r="Z30" s="5">
        <f t="shared" ref="Z30:Z40" si="19">IF(T30=0,0,X30/T30)</f>
        <v>7.2191390276890519E-2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6554.73</v>
      </c>
      <c r="E32" s="2"/>
      <c r="F32" s="6">
        <f t="shared" si="12"/>
        <v>0.1775820216195714</v>
      </c>
      <c r="G32" s="2"/>
      <c r="H32" s="7">
        <v>744.81057692307706</v>
      </c>
      <c r="I32" s="2"/>
      <c r="J32" s="6">
        <f t="shared" si="13"/>
        <v>2.1378030336483268E-2</v>
      </c>
      <c r="K32" s="2"/>
      <c r="L32" s="7">
        <f t="shared" si="14"/>
        <v>5809.9194230769226</v>
      </c>
      <c r="M32" s="2"/>
      <c r="N32" s="6">
        <f t="shared" si="15"/>
        <v>7.8005329181529097</v>
      </c>
      <c r="O32" s="11"/>
      <c r="P32" s="7">
        <v>6554.73</v>
      </c>
      <c r="Q32" s="2"/>
      <c r="R32" s="6">
        <f t="shared" si="16"/>
        <v>0.1775820216195714</v>
      </c>
      <c r="S32" s="2"/>
      <c r="T32" s="7">
        <v>744.81057692307706</v>
      </c>
      <c r="U32" s="2"/>
      <c r="V32" s="6">
        <f t="shared" si="17"/>
        <v>2.1378030336483268E-2</v>
      </c>
      <c r="W32" s="2"/>
      <c r="X32" s="7">
        <f t="shared" si="18"/>
        <v>5809.9194230769226</v>
      </c>
      <c r="Y32" s="2"/>
      <c r="Z32" s="6">
        <f t="shared" si="19"/>
        <v>7.8005329181529097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3381</v>
      </c>
      <c r="I34" s="2"/>
      <c r="J34" s="6">
        <f t="shared" si="13"/>
        <v>9.7043628013777264E-2</v>
      </c>
      <c r="K34" s="2"/>
      <c r="L34" s="7">
        <f t="shared" si="14"/>
        <v>-3381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3381</v>
      </c>
      <c r="U34" s="2"/>
      <c r="V34" s="6">
        <f t="shared" si="17"/>
        <v>9.7043628013777264E-2</v>
      </c>
      <c r="W34" s="2"/>
      <c r="X34" s="7">
        <f t="shared" si="18"/>
        <v>-3381</v>
      </c>
      <c r="Y34" s="2"/>
      <c r="Z34" s="6">
        <f t="shared" si="19"/>
        <v>-1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5355.94</v>
      </c>
      <c r="E35" s="2"/>
      <c r="F35" s="6">
        <f t="shared" si="12"/>
        <v>0.14510416948877028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5355.94</v>
      </c>
      <c r="M35" s="2"/>
      <c r="N35" s="6">
        <f t="shared" si="15"/>
        <v>0</v>
      </c>
      <c r="O35" s="11"/>
      <c r="P35" s="7">
        <v>5355.94</v>
      </c>
      <c r="Q35" s="2"/>
      <c r="R35" s="6">
        <f t="shared" si="16"/>
        <v>0.14510416948877028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5355.94</v>
      </c>
      <c r="Y35" s="2"/>
      <c r="Z35" s="6">
        <f t="shared" si="19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5428.71</v>
      </c>
      <c r="E37" s="2"/>
      <c r="F37" s="6">
        <f t="shared" si="12"/>
        <v>0.14707566849990517</v>
      </c>
      <c r="G37" s="2"/>
      <c r="H37" s="7">
        <v>12495</v>
      </c>
      <c r="I37" s="2"/>
      <c r="J37" s="6">
        <f t="shared" si="13"/>
        <v>0.3586394948335247</v>
      </c>
      <c r="K37" s="2"/>
      <c r="L37" s="7">
        <f t="shared" si="14"/>
        <v>-7066.29</v>
      </c>
      <c r="M37" s="2"/>
      <c r="N37" s="6">
        <f t="shared" si="15"/>
        <v>-0.56552941176470584</v>
      </c>
      <c r="O37" s="11"/>
      <c r="P37" s="7">
        <v>5428.71</v>
      </c>
      <c r="Q37" s="2"/>
      <c r="R37" s="6">
        <f t="shared" si="16"/>
        <v>0.14707566849990517</v>
      </c>
      <c r="S37" s="2"/>
      <c r="T37" s="7">
        <v>12495</v>
      </c>
      <c r="U37" s="2"/>
      <c r="V37" s="6">
        <f t="shared" si="17"/>
        <v>0.3586394948335247</v>
      </c>
      <c r="W37" s="2"/>
      <c r="X37" s="7">
        <f t="shared" si="18"/>
        <v>-7066.29</v>
      </c>
      <c r="Y37" s="2"/>
      <c r="Z37" s="6">
        <f t="shared" si="19"/>
        <v>-0.56552941176470584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>
        <v>481.31</v>
      </c>
      <c r="E38" s="2"/>
      <c r="F38" s="6">
        <f t="shared" si="12"/>
        <v>1.3039744249681667E-2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481.31</v>
      </c>
      <c r="M38" s="2"/>
      <c r="N38" s="6">
        <f t="shared" si="15"/>
        <v>0</v>
      </c>
      <c r="O38" s="11"/>
      <c r="P38" s="7">
        <v>481.31</v>
      </c>
      <c r="Q38" s="2"/>
      <c r="R38" s="6">
        <f t="shared" si="16"/>
        <v>1.3039744249681667E-2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481.31</v>
      </c>
      <c r="Y38" s="2"/>
      <c r="Z38" s="6">
        <f t="shared" si="19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7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9" si="20">IF(D$12=0,0,D41/D$12)</f>
        <v>0</v>
      </c>
      <c r="G41" s="1"/>
      <c r="H41" s="1">
        <f>SUM(OSRRefH22_2x_0)</f>
        <v>400</v>
      </c>
      <c r="I41" s="1"/>
      <c r="J41" s="5">
        <f t="shared" ref="J41:J59" si="21">IF(H$12=0,0,H41/H$12)</f>
        <v>1.1481056257175661E-2</v>
      </c>
      <c r="K41" s="1"/>
      <c r="L41" s="1">
        <f t="shared" ref="L41:L59" si="22">+D41-H41</f>
        <v>-400</v>
      </c>
      <c r="M41" s="1"/>
      <c r="N41" s="5">
        <f t="shared" ref="N41:N59" si="23">IF(H41=0,0,L41/H41)</f>
        <v>-1</v>
      </c>
      <c r="O41" s="14"/>
      <c r="P41" s="1">
        <f>SUM(OSRRefP22_2x_0)</f>
        <v>0</v>
      </c>
      <c r="Q41" s="1"/>
      <c r="R41" s="5">
        <f t="shared" ref="R41:R59" si="24">IF(P$12=0,0,P41/P$12)</f>
        <v>0</v>
      </c>
      <c r="S41" s="1"/>
      <c r="T41" s="1">
        <f>SUM(OSRRefT22_2x_0)</f>
        <v>400</v>
      </c>
      <c r="U41" s="1"/>
      <c r="V41" s="5">
        <f t="shared" ref="V41:V59" si="25">IF(T$12=0,0,T41/T$12)</f>
        <v>1.1481056257175661E-2</v>
      </c>
      <c r="W41" s="1"/>
      <c r="X41" s="1">
        <f t="shared" ref="X41:X59" si="26">+P41-T41</f>
        <v>-400</v>
      </c>
      <c r="Y41" s="1"/>
      <c r="Z41" s="5">
        <f t="shared" ref="Z41:Z59" si="27">IF(T41=0,0,X41/T41)</f>
        <v>-1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0"/>
        <v>0</v>
      </c>
      <c r="G42" s="2"/>
      <c r="H42" s="7">
        <v>400</v>
      </c>
      <c r="I42" s="2"/>
      <c r="J42" s="6">
        <f t="shared" si="21"/>
        <v>1.1481056257175661E-2</v>
      </c>
      <c r="K42" s="2"/>
      <c r="L42" s="7">
        <f t="shared" si="22"/>
        <v>-400</v>
      </c>
      <c r="M42" s="2"/>
      <c r="N42" s="6">
        <f t="shared" si="23"/>
        <v>-1</v>
      </c>
      <c r="O42" s="11"/>
      <c r="P42" s="7"/>
      <c r="Q42" s="2"/>
      <c r="R42" s="6">
        <f t="shared" si="24"/>
        <v>0</v>
      </c>
      <c r="S42" s="2"/>
      <c r="T42" s="7">
        <v>400</v>
      </c>
      <c r="U42" s="2"/>
      <c r="V42" s="6">
        <f t="shared" si="25"/>
        <v>1.1481056257175661E-2</v>
      </c>
      <c r="W42" s="2"/>
      <c r="X42" s="7">
        <f t="shared" si="26"/>
        <v>-400</v>
      </c>
      <c r="Y42" s="2"/>
      <c r="Z42" s="6">
        <f t="shared" si="27"/>
        <v>-1</v>
      </c>
    </row>
    <row r="43" spans="1:26" s="27" customFormat="1" outlineLevel="1" collapsed="1" x14ac:dyDescent="0.25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319.7</v>
      </c>
      <c r="E43" s="1"/>
      <c r="F43" s="5">
        <f t="shared" si="20"/>
        <v>8.661374657961041E-3</v>
      </c>
      <c r="G43" s="1"/>
      <c r="H43" s="1">
        <f>SUM(OSRRefH22_3x_0)</f>
        <v>1500</v>
      </c>
      <c r="I43" s="1"/>
      <c r="J43" s="5">
        <f t="shared" si="21"/>
        <v>4.3053960964408729E-2</v>
      </c>
      <c r="K43" s="1"/>
      <c r="L43" s="1">
        <f t="shared" si="22"/>
        <v>-1180.3</v>
      </c>
      <c r="M43" s="1"/>
      <c r="N43" s="5">
        <f t="shared" si="23"/>
        <v>-0.7868666666666666</v>
      </c>
      <c r="O43" s="14"/>
      <c r="P43" s="1">
        <f>SUM(OSRRefP22_3x_0)</f>
        <v>319.7</v>
      </c>
      <c r="Q43" s="1"/>
      <c r="R43" s="5">
        <f t="shared" si="24"/>
        <v>8.661374657961041E-3</v>
      </c>
      <c r="S43" s="1"/>
      <c r="T43" s="1">
        <f>SUM(OSRRefT22_3x_0)</f>
        <v>1500</v>
      </c>
      <c r="U43" s="1"/>
      <c r="V43" s="5">
        <f t="shared" si="25"/>
        <v>4.3053960964408729E-2</v>
      </c>
      <c r="W43" s="1"/>
      <c r="X43" s="1">
        <f t="shared" si="26"/>
        <v>-1180.3</v>
      </c>
      <c r="Y43" s="1"/>
      <c r="Z43" s="5">
        <f t="shared" si="27"/>
        <v>-0.7868666666666666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7">
        <v>319.7</v>
      </c>
      <c r="E44" s="2"/>
      <c r="F44" s="6">
        <f t="shared" si="20"/>
        <v>8.661374657961041E-3</v>
      </c>
      <c r="G44" s="2"/>
      <c r="H44" s="7">
        <v>1500</v>
      </c>
      <c r="I44" s="2"/>
      <c r="J44" s="6">
        <f t="shared" si="21"/>
        <v>4.3053960964408729E-2</v>
      </c>
      <c r="K44" s="2"/>
      <c r="L44" s="7">
        <f t="shared" si="22"/>
        <v>-1180.3</v>
      </c>
      <c r="M44" s="2"/>
      <c r="N44" s="6">
        <f t="shared" si="23"/>
        <v>-0.7868666666666666</v>
      </c>
      <c r="O44" s="11"/>
      <c r="P44" s="7">
        <v>319.7</v>
      </c>
      <c r="Q44" s="2"/>
      <c r="R44" s="6">
        <f t="shared" si="24"/>
        <v>8.661374657961041E-3</v>
      </c>
      <c r="S44" s="2"/>
      <c r="T44" s="7">
        <v>1500</v>
      </c>
      <c r="U44" s="2"/>
      <c r="V44" s="6">
        <f t="shared" si="25"/>
        <v>4.3053960964408729E-2</v>
      </c>
      <c r="W44" s="2"/>
      <c r="X44" s="7">
        <f t="shared" si="26"/>
        <v>-1180.3</v>
      </c>
      <c r="Y44" s="2"/>
      <c r="Z44" s="6">
        <f t="shared" si="27"/>
        <v>-0.7868666666666666</v>
      </c>
    </row>
    <row r="45" spans="1:26" s="27" customFormat="1" outlineLevel="1" collapsed="1" x14ac:dyDescent="0.25">
      <c r="A45" s="28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2.1526980482204361E-3</v>
      </c>
      <c r="K45" s="1"/>
      <c r="L45" s="1">
        <f t="shared" si="22"/>
        <v>-75</v>
      </c>
      <c r="M45" s="1"/>
      <c r="N45" s="5">
        <f t="shared" si="23"/>
        <v>-1</v>
      </c>
      <c r="O45" s="14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75</v>
      </c>
      <c r="U45" s="1"/>
      <c r="V45" s="5">
        <f t="shared" si="25"/>
        <v>2.1526980482204361E-3</v>
      </c>
      <c r="W45" s="1"/>
      <c r="X45" s="1">
        <f t="shared" si="26"/>
        <v>-75</v>
      </c>
      <c r="Y45" s="1"/>
      <c r="Z45" s="5">
        <f t="shared" si="27"/>
        <v>-1</v>
      </c>
    </row>
    <row r="46" spans="1:26" s="24" customFormat="1" hidden="1" outlineLevel="2" x14ac:dyDescent="0.25">
      <c r="A46" s="29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0"/>
        <v>0</v>
      </c>
      <c r="G46" s="2"/>
      <c r="H46" s="7">
        <v>75</v>
      </c>
      <c r="I46" s="2"/>
      <c r="J46" s="6">
        <f t="shared" si="21"/>
        <v>2.1526980482204361E-3</v>
      </c>
      <c r="K46" s="2"/>
      <c r="L46" s="7">
        <f t="shared" si="22"/>
        <v>-75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75</v>
      </c>
      <c r="U46" s="2"/>
      <c r="V46" s="6">
        <f t="shared" si="25"/>
        <v>2.1526980482204361E-3</v>
      </c>
      <c r="W46" s="2"/>
      <c r="X46" s="7">
        <f t="shared" si="26"/>
        <v>-75</v>
      </c>
      <c r="Y46" s="2"/>
      <c r="Z46" s="6">
        <f t="shared" si="27"/>
        <v>-1</v>
      </c>
    </row>
    <row r="47" spans="1:26" s="27" customFormat="1" outlineLevel="1" collapsed="1" x14ac:dyDescent="0.25">
      <c r="A47" s="28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2.8702640642939151E-4</v>
      </c>
      <c r="K47" s="1"/>
      <c r="L47" s="1">
        <f t="shared" si="22"/>
        <v>-10</v>
      </c>
      <c r="M47" s="1"/>
      <c r="N47" s="5">
        <f t="shared" si="23"/>
        <v>-1</v>
      </c>
      <c r="O47" s="14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10</v>
      </c>
      <c r="U47" s="1"/>
      <c r="V47" s="5">
        <f t="shared" si="25"/>
        <v>2.8702640642939151E-4</v>
      </c>
      <c r="W47" s="1"/>
      <c r="X47" s="1">
        <f t="shared" si="26"/>
        <v>-10</v>
      </c>
      <c r="Y47" s="1"/>
      <c r="Z47" s="5">
        <f t="shared" si="27"/>
        <v>-1</v>
      </c>
    </row>
    <row r="48" spans="1:26" s="24" customFormat="1" hidden="1" outlineLevel="2" x14ac:dyDescent="0.25">
      <c r="A48" s="29"/>
      <c r="B48" s="11" t="str">
        <f>CONCATENATE("          ", "6307", " - ", "POSTAGE")</f>
        <v xml:space="preserve">          6307 - POSTAGE</v>
      </c>
      <c r="C48" s="11"/>
      <c r="D48" s="7"/>
      <c r="E48" s="2"/>
      <c r="F48" s="6">
        <f t="shared" si="20"/>
        <v>0</v>
      </c>
      <c r="G48" s="2"/>
      <c r="H48" s="7">
        <v>10</v>
      </c>
      <c r="I48" s="2"/>
      <c r="J48" s="6">
        <f t="shared" si="21"/>
        <v>2.8702640642939151E-4</v>
      </c>
      <c r="K48" s="2"/>
      <c r="L48" s="7">
        <f t="shared" si="22"/>
        <v>-10</v>
      </c>
      <c r="M48" s="2"/>
      <c r="N48" s="6">
        <f t="shared" si="23"/>
        <v>-1</v>
      </c>
      <c r="O48" s="11"/>
      <c r="P48" s="7"/>
      <c r="Q48" s="2"/>
      <c r="R48" s="6">
        <f t="shared" si="24"/>
        <v>0</v>
      </c>
      <c r="S48" s="2"/>
      <c r="T48" s="7">
        <v>10</v>
      </c>
      <c r="U48" s="2"/>
      <c r="V48" s="6">
        <f t="shared" si="25"/>
        <v>2.8702640642939151E-4</v>
      </c>
      <c r="W48" s="2"/>
      <c r="X48" s="7">
        <f t="shared" si="26"/>
        <v>-10</v>
      </c>
      <c r="Y48" s="2"/>
      <c r="Z48" s="6">
        <f t="shared" si="27"/>
        <v>-1</v>
      </c>
    </row>
    <row r="49" spans="1:26" s="27" customFormat="1" outlineLevel="1" collapsed="1" x14ac:dyDescent="0.25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1.4351320321469576E-3</v>
      </c>
      <c r="K49" s="1"/>
      <c r="L49" s="1">
        <f t="shared" si="22"/>
        <v>-50</v>
      </c>
      <c r="M49" s="1"/>
      <c r="N49" s="5">
        <f t="shared" si="23"/>
        <v>-1</v>
      </c>
      <c r="O49" s="14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50</v>
      </c>
      <c r="U49" s="1"/>
      <c r="V49" s="5">
        <f t="shared" si="25"/>
        <v>1.4351320321469576E-3</v>
      </c>
      <c r="W49" s="1"/>
      <c r="X49" s="1">
        <f t="shared" si="26"/>
        <v>-50</v>
      </c>
      <c r="Y49" s="1"/>
      <c r="Z49" s="5">
        <f t="shared" si="27"/>
        <v>-1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0"/>
        <v>0</v>
      </c>
      <c r="G50" s="2"/>
      <c r="H50" s="7">
        <v>50</v>
      </c>
      <c r="I50" s="2"/>
      <c r="J50" s="6">
        <f t="shared" si="21"/>
        <v>1.4351320321469576E-3</v>
      </c>
      <c r="K50" s="2"/>
      <c r="L50" s="7">
        <f t="shared" si="22"/>
        <v>-50</v>
      </c>
      <c r="M50" s="2"/>
      <c r="N50" s="6">
        <f t="shared" si="23"/>
        <v>-1</v>
      </c>
      <c r="O50" s="11"/>
      <c r="P50" s="7"/>
      <c r="Q50" s="2"/>
      <c r="R50" s="6">
        <f t="shared" si="24"/>
        <v>0</v>
      </c>
      <c r="S50" s="2"/>
      <c r="T50" s="7">
        <v>50</v>
      </c>
      <c r="U50" s="2"/>
      <c r="V50" s="6">
        <f t="shared" si="25"/>
        <v>1.4351320321469576E-3</v>
      </c>
      <c r="W50" s="2"/>
      <c r="X50" s="7">
        <f t="shared" si="26"/>
        <v>-50</v>
      </c>
      <c r="Y50" s="2"/>
      <c r="Z50" s="6">
        <f t="shared" si="27"/>
        <v>-1</v>
      </c>
    </row>
    <row r="51" spans="1:26" s="27" customFormat="1" outlineLevel="1" collapsed="1" x14ac:dyDescent="0.25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29.01</v>
      </c>
      <c r="E51" s="1"/>
      <c r="F51" s="5">
        <f t="shared" si="20"/>
        <v>7.8594456936956463E-4</v>
      </c>
      <c r="G51" s="1"/>
      <c r="H51" s="1">
        <f>SUM(OSRRefH22_7x_0)</f>
        <v>27</v>
      </c>
      <c r="I51" s="1"/>
      <c r="J51" s="5">
        <f t="shared" si="21"/>
        <v>7.7497129735935703E-4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4"/>
      <c r="P51" s="1">
        <f>SUM(OSRRefP22_7x_0)</f>
        <v>29.01</v>
      </c>
      <c r="Q51" s="1"/>
      <c r="R51" s="5">
        <f t="shared" si="24"/>
        <v>7.8594456936956463E-4</v>
      </c>
      <c r="S51" s="1"/>
      <c r="T51" s="1">
        <f>SUM(OSRRefT22_7x_0)</f>
        <v>27</v>
      </c>
      <c r="U51" s="1"/>
      <c r="V51" s="5">
        <f t="shared" si="25"/>
        <v>7.7497129735935703E-4</v>
      </c>
      <c r="W51" s="1"/>
      <c r="X51" s="1">
        <f t="shared" si="26"/>
        <v>2.0100000000000016</v>
      </c>
      <c r="Y51" s="1"/>
      <c r="Z51" s="5">
        <f t="shared" si="27"/>
        <v>7.4444444444444507E-2</v>
      </c>
    </row>
    <row r="52" spans="1:26" s="24" customFormat="1" hidden="1" outlineLevel="2" x14ac:dyDescent="0.25">
      <c r="A52" s="29"/>
      <c r="B52" s="11" t="str">
        <f>CONCATENATE("          ", "6314", " - ", "LIABILITY INSURANCE")</f>
        <v xml:space="preserve">          6314 - LIABILITY INSURANCE</v>
      </c>
      <c r="C52" s="11"/>
      <c r="D52" s="7">
        <v>29.01</v>
      </c>
      <c r="E52" s="2"/>
      <c r="F52" s="6">
        <f t="shared" si="20"/>
        <v>7.8594456936956463E-4</v>
      </c>
      <c r="G52" s="2"/>
      <c r="H52" s="7">
        <v>27</v>
      </c>
      <c r="I52" s="2"/>
      <c r="J52" s="6">
        <f t="shared" si="21"/>
        <v>7.7497129735935703E-4</v>
      </c>
      <c r="K52" s="2"/>
      <c r="L52" s="7">
        <f t="shared" si="22"/>
        <v>2.0100000000000016</v>
      </c>
      <c r="M52" s="2"/>
      <c r="N52" s="6">
        <f t="shared" si="23"/>
        <v>7.4444444444444507E-2</v>
      </c>
      <c r="O52" s="11"/>
      <c r="P52" s="7">
        <v>29.01</v>
      </c>
      <c r="Q52" s="2"/>
      <c r="R52" s="6">
        <f t="shared" si="24"/>
        <v>7.8594456936956463E-4</v>
      </c>
      <c r="S52" s="2"/>
      <c r="T52" s="7">
        <v>27</v>
      </c>
      <c r="U52" s="2"/>
      <c r="V52" s="6">
        <f t="shared" si="25"/>
        <v>7.7497129735935703E-4</v>
      </c>
      <c r="W52" s="2"/>
      <c r="X52" s="7">
        <f t="shared" si="26"/>
        <v>2.0100000000000016</v>
      </c>
      <c r="Y52" s="2"/>
      <c r="Z52" s="6">
        <f t="shared" si="27"/>
        <v>7.4444444444444507E-2</v>
      </c>
    </row>
    <row r="53" spans="1:26" s="27" customFormat="1" outlineLevel="1" collapsed="1" x14ac:dyDescent="0.25">
      <c r="A53" s="28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1.1481056257175661E-2</v>
      </c>
      <c r="K53" s="1"/>
      <c r="L53" s="1">
        <f t="shared" si="22"/>
        <v>-400</v>
      </c>
      <c r="M53" s="1"/>
      <c r="N53" s="5">
        <f t="shared" si="23"/>
        <v>-1</v>
      </c>
      <c r="O53" s="14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400</v>
      </c>
      <c r="U53" s="1"/>
      <c r="V53" s="5">
        <f t="shared" si="25"/>
        <v>1.1481056257175661E-2</v>
      </c>
      <c r="W53" s="1"/>
      <c r="X53" s="1">
        <f t="shared" si="26"/>
        <v>-400</v>
      </c>
      <c r="Y53" s="1"/>
      <c r="Z53" s="5">
        <f t="shared" si="27"/>
        <v>-1</v>
      </c>
    </row>
    <row r="54" spans="1:26" s="24" customFormat="1" hidden="1" outlineLevel="2" x14ac:dyDescent="0.25">
      <c r="A54" s="29"/>
      <c r="B54" s="11" t="str">
        <f>CONCATENATE("          ", "6336", " - ", "PROFESSIONAL SERVICES")</f>
        <v xml:space="preserve">          6336 - PROFESSIONAL SERVICES</v>
      </c>
      <c r="C54" s="11"/>
      <c r="D54" s="7"/>
      <c r="E54" s="2"/>
      <c r="F54" s="6">
        <f t="shared" si="20"/>
        <v>0</v>
      </c>
      <c r="G54" s="2"/>
      <c r="H54" s="7">
        <v>400</v>
      </c>
      <c r="I54" s="2"/>
      <c r="J54" s="6">
        <f t="shared" si="21"/>
        <v>1.1481056257175661E-2</v>
      </c>
      <c r="K54" s="2"/>
      <c r="L54" s="7">
        <f t="shared" si="22"/>
        <v>-400</v>
      </c>
      <c r="M54" s="2"/>
      <c r="N54" s="6">
        <f t="shared" si="23"/>
        <v>-1</v>
      </c>
      <c r="O54" s="11"/>
      <c r="P54" s="7"/>
      <c r="Q54" s="2"/>
      <c r="R54" s="6">
        <f t="shared" si="24"/>
        <v>0</v>
      </c>
      <c r="S54" s="2"/>
      <c r="T54" s="7">
        <v>400</v>
      </c>
      <c r="U54" s="2"/>
      <c r="V54" s="6">
        <f t="shared" si="25"/>
        <v>1.1481056257175661E-2</v>
      </c>
      <c r="W54" s="2"/>
      <c r="X54" s="7">
        <f t="shared" si="26"/>
        <v>-400</v>
      </c>
      <c r="Y54" s="2"/>
      <c r="Z54" s="6">
        <f t="shared" si="27"/>
        <v>-1</v>
      </c>
    </row>
    <row r="55" spans="1:26" s="27" customFormat="1" outlineLevel="1" collapsed="1" x14ac:dyDescent="0.25">
      <c r="A55" s="28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SUM(OSRRefD22_9x_0)</f>
        <v>800</v>
      </c>
      <c r="E55" s="1"/>
      <c r="F55" s="5">
        <f t="shared" si="20"/>
        <v>2.1673755790956626E-2</v>
      </c>
      <c r="G55" s="1"/>
      <c r="H55" s="1">
        <f>SUM(OSRRefH22_9x_0)</f>
        <v>800</v>
      </c>
      <c r="I55" s="1"/>
      <c r="J55" s="5">
        <f t="shared" si="21"/>
        <v>2.2962112514351322E-2</v>
      </c>
      <c r="K55" s="1"/>
      <c r="L55" s="1">
        <f t="shared" si="22"/>
        <v>0</v>
      </c>
      <c r="M55" s="1"/>
      <c r="N55" s="5">
        <f t="shared" si="23"/>
        <v>0</v>
      </c>
      <c r="O55" s="14"/>
      <c r="P55" s="1">
        <f>SUM(OSRRefP22_9x_0)</f>
        <v>800</v>
      </c>
      <c r="Q55" s="1"/>
      <c r="R55" s="5">
        <f t="shared" si="24"/>
        <v>2.1673755790956626E-2</v>
      </c>
      <c r="S55" s="1"/>
      <c r="T55" s="1">
        <f>SUM(OSRRefT22_9x_0)</f>
        <v>800</v>
      </c>
      <c r="U55" s="1"/>
      <c r="V55" s="5">
        <f t="shared" si="25"/>
        <v>2.2962112514351322E-2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9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0"/>
        <v>2.1673755790956626E-2</v>
      </c>
      <c r="G56" s="2"/>
      <c r="H56" s="7">
        <v>800</v>
      </c>
      <c r="I56" s="2"/>
      <c r="J56" s="6">
        <f t="shared" si="21"/>
        <v>2.2962112514351322E-2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>
        <v>800</v>
      </c>
      <c r="Q56" s="2"/>
      <c r="R56" s="6">
        <f t="shared" si="24"/>
        <v>2.1673755790956626E-2</v>
      </c>
      <c r="S56" s="2"/>
      <c r="T56" s="7">
        <v>800</v>
      </c>
      <c r="U56" s="2"/>
      <c r="V56" s="6">
        <f t="shared" si="25"/>
        <v>2.2962112514351322E-2</v>
      </c>
      <c r="W56" s="2"/>
      <c r="X56" s="7">
        <f t="shared" si="26"/>
        <v>0</v>
      </c>
      <c r="Y56" s="2"/>
      <c r="Z56" s="6">
        <f t="shared" si="27"/>
        <v>0</v>
      </c>
    </row>
    <row r="57" spans="1:26" s="27" customFormat="1" outlineLevel="1" collapsed="1" x14ac:dyDescent="0.25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2000</v>
      </c>
      <c r="I57" s="1"/>
      <c r="J57" s="5">
        <f t="shared" si="21"/>
        <v>5.7405281285878303E-2</v>
      </c>
      <c r="K57" s="1"/>
      <c r="L57" s="1">
        <f t="shared" si="22"/>
        <v>-2000</v>
      </c>
      <c r="M57" s="1"/>
      <c r="N57" s="5">
        <f t="shared" si="23"/>
        <v>-1</v>
      </c>
      <c r="O57" s="14"/>
      <c r="P57" s="1">
        <f>SUM(OSRRefP22_10x_0)</f>
        <v>0</v>
      </c>
      <c r="Q57" s="1"/>
      <c r="R57" s="5">
        <f t="shared" si="24"/>
        <v>0</v>
      </c>
      <c r="S57" s="1"/>
      <c r="T57" s="1">
        <f>SUM(OSRRefT22_10x_0)</f>
        <v>2000</v>
      </c>
      <c r="U57" s="1"/>
      <c r="V57" s="5">
        <f t="shared" si="25"/>
        <v>5.7405281285878303E-2</v>
      </c>
      <c r="W57" s="1"/>
      <c r="X57" s="1">
        <f t="shared" si="26"/>
        <v>-2000</v>
      </c>
      <c r="Y57" s="1"/>
      <c r="Z57" s="5">
        <f t="shared" si="27"/>
        <v>-1</v>
      </c>
    </row>
    <row r="58" spans="1:26" s="24" customFormat="1" hidden="1" outlineLevel="2" x14ac:dyDescent="0.25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0"/>
        <v>0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/>
      <c r="Q58" s="2"/>
      <c r="R58" s="6">
        <f t="shared" si="24"/>
        <v>0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0</v>
      </c>
      <c r="Y58" s="2"/>
      <c r="Z58" s="6">
        <f t="shared" si="27"/>
        <v>0</v>
      </c>
    </row>
    <row r="59" spans="1:26" s="24" customFormat="1" hidden="1" outlineLevel="2" x14ac:dyDescent="0.25">
      <c r="A59" s="29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0"/>
        <v>0</v>
      </c>
      <c r="G59" s="2"/>
      <c r="H59" s="7">
        <v>2000</v>
      </c>
      <c r="I59" s="2"/>
      <c r="J59" s="6">
        <f t="shared" si="21"/>
        <v>5.7405281285878303E-2</v>
      </c>
      <c r="K59" s="2"/>
      <c r="L59" s="7">
        <f t="shared" si="22"/>
        <v>-2000</v>
      </c>
      <c r="M59" s="2"/>
      <c r="N59" s="6">
        <f t="shared" si="23"/>
        <v>-1</v>
      </c>
      <c r="O59" s="11"/>
      <c r="P59" s="7"/>
      <c r="Q59" s="2"/>
      <c r="R59" s="6">
        <f t="shared" si="24"/>
        <v>0</v>
      </c>
      <c r="S59" s="2"/>
      <c r="T59" s="7">
        <v>2000</v>
      </c>
      <c r="U59" s="2"/>
      <c r="V59" s="6">
        <f t="shared" si="25"/>
        <v>5.7405281285878303E-2</v>
      </c>
      <c r="W59" s="2"/>
      <c r="X59" s="7">
        <f t="shared" si="26"/>
        <v>-2000</v>
      </c>
      <c r="Y59" s="2"/>
      <c r="Z59" s="6">
        <f t="shared" si="27"/>
        <v>-1</v>
      </c>
    </row>
    <row r="60" spans="1:26" s="27" customFormat="1" outlineLevel="1" collapsed="1" x14ac:dyDescent="0.25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SUM(OSRRefD22_11x_0)</f>
        <v>14416.21</v>
      </c>
      <c r="E60" s="1"/>
      <c r="F60" s="5">
        <f t="shared" ref="F60:F62" si="28">IF(D$12=0,0,D60/D$12)</f>
        <v>0.39056676871393348</v>
      </c>
      <c r="G60" s="1"/>
      <c r="H60" s="1">
        <f>SUM(OSRRefH22_11x_0)</f>
        <v>7100</v>
      </c>
      <c r="I60" s="1"/>
      <c r="J60" s="5">
        <f t="shared" ref="J60:J62" si="29">IF(H$12=0,0,H60/H$12)</f>
        <v>0.20378874856486798</v>
      </c>
      <c r="K60" s="1"/>
      <c r="L60" s="1">
        <f t="shared" ref="L60:L62" si="30">+D60-H60</f>
        <v>7316.2099999999991</v>
      </c>
      <c r="M60" s="1"/>
      <c r="N60" s="5">
        <f t="shared" ref="N60:N62" si="31">IF(H60=0,0,L60/H60)</f>
        <v>1.0304521126760562</v>
      </c>
      <c r="O60" s="14"/>
      <c r="P60" s="1">
        <f>SUM(OSRRefP22_11x_0)</f>
        <v>14416.21</v>
      </c>
      <c r="Q60" s="1"/>
      <c r="R60" s="5">
        <f t="shared" ref="R60:R62" si="32">IF(P$12=0,0,P60/P$12)</f>
        <v>0.39056676871393348</v>
      </c>
      <c r="S60" s="1"/>
      <c r="T60" s="1">
        <f>SUM(OSRRefT22_11x_0)</f>
        <v>7100</v>
      </c>
      <c r="U60" s="1"/>
      <c r="V60" s="5">
        <f t="shared" ref="V60:V62" si="33">IF(T$12=0,0,T60/T$12)</f>
        <v>0.20378874856486798</v>
      </c>
      <c r="W60" s="1"/>
      <c r="X60" s="1">
        <f t="shared" ref="X60:X62" si="34">+P60-T60</f>
        <v>7316.2099999999991</v>
      </c>
      <c r="Y60" s="1"/>
      <c r="Z60" s="5">
        <f t="shared" ref="Z60:Z62" si="35">IF(T60=0,0,X60/T60)</f>
        <v>1.0304521126760562</v>
      </c>
    </row>
    <row r="61" spans="1:26" s="24" customFormat="1" hidden="1" outlineLevel="2" x14ac:dyDescent="0.25">
      <c r="A61" s="29"/>
      <c r="B61" s="11" t="str">
        <f>CONCATENATE("          ", "6234", " - ", "EXPENDABLE SUPPLIES &amp; EQUIPMEN")</f>
        <v xml:space="preserve">          6234 - EXPENDABLE SUPPLIES &amp; EQUIPMEN</v>
      </c>
      <c r="C61" s="11"/>
      <c r="D61" s="7"/>
      <c r="E61" s="2"/>
      <c r="F61" s="6">
        <f t="shared" si="28"/>
        <v>0</v>
      </c>
      <c r="G61" s="2"/>
      <c r="H61" s="7">
        <v>7100</v>
      </c>
      <c r="I61" s="2"/>
      <c r="J61" s="6">
        <f t="shared" si="29"/>
        <v>0.20378874856486798</v>
      </c>
      <c r="K61" s="2"/>
      <c r="L61" s="7">
        <f t="shared" si="30"/>
        <v>-7100</v>
      </c>
      <c r="M61" s="2"/>
      <c r="N61" s="6">
        <f t="shared" si="31"/>
        <v>-1</v>
      </c>
      <c r="O61" s="11"/>
      <c r="P61" s="7"/>
      <c r="Q61" s="2"/>
      <c r="R61" s="6">
        <f t="shared" si="32"/>
        <v>0</v>
      </c>
      <c r="S61" s="2"/>
      <c r="T61" s="7">
        <v>7100</v>
      </c>
      <c r="U61" s="2"/>
      <c r="V61" s="6">
        <f t="shared" si="33"/>
        <v>0.20378874856486798</v>
      </c>
      <c r="W61" s="2"/>
      <c r="X61" s="7">
        <f t="shared" si="34"/>
        <v>-7100</v>
      </c>
      <c r="Y61" s="2"/>
      <c r="Z61" s="6">
        <f t="shared" si="35"/>
        <v>-1</v>
      </c>
    </row>
    <row r="62" spans="1:26" s="24" customFormat="1" hidden="1" outlineLevel="2" x14ac:dyDescent="0.25">
      <c r="A62" s="29"/>
      <c r="B62" s="11" t="str">
        <f>CONCATENATE("          ", "6241", " - ", "OFFICE EXPENSE")</f>
        <v xml:space="preserve">          6241 - OFFICE EXPENSE</v>
      </c>
      <c r="C62" s="11"/>
      <c r="D62" s="7">
        <v>14416.21</v>
      </c>
      <c r="E62" s="2"/>
      <c r="F62" s="6">
        <f t="shared" si="28"/>
        <v>0.39056676871393348</v>
      </c>
      <c r="G62" s="2"/>
      <c r="H62" s="7"/>
      <c r="I62" s="2"/>
      <c r="J62" s="6">
        <f t="shared" si="29"/>
        <v>0</v>
      </c>
      <c r="K62" s="2"/>
      <c r="L62" s="7">
        <f t="shared" si="30"/>
        <v>14416.21</v>
      </c>
      <c r="M62" s="2"/>
      <c r="N62" s="6">
        <f t="shared" si="31"/>
        <v>0</v>
      </c>
      <c r="O62" s="11"/>
      <c r="P62" s="7">
        <v>14416.21</v>
      </c>
      <c r="Q62" s="2"/>
      <c r="R62" s="6">
        <f t="shared" si="32"/>
        <v>0.39056676871393348</v>
      </c>
      <c r="S62" s="2"/>
      <c r="T62" s="7"/>
      <c r="U62" s="2"/>
      <c r="V62" s="6">
        <f t="shared" si="33"/>
        <v>0</v>
      </c>
      <c r="W62" s="2"/>
      <c r="X62" s="7">
        <f t="shared" si="34"/>
        <v>14416.21</v>
      </c>
      <c r="Y62" s="2"/>
      <c r="Z62" s="6">
        <f t="shared" si="35"/>
        <v>0</v>
      </c>
    </row>
    <row r="63" spans="1:26" s="27" customFormat="1" outlineLevel="1" collapsed="1" x14ac:dyDescent="0.25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SUM(OSRRefD22_12x_0)</f>
        <v>-23.35</v>
      </c>
      <c r="E63" s="1"/>
      <c r="F63" s="5">
        <f t="shared" ref="F63:F64" si="36">IF(D$12=0,0,D63/D$12)</f>
        <v>-6.3260274714854649E-4</v>
      </c>
      <c r="G63" s="1"/>
      <c r="H63" s="1">
        <f>SUM(OSRRefH22_12x_0)</f>
        <v>350</v>
      </c>
      <c r="I63" s="1"/>
      <c r="J63" s="5">
        <f t="shared" ref="J63:J64" si="37">IF(H$12=0,0,H63/H$12)</f>
        <v>1.0045924225028703E-2</v>
      </c>
      <c r="K63" s="1"/>
      <c r="L63" s="1">
        <f t="shared" ref="L63:L64" si="38">+D63-H63</f>
        <v>-373.35</v>
      </c>
      <c r="M63" s="1"/>
      <c r="N63" s="5">
        <f t="shared" ref="N63:N64" si="39">IF(H63=0,0,L63/H63)</f>
        <v>-1.0667142857142857</v>
      </c>
      <c r="O63" s="14"/>
      <c r="P63" s="1">
        <f>SUM(OSRRefP22_12x_0)</f>
        <v>-23.35</v>
      </c>
      <c r="Q63" s="1"/>
      <c r="R63" s="5">
        <f t="shared" ref="R63:R64" si="40">IF(P$12=0,0,P63/P$12)</f>
        <v>-6.3260274714854649E-4</v>
      </c>
      <c r="S63" s="1"/>
      <c r="T63" s="1">
        <f>SUM(OSRRefT22_12x_0)</f>
        <v>350</v>
      </c>
      <c r="U63" s="1"/>
      <c r="V63" s="5">
        <f t="shared" ref="V63:V64" si="41">IF(T$12=0,0,T63/T$12)</f>
        <v>1.0045924225028703E-2</v>
      </c>
      <c r="W63" s="1"/>
      <c r="X63" s="1">
        <f t="shared" ref="X63:X64" si="42">+P63-T63</f>
        <v>-373.35</v>
      </c>
      <c r="Y63" s="1"/>
      <c r="Z63" s="5">
        <f t="shared" ref="Z63:Z64" si="43">IF(T63=0,0,X63/T63)</f>
        <v>-1.0667142857142857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7">
        <v>-23.35</v>
      </c>
      <c r="E64" s="2"/>
      <c r="F64" s="6">
        <f t="shared" si="36"/>
        <v>-6.3260274714854649E-4</v>
      </c>
      <c r="G64" s="2"/>
      <c r="H64" s="7">
        <v>350</v>
      </c>
      <c r="I64" s="2"/>
      <c r="J64" s="6">
        <f t="shared" si="37"/>
        <v>1.0045924225028703E-2</v>
      </c>
      <c r="K64" s="2"/>
      <c r="L64" s="7">
        <f t="shared" si="38"/>
        <v>-373.35</v>
      </c>
      <c r="M64" s="2"/>
      <c r="N64" s="6">
        <f t="shared" si="39"/>
        <v>-1.0667142857142857</v>
      </c>
      <c r="O64" s="11"/>
      <c r="P64" s="7">
        <v>-23.35</v>
      </c>
      <c r="Q64" s="2"/>
      <c r="R64" s="6">
        <f t="shared" si="40"/>
        <v>-6.3260274714854649E-4</v>
      </c>
      <c r="S64" s="2"/>
      <c r="T64" s="7">
        <v>350</v>
      </c>
      <c r="U64" s="2"/>
      <c r="V64" s="6">
        <f t="shared" si="41"/>
        <v>1.0045924225028703E-2</v>
      </c>
      <c r="W64" s="2"/>
      <c r="X64" s="7">
        <f t="shared" si="42"/>
        <v>-373.35</v>
      </c>
      <c r="Y64" s="2"/>
      <c r="Z64" s="6">
        <f t="shared" si="43"/>
        <v>-1.0667142857142857</v>
      </c>
    </row>
    <row r="65" spans="1:26" s="57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25">
      <c r="A66" s="10"/>
      <c r="B66" s="25" t="s">
        <v>0</v>
      </c>
      <c r="C66" s="10"/>
      <c r="D66" s="4">
        <f>SUM(OSRRefD25x_0)</f>
        <v>851.09</v>
      </c>
      <c r="E66" s="4"/>
      <c r="F66" s="12">
        <f t="shared" ref="F66:F67" si="44">IF(D$12=0,0,D66/D$12)</f>
        <v>2.3057896020156593E-2</v>
      </c>
      <c r="G66" s="4"/>
      <c r="H66" s="4">
        <f>SUM(OSRRefH25x_0)</f>
        <v>1500</v>
      </c>
      <c r="I66" s="4"/>
      <c r="J66" s="12">
        <f t="shared" ref="J66:J67" si="45">IF(H$12=0,0,H66/H$12)</f>
        <v>4.3053960964408729E-2</v>
      </c>
      <c r="K66" s="4"/>
      <c r="L66" s="4">
        <f t="shared" ref="L66:L67" si="46">+D66-H66</f>
        <v>-648.91</v>
      </c>
      <c r="M66" s="4"/>
      <c r="N66" s="12">
        <f t="shared" ref="N66:N67" si="47">IF(H66=0,0,L66/H66)</f>
        <v>-0.43260666666666664</v>
      </c>
      <c r="O66" s="10"/>
      <c r="P66" s="4">
        <f>SUM(OSRRefP25x_0)</f>
        <v>851.09</v>
      </c>
      <c r="Q66" s="4"/>
      <c r="R66" s="12">
        <f t="shared" ref="R66:R67" si="48">IF(P$12=0,0,P66/P$12)</f>
        <v>2.3057896020156593E-2</v>
      </c>
      <c r="S66" s="4"/>
      <c r="T66" s="4">
        <f>SUM(OSRRefT25x_0)</f>
        <v>1500</v>
      </c>
      <c r="U66" s="4"/>
      <c r="V66" s="12">
        <f t="shared" ref="V66:V67" si="49">IF(T$12=0,0,T66/T$12)</f>
        <v>4.3053960964408729E-2</v>
      </c>
      <c r="W66" s="4"/>
      <c r="X66" s="4">
        <f t="shared" ref="X66:X67" si="50">+P66-T66</f>
        <v>-648.91</v>
      </c>
      <c r="Y66" s="4"/>
      <c r="Z66" s="12">
        <f t="shared" ref="Z66:Z67" si="51">IF(T66=0,0,X66/T66)</f>
        <v>-0.43260666666666664</v>
      </c>
    </row>
    <row r="67" spans="1:26" s="24" customFormat="1" hidden="1" outlineLevel="1" x14ac:dyDescent="0.25">
      <c r="A67" s="51"/>
      <c r="B67" s="11" t="str">
        <f>CONCATENATE("          ", "9150", " - ", "MISC. INCOME")</f>
        <v xml:space="preserve">          9150 - MISC. INCOME</v>
      </c>
      <c r="C67" s="11"/>
      <c r="D67" s="2">
        <f>--851.09</f>
        <v>851.09</v>
      </c>
      <c r="E67" s="2"/>
      <c r="F67" s="22">
        <f t="shared" si="44"/>
        <v>2.3057896020156593E-2</v>
      </c>
      <c r="G67" s="2"/>
      <c r="H67" s="2">
        <v>1500</v>
      </c>
      <c r="I67" s="2"/>
      <c r="J67" s="22">
        <f t="shared" si="45"/>
        <v>4.3053960964408729E-2</v>
      </c>
      <c r="K67" s="2"/>
      <c r="L67" s="2">
        <f t="shared" si="46"/>
        <v>-648.91</v>
      </c>
      <c r="M67" s="2"/>
      <c r="N67" s="22">
        <f t="shared" si="47"/>
        <v>-0.43260666666666664</v>
      </c>
      <c r="O67" s="11"/>
      <c r="P67" s="2">
        <f>--851.09</f>
        <v>851.09</v>
      </c>
      <c r="Q67" s="2"/>
      <c r="R67" s="22">
        <f t="shared" si="48"/>
        <v>2.3057896020156593E-2</v>
      </c>
      <c r="S67" s="2"/>
      <c r="T67" s="2">
        <v>1500</v>
      </c>
      <c r="U67" s="2"/>
      <c r="V67" s="22">
        <f t="shared" si="49"/>
        <v>4.3053960964408729E-2</v>
      </c>
      <c r="W67" s="2"/>
      <c r="X67" s="2">
        <f t="shared" si="50"/>
        <v>-648.91</v>
      </c>
      <c r="Y67" s="2"/>
      <c r="Z67" s="22">
        <f t="shared" si="51"/>
        <v>-0.43260666666666664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6" t="s">
        <v>3</v>
      </c>
      <c r="C69" s="26"/>
      <c r="D69" s="21">
        <f>+D17-D19+D66</f>
        <v>0.48000000000672571</v>
      </c>
      <c r="E69" s="13"/>
      <c r="F69" s="19">
        <f>IF(D$12=0,0,D69/D$12)</f>
        <v>1.300425347475619E-5</v>
      </c>
      <c r="G69" s="13"/>
      <c r="H69" s="21">
        <f>+H17-H19+H66</f>
        <v>4570.2467239423131</v>
      </c>
      <c r="I69" s="13"/>
      <c r="J69" s="19">
        <f>IF(H$12=0,0,H69/H$12)</f>
        <v>0.13117814936688613</v>
      </c>
      <c r="K69" s="15"/>
      <c r="L69" s="21">
        <f>+D69-H69</f>
        <v>-4569.7667239423063</v>
      </c>
      <c r="M69" s="15"/>
      <c r="N69" s="19">
        <f>IF(H69=0,0,L69/H69)</f>
        <v>-0.99989497284741935</v>
      </c>
      <c r="O69" s="25"/>
      <c r="P69" s="21">
        <f>+P17-P19+P66</f>
        <v>0.48000000000672571</v>
      </c>
      <c r="Q69" s="13"/>
      <c r="R69" s="19">
        <f>IF(P$12=0,0,P69/P$12)</f>
        <v>1.300425347475619E-5</v>
      </c>
      <c r="S69" s="13"/>
      <c r="T69" s="21">
        <f>+T17-T19+T66</f>
        <v>4570.2467239423131</v>
      </c>
      <c r="U69" s="13"/>
      <c r="V69" s="19">
        <f>IF(T$12=0,0,T69/T$12)</f>
        <v>0.13117814936688613</v>
      </c>
      <c r="W69" s="15"/>
      <c r="X69" s="21">
        <f>+P69-T69</f>
        <v>-4569.7667239423063</v>
      </c>
      <c r="Y69" s="15"/>
      <c r="Z69" s="19">
        <f>IF(T69=0,0,X69/T69)</f>
        <v>-0.99989497284741935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2"/>
      <c r="B71" s="10" t="s">
        <v>14</v>
      </c>
      <c r="C71" s="10"/>
      <c r="D71" s="4">
        <v>7674.88</v>
      </c>
      <c r="E71" s="4"/>
      <c r="F71" s="12">
        <f>IF(D$12=0,0,D71/D$12)</f>
        <v>0.20792934355612147</v>
      </c>
      <c r="G71" s="4"/>
      <c r="H71" s="4">
        <v>8491</v>
      </c>
      <c r="I71" s="4"/>
      <c r="J71" s="12">
        <f>IF(H$12=0,0,H71/H$12)</f>
        <v>0.24371412169919632</v>
      </c>
      <c r="K71" s="4"/>
      <c r="L71" s="4">
        <f>+D71-H71</f>
        <v>-816.11999999999989</v>
      </c>
      <c r="M71" s="4"/>
      <c r="N71" s="12">
        <f>IF(H71=0,0,L71/H71)</f>
        <v>-9.6115887410199025E-2</v>
      </c>
      <c r="O71" s="10"/>
      <c r="P71" s="4">
        <v>7674.88</v>
      </c>
      <c r="Q71" s="4"/>
      <c r="R71" s="12">
        <f>IF(P$12=0,0,P71/P$12)</f>
        <v>0.20792934355612147</v>
      </c>
      <c r="S71" s="4"/>
      <c r="T71" s="4">
        <v>8491</v>
      </c>
      <c r="U71" s="4"/>
      <c r="V71" s="12">
        <f>IF(T$12=0,0,T71/T$12)</f>
        <v>0.24371412169919632</v>
      </c>
      <c r="W71" s="4"/>
      <c r="X71" s="4">
        <f>+P71-T71</f>
        <v>-816.11999999999989</v>
      </c>
      <c r="Y71" s="4"/>
      <c r="Z71" s="12">
        <f>IF(T71=0,0,X71/T71)</f>
        <v>-9.6115887410199025E-2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6" t="s">
        <v>4</v>
      </c>
      <c r="C73" s="26"/>
      <c r="D73" s="32">
        <f>+D69-D71</f>
        <v>-7674.3999999999933</v>
      </c>
      <c r="E73" s="13"/>
      <c r="F73" s="31">
        <f>IF(D$12=0,0,D73/D$12)</f>
        <v>-0.20791633930264672</v>
      </c>
      <c r="G73" s="13"/>
      <c r="H73" s="32">
        <f>+H69-H71</f>
        <v>-3920.7532760576869</v>
      </c>
      <c r="I73" s="13"/>
      <c r="J73" s="31">
        <f>IF(H$12=0,0,H73/H$12)</f>
        <v>-0.11253597233231019</v>
      </c>
      <c r="K73" s="15"/>
      <c r="L73" s="32">
        <f>D73-H73</f>
        <v>-3753.6467239423064</v>
      </c>
      <c r="M73" s="15"/>
      <c r="N73" s="31">
        <f>IF(H73=0,0,L73/H73)</f>
        <v>0.95737896767546515</v>
      </c>
      <c r="O73" s="25"/>
      <c r="P73" s="32">
        <f>+P69-P71</f>
        <v>-7674.3999999999933</v>
      </c>
      <c r="Q73" s="13"/>
      <c r="R73" s="31">
        <f>IF(P$12=0,0,P73/P$12)</f>
        <v>-0.20791633930264672</v>
      </c>
      <c r="S73" s="13"/>
      <c r="T73" s="32">
        <f>+T69-T71</f>
        <v>-3920.7532760576869</v>
      </c>
      <c r="U73" s="13"/>
      <c r="V73" s="31">
        <f>IF(T$12=0,0,T73/T$12)</f>
        <v>-0.11253597233231019</v>
      </c>
      <c r="W73" s="15"/>
      <c r="X73" s="32">
        <f>P73-T73</f>
        <v>-3753.6467239423064</v>
      </c>
      <c r="Y73" s="15"/>
      <c r="Z73" s="31">
        <f>IF(T73=0,0,X73/T73)</f>
        <v>0.95737896767546515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6" t="s">
        <v>5</v>
      </c>
      <c r="C76" s="26"/>
      <c r="D76" s="33">
        <f>SUM(D73:D75)</f>
        <v>-7674.3999999999933</v>
      </c>
      <c r="E76" s="13"/>
      <c r="F76" s="34">
        <f>IF(D$12=0,0,D76/D$12)</f>
        <v>-0.20791633930264672</v>
      </c>
      <c r="G76" s="13"/>
      <c r="H76" s="33">
        <f>SUM(H73:H75)</f>
        <v>-3920.7532760576869</v>
      </c>
      <c r="I76" s="13"/>
      <c r="J76" s="34">
        <f>IF(H$12=0,0,H76/H$12)</f>
        <v>-0.11253597233231019</v>
      </c>
      <c r="K76" s="15"/>
      <c r="L76" s="33">
        <f>+D76-H76</f>
        <v>-3753.6467239423064</v>
      </c>
      <c r="M76" s="15"/>
      <c r="N76" s="34">
        <f>IF(H76=0,0,L76/H76)</f>
        <v>0.95737896767546515</v>
      </c>
      <c r="O76" s="25"/>
      <c r="P76" s="33">
        <f>SUM(P73:P75)</f>
        <v>-7674.3999999999933</v>
      </c>
      <c r="Q76" s="13"/>
      <c r="R76" s="34">
        <f>IF(P$12=0,0,P76/P$12)</f>
        <v>-0.20791633930264672</v>
      </c>
      <c r="S76" s="13"/>
      <c r="T76" s="33">
        <f>SUM(T73:T75)</f>
        <v>-3920.7532760576869</v>
      </c>
      <c r="U76" s="13"/>
      <c r="V76" s="34">
        <f>IF(T$12=0,0,T76/T$12)</f>
        <v>-0.11253597233231019</v>
      </c>
      <c r="W76" s="15"/>
      <c r="X76" s="33">
        <f>+P76-T76</f>
        <v>-3753.6467239423064</v>
      </c>
      <c r="Y76" s="15"/>
      <c r="Z76" s="34">
        <f>IF(T76=0,0,X76/T76)</f>
        <v>0.95737896767546515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61">
        <v>43726.679269444445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6" t="s">
        <v>314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3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4:24" x14ac:dyDescent="0.25"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4172</vt:i4>
      </vt:variant>
    </vt:vector>
  </HeadingPairs>
  <TitlesOfParts>
    <vt:vector size="4274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312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'321'!OSRRefD22_13x_0</vt:lpstr>
      <vt:lpstr>'322'!OSRRefD22_13x_0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'321'!OSRRefD22_14x_0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'415'!OSRRefD22_15x_0</vt:lpstr>
      <vt:lpstr>'418'!OSRRefD22_15x_0</vt:lpstr>
      <vt:lpstr>'444'!OSRRefD22_15x_0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'415'!OSRRefD22_16x_0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'321'!OSRRefH22_13x_0</vt:lpstr>
      <vt:lpstr>'322'!OSRRefH22_13x_0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'321'!OSRRefH22_14x_0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'415'!OSRRefH22_15x_0</vt:lpstr>
      <vt:lpstr>'418'!OSRRefH22_15x_0</vt:lpstr>
      <vt:lpstr>'444'!OSRRefH22_15x_0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'415'!OSRRefH22_16x_0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'321'!OSRRefP22_13x_0</vt:lpstr>
      <vt:lpstr>'322'!OSRRefP22_13x_0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'321'!OSRRefP22_14x_0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'415'!OSRRefP22_15x_0</vt:lpstr>
      <vt:lpstr>'418'!OSRRefP22_15x_0</vt:lpstr>
      <vt:lpstr>'444'!OSRRefP22_15x_0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'415'!OSRRefP22_16x_0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'321'!OSRRefT22_13x_0</vt:lpstr>
      <vt:lpstr>'322'!OSRRefT22_13x_0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'321'!OSRRefT22_14x_0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'415'!OSRRefT22_15x_0</vt:lpstr>
      <vt:lpstr>'418'!OSRRefT22_15x_0</vt:lpstr>
      <vt:lpstr>'444'!OSRRefT22_15x_0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'415'!OSRRefT22_16x_0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'312'!Print_Area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'312'!Print_Titles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2019-09-18T23:45:03Z</dcterms:modified>
</cp:coreProperties>
</file>